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J:\home\a370481\repos\odl\code_generation_framework\type3_dwh_to_usecase\templates\"/>
    </mc:Choice>
  </mc:AlternateContent>
  <xr:revisionPtr revIDLastSave="0" documentId="13_ncr:1_{1D6B0004-F216-4424-B68E-25D0F005ECEA}" xr6:coauthVersionLast="47" xr6:coauthVersionMax="47" xr10:uidLastSave="{00000000-0000-0000-0000-000000000000}"/>
  <bookViews>
    <workbookView xWindow="-120" yWindow="-120" windowWidth="29040" windowHeight="15840" tabRatio="947" firstSheet="17" activeTab="23" xr2:uid="{00000000-000D-0000-FFFF-FFFF00000000}"/>
  </bookViews>
  <sheets>
    <sheet name="START" sheetId="1" r:id="rId1"/>
    <sheet name="Options" sheetId="2" r:id="rId2"/>
    <sheet name="COLUMNS" sheetId="3" r:id="rId3"/>
    <sheet name="Custom Source View" sheetId="4" r:id="rId4"/>
    <sheet name="DIMENSIONS" sheetId="5" r:id="rId5"/>
    <sheet name="Doc" sheetId="6" r:id="rId6"/>
    <sheet name="RAW-TO-STAGED" sheetId="7" state="hidden" r:id="rId7"/>
    <sheet name="Volvo DMA" sheetId="8" state="hidden" r:id="rId8"/>
    <sheet name="ErrorCodes" sheetId="9" r:id="rId9"/>
    <sheet name="OUTPUT" sheetId="10" r:id="rId10"/>
    <sheet name="OUTPUT ICEBERG" sheetId="11" r:id="rId11"/>
    <sheet name="DataVault" sheetId="12" r:id="rId12"/>
    <sheet name="DLT" sheetId="13" r:id="rId13"/>
    <sheet name="OUTPUT EXTERNAL" sheetId="36" r:id="rId14"/>
    <sheet name="Templates" sheetId="14" r:id="rId15"/>
    <sheet name="CSV" sheetId="15" r:id="rId16"/>
    <sheet name="HELPER" sheetId="16" r:id="rId17"/>
    <sheet name="VIEWHELPER" sheetId="17" r:id="rId18"/>
    <sheet name="CREATE SOURCE VIEW" sheetId="18" state="hidden" r:id="rId19"/>
    <sheet name="DIMHELPER" sheetId="19" r:id="rId20"/>
    <sheet name="STAGE VIEW 1" sheetId="20" r:id="rId21"/>
    <sheet name="CREATE TABLE" sheetId="21" r:id="rId22"/>
    <sheet name="DevHelper" sheetId="22" state="hidden" r:id="rId23"/>
    <sheet name="COLHELPER" sheetId="23" r:id="rId24"/>
    <sheet name="SCD4" sheetId="24" r:id="rId25"/>
    <sheet name="Version" sheetId="25" r:id="rId26"/>
    <sheet name="MERGE INTO" sheetId="26" r:id="rId27"/>
    <sheet name="INCREMENTAL LOAD" sheetId="27" r:id="rId28"/>
    <sheet name="INITIAL LOAD" sheetId="28" state="hidden" r:id="rId29"/>
    <sheet name="UPDATE" sheetId="29" state="hidden" r:id="rId30"/>
    <sheet name="UPDATE ISCURRENT" sheetId="30" r:id="rId31"/>
    <sheet name="CURRENT_VIEW" sheetId="31" state="hidden" r:id="rId32"/>
    <sheet name="ICEBERG METADATA SQL" sheetId="32" state="hidden" r:id="rId33"/>
    <sheet name="TEST" sheetId="33" r:id="rId34"/>
    <sheet name="Verify" sheetId="34" state="hidden" r:id="rId35"/>
    <sheet name="html" sheetId="35" state="hidden" r:id="rId36"/>
    <sheet name="OUTPUT_CREATEVIEW" sheetId="37" r:id="rId37"/>
    <sheet name="OUTPUT RTS" sheetId="38" r:id="rId38"/>
    <sheet name="UNLOAD" sheetId="39" r:id="rId39"/>
    <sheet name="RECREATE DIM" sheetId="40" r:id="rId40"/>
    <sheet name="RTVARIABLES" sheetId="41" r:id="rId41"/>
    <sheet name="Custom Queries" sheetId="42" r:id="rId42"/>
    <sheet name="Readme - Start" sheetId="43" state="hidden" r:id="rId43"/>
    <sheet name="Readme-UNLOAD" sheetId="44" state="hidden" r:id="rId44"/>
    <sheet name="Readme-Columns" sheetId="45" state="hidden" r:id="rId45"/>
    <sheet name="Readme-DMA" sheetId="46" state="hidden" r:id="rId46"/>
    <sheet name="Readme-Notes" sheetId="47" state="hidden" r:id="rId47"/>
    <sheet name="Sheet2" sheetId="48" state="hidden" r:id="rId48"/>
    <sheet name="STEPS" sheetId="49" state="hidden" r:id="rId49"/>
  </sheets>
  <definedNames>
    <definedName name="CALCULATED_STAGE_VIEW_COLUMNS">DIMHELPER!$E$2</definedName>
    <definedName name="COLHELPER_NUMBER_OF_PARTITION_COLUMNS">COLHELPER!$F$152</definedName>
    <definedName name="DIMENSIONS_JOIN_CONDITION_TABLE">DIMENSIONS!$L$70</definedName>
    <definedName name="HELPER_CREATE_VIEW">HELPER!$C$140</definedName>
    <definedName name="HELPER_FULL_TABLE_NAME">HELPER!$B$4</definedName>
    <definedName name="MERGE_UPDATE_COLUMN_LIST">COLHELPER!$AP$152</definedName>
    <definedName name="REPLACE_ADD_PARTITION">OUTPUT!$B$68</definedName>
    <definedName name="REPLACE_ADD_RAW_PARTITION">OUTPUT!$B$84</definedName>
    <definedName name="REPLACE_ADD_TARGET_PARTITION">OUTPUT!$B$69</definedName>
    <definedName name="REPLACE_APPLY_DMA_ON_TABLE">OUTPUT!$B$42</definedName>
    <definedName name="REPLACE_ATHENA_OUTPUT_LOCATION">OUTPUT!$B$18</definedName>
    <definedName name="REPLACE_AWS_ACCOUNT_NUMBER">OUTPUT!$B$16</definedName>
    <definedName name="REPLACE_AWS_ATHENA_OUTPUT_S3_LOCATION">OUTPUT!$B$19</definedName>
    <definedName name="REPLACE_AWS_ATHENA_WORKGROUP">OUTPUT!$B$20</definedName>
    <definedName name="REPLACE_AWS_ENVIRONMENT_UPPERCASE">OUTPUT!$B$14</definedName>
    <definedName name="REPLACE_AWS_REGION">OUTPUT!$B$15</definedName>
    <definedName name="REPLACE_AWS_STEPS_LOOP_NAME">OUTPUT!$B$12</definedName>
    <definedName name="REPLACE_AWS_STEPS_NAME">OUTPUT!$B$8</definedName>
    <definedName name="REPLACE_AWS_STEPS_NAME_MINI_DIMENSION">OUTPUT!$B$10</definedName>
    <definedName name="REPLACE_BUCKET_NAME">OUTPUT!$B$22</definedName>
    <definedName name="REPLACE_CODEGEN_VERSION">OUTPUT!$B$3</definedName>
    <definedName name="REPLACE_CREATE_MINI_DIMENSION">OUTPUT!$B$126</definedName>
    <definedName name="REPLACE_CREATE_RAW_TABLE">OUTPUT!$B$83</definedName>
    <definedName name="REPLACE_CREATE_TARGET_TABLE">OUTPUT!$B$45</definedName>
    <definedName name="REPLACE_CREATE_TARGET_TABLE_EXTERNAL">OUTPUT!$B$46</definedName>
    <definedName name="REPLACE_CREATE_TARRGET_TABLE_EXTERNAL">OUTPUT!$B$46</definedName>
    <definedName name="REPLACE_CREATE_VIEW">OUTPUT!$B$53</definedName>
    <definedName name="REPLACE_CURRENT_DATE">OUTPUT!$B$2</definedName>
    <definedName name="REPLACE_DATABASE_NAME">OUTPUT!$B$32</definedName>
    <definedName name="REPLACE_DEPLOY_TO_ENVIRONMENT">OUTPUT!$B$7</definedName>
    <definedName name="REPLACE_DIM1_JOINS">OUTPUT!$B$96</definedName>
    <definedName name="REPLACE_DIM2_JOINS">OUTPUT!$B$97</definedName>
    <definedName name="REPLACE_DIM3_JOINS">OUTPUT!$B$98</definedName>
    <definedName name="REPLACE_DIM4_JOINS">OUTPUT!$B$99</definedName>
    <definedName name="REPLACE_DIM5_JOINS">OUTPUT!$B$100</definedName>
    <definedName name="REPLACE_DIMENSIONS_JOIN_CONDITION_TABLE">OUTPUT!$B$113</definedName>
    <definedName name="REPLACE_DLT_CREATE_GOLD_TABLE">DLT!$B$14</definedName>
    <definedName name="REPLACE_DROP_SOURCE_VIEW">OUTPUT!$B$55</definedName>
    <definedName name="REPLACE_DROP_STAGE_VIEW">OUTPUT!$B$54</definedName>
    <definedName name="REPLACE_DROP_TABLE">OUTPUT!$B$39</definedName>
    <definedName name="REPLACE_DROP_TABLE_MINI_DIMENSION">OUTPUT!$B$129</definedName>
    <definedName name="REPLACE_FULL_SOURCE_TABLE_NAME">OUTPUT!$B$29</definedName>
    <definedName name="REPLACE_FULL_TABLE_NAME_MINI_DIMENSION">OUTPUT!$B$131</definedName>
    <definedName name="REPLACE_GENERATED_SOURCE_TABLE_SELECT">OUTPUT!$B$144</definedName>
    <definedName name="REPLACE_HTML_DOC_FILENAME">OUTPUT!$B$13</definedName>
    <definedName name="REPLACE_HTML_TABLE_OF_DIMENSIONS">OUTPUT!$B$120</definedName>
    <definedName name="REPLACE_HTML_TABLE_OF_TEMPLATES">OUTPUT!$B$117</definedName>
    <definedName name="REPLACE_IS_SOURCE_VIEW_IN_USE">OUTPUT!$B$58</definedName>
    <definedName name="REPLACE_JOIN_CONDITION_TABLE">OUTPUT!$B$113</definedName>
    <definedName name="REPLACE_LIST_OF_BK_IN_SOURCE">OUTPUT!$B$147</definedName>
    <definedName name="REPLACE_LIST_OF_BK_IN_SOURCE_VIEW">OUTPUT!$B$148</definedName>
    <definedName name="REPLACE_LIST_OF_DIMENSIONS">OUTPUT!$B$95</definedName>
    <definedName name="REPLACE_LIST_OF_QUALIFIED_DIMENSIONS">OUTPUT!$B$94</definedName>
    <definedName name="REPLACE_MINI_DIM_DROP_TABLE">OUTPUT!$B$125</definedName>
    <definedName name="REPLACE_MINI_DIMENSION_RESOURCE_NAME">OUTPUT!$B$11</definedName>
    <definedName name="REPLACE_MISSING_MEMBER">OUTPUT!$B$48</definedName>
    <definedName name="REPLACE_MISSING_MEMBER_MINI_DIMENSION">OUTPUT!$B$132</definedName>
    <definedName name="REPLACE_OPTIMIZE_TABLE">OUTPUT!$B$59</definedName>
    <definedName name="REPLACE_OPTIMIZE_TABLE_MINI_DIMENSION">OUTPUT!$B$134</definedName>
    <definedName name="REPLACE_POPULATE_DATA">OUTPUT!$B$49</definedName>
    <definedName name="REPLACE_POPULATE_DATA_INCREMENTALY">OUTPUT!$B$50</definedName>
    <definedName name="REPLACE_POPULATE_DATA_INCREMENTLY">OUTPUT!$B$50</definedName>
    <definedName name="REPLACE_POPULATE_MINI_DIMENSION">OUTPUT!$B$127</definedName>
    <definedName name="REPLACE_PREFIX">OUTPUT!$B$25</definedName>
    <definedName name="REPLACE_RAW_BUCKET">OUTPUT!$B$89</definedName>
    <definedName name="REPLACE_RAW_BUCKET_NAME">OUTPUT!$B$76</definedName>
    <definedName name="REPLACE_RAW_DATABASE_NAME">OUTPUT!$B$85</definedName>
    <definedName name="REPLACE_RAW_DMS_BUCKET_NAME">OUTPUT!$B$77</definedName>
    <definedName name="REPLACE_RAW_PARTITION_PREFIX">OUTPUT!$B$88</definedName>
    <definedName name="REPLACE_RAW_PARTITION_S3_PATH">OUTPUT!$B$90</definedName>
    <definedName name="REPLACE_RAW_PREFIX">OUTPUT!$B$87</definedName>
    <definedName name="REPLACE_RAW_S3_PATH">OUTPUT!$B$90</definedName>
    <definedName name="REPLACE_RAW_TABLE_NAME">OUTPUT!$B$86</definedName>
    <definedName name="REPLACE_RESOURCE_IDENTIFIER">OUTPUT!$B$9</definedName>
    <definedName name="REPLACE_SCD4_CREATE_FACTLESSFACT_TABLE">OUTPUT!$B$137</definedName>
    <definedName name="REPLACE_SCD4_DROP_FACTLESSFACT_TABLE">OUTPUT!$B$138</definedName>
    <definedName name="REPLACE_SCD4_FACTLESSFACT_CREATE_INITIAL_LOAD_VIEW">OUTPUT!$B$145</definedName>
    <definedName name="REPLACE_SCD4_FACTLESSFACT_DROP_TABLE">OUTPUT!$B$143</definedName>
    <definedName name="REPLACE_SCD4_FACTLESSFACT_INSERT_INITIAL_DATA">OUTPUT!$B$146</definedName>
    <definedName name="REPLACE_SCD4_FACTLESSFACT_SET_ISLATEST">OUTPUT!$B$140</definedName>
    <definedName name="REPLACE_SCD4_INITIAL_LOAD_MINI_DIM">OUTPUT!$B$155</definedName>
    <definedName name="REPLACE_SCD4_INITIAL_LOAD_MINI_DIM_SOURCE_TABLE_NAME">OUTPUT!$B$152</definedName>
    <definedName name="REPLACE_SCD4_INITIAL_LOAD_MINIDIM_SOURCE_TABLE_NAME">OUTPUT!$B$152</definedName>
    <definedName name="REPLACE_SCD4_INITIAL_LOAD_POPULATE_FACTLESSFACT">OUTPUT!$B$154</definedName>
    <definedName name="REPLACE_SCD4_INITIAL_LOAD_POPULATE_MINI_DIM">OUTPUT!$B$153</definedName>
    <definedName name="REPLACE_SCD4_INITIAL_LOAD_POPULATE_TABLE">OUTPUT!$B$153</definedName>
    <definedName name="REPLACE_SCD4_OPTIMIZE_FACTLESSFACT_TABLE">OUTPUT!$B$142</definedName>
    <definedName name="REPLACE_SCD4_POPULATE_FACTLESSFACT_TABLE">OUTPUT!$B$139</definedName>
    <definedName name="REPLACE_SET_ISCURRENT_0">OUTPUT!$B$51</definedName>
    <definedName name="REPLACE_SET_ISCURRENT_0_MINI_DIMENSION">OUTPUT!$B$128</definedName>
    <definedName name="REPLACE_SET_ISCURRENT_1">OUTPUT!$B$52</definedName>
    <definedName name="REPLACE_SET_ISCURRENT_1_MINI_DIMENSION">OUTPUT!$B$133</definedName>
    <definedName name="REPLACE_SHOW_HTML_MINI_DIMENSION">OUTPUT!$B$141</definedName>
    <definedName name="REPLACE_SOLUTION_LONG_NAME">OUTPUT!$B$6</definedName>
    <definedName name="REPLACE_SOLUTION_NAME">OUTPUT!$B$5</definedName>
    <definedName name="REPLACE_SOURCE_DATABASE">OUTPUT!$B$31</definedName>
    <definedName name="REPLACE_SOURCE_DATABASE_NAME">OUTPUT!$B$32</definedName>
    <definedName name="REPLACE_SOURCE_TABLE_NAME">OUTPUT!$B$30</definedName>
    <definedName name="REPLACE_SOURCE_TABLE_VISABILITY">OUTPUT!$B$111</definedName>
    <definedName name="REPLACE_SOURCE_VIEW">OUTPUT!$B$57</definedName>
    <definedName name="REPLACE_SOURCE_VIEW_DESCRIPTION">OUTPUT!$B$112</definedName>
    <definedName name="REPLACE_SOURCE_VIEW_NAME">OUTPUT!$B$56</definedName>
    <definedName name="REPLACE_SOURCE_VIEW_VISABILITY">OUTPUT!$B$110</definedName>
    <definedName name="REPLACE_SQL_CUSTOM_SOURCE_VIEW">OUTPUT!$B$158</definedName>
    <definedName name="REPLACE_STAGE_VIEW">OUTPUT!$B$44</definedName>
    <definedName name="REPLACE_STAGE_VIEW_SELECT">OUTPUT!$B$103</definedName>
    <definedName name="REPLACE_STAGED_BUCKET_NAME">OUTPUT!$B$78</definedName>
    <definedName name="REPLACE_TABLE_DESCRIPTION">OUTPUT!$B$108</definedName>
    <definedName name="REPLACE_TABLE_NAME">OUTPUT!$B$35</definedName>
    <definedName name="REPLACE_TABLE_NAME_MINI_DIMENSION">OUTPUT!$B$130</definedName>
    <definedName name="REPLACE_TARGET_BUCKET">OUTPUT!$B$23</definedName>
    <definedName name="REPLACE_TARGET_DATABASE_NAME">OUTPUT!$B$33</definedName>
    <definedName name="REPLACE_TARGET_PREFIX">OUTPUT!$B$26</definedName>
    <definedName name="REPLACE_TARGET_ROOT_PREFIX">OUTPUT!$B$24</definedName>
    <definedName name="REPLACE_TARGET_TABLE">OUTPUT!$B$35</definedName>
    <definedName name="REPLACE_TARGET_TABLE_HTML">OUTPUT!$B$109</definedName>
    <definedName name="REPLACE_TARGET_TABLE_NAME">OUTPUT!$B$36</definedName>
    <definedName name="REPLACE_TARGET_TABLE_NAME_MINI_DIMENSION">OUTPUT!$B$136</definedName>
    <definedName name="REPLACE_TARGET_TABLE_PREFIX">OUTPUT!$B$27</definedName>
    <definedName name="REPLACE_TARGET_TABLE_S3_LOCATION">OUTPUT!$B$28</definedName>
    <definedName name="REPLACE_TEMPLATE_NUMBER">OUTPUT!$B$4</definedName>
    <definedName name="REPLACE_TEMPLATE_VARIABLES">OUTPUT!$B$116</definedName>
    <definedName name="REPLACE_TEST_SOURCE_BK">OUTPUT!$B$149</definedName>
    <definedName name="REPLACE_UNLOAD_TABLE">OUTPUT!$B$66</definedName>
    <definedName name="REPLACE_UNLOAD_TARGET_PARTITION">OUTPUT!$B$67</definedName>
    <definedName name="REPLACE_USE_MINI_DIMENSION">OUTPUT!$B$135</definedName>
    <definedName name="REPLACE_USE_SCD_2">OUTPUT!$B$43</definedName>
    <definedName name="REPLACE_USE_SOURCE_VIEW">OUTPUT!$B$122</definedName>
    <definedName name="REPLACE_VACCUM_TABLE">OUTPUT!$B$60</definedName>
    <definedName name="REPLACE_VERIFY_BK_UNIQUE">OUTPUT!$B$63</definedName>
    <definedName name="REPLACE_VERIFY_PARTITION_ROW_COUNT">OUTPUT!$B$70</definedName>
    <definedName name="REPLACE_VERIFY_TARGET_PARTITION_ROW_COUNT">OUTPUT!$B$71</definedName>
    <definedName name="REPLACE_VERIFY_WK_NOT_NULL">OUTPUT!$B$62</definedName>
    <definedName name="REPLACE_VERIFY_WK_UNIQUE">OUTPUT!$B$61</definedName>
    <definedName name="TEMP_REPLACE_CREATE_VIEW">OUTPUT_CREATEVIEW!$B$2</definedName>
    <definedName name="UNLOAD_ALTER_TABLE_ADD_PARTITION">UNLOAD!$C$11</definedName>
    <definedName name="UNLOAD_NUMBER_OF_PARTITION_COLUMNS">UNLOAD!$C$1</definedName>
    <definedName name="USERINPUT_CREATE_ATHENA_TABLE">Options!$B$10</definedName>
    <definedName name="USERINPUT_DEFAULT_LAST_MODIFIED_TIMESTAMP_COL_NAME">Options!$B$45</definedName>
    <definedName name="USERINPUT_IS_DIMENSION_TABLE">Options!$B$31</definedName>
    <definedName name="USERINPUT_LAST_MODIFIED_TIMESTAMP_COL_NAME">Options!$B$14</definedName>
    <definedName name="USERINPUT_LOAD_DATE_COLUMN_NAME">Options!$B$13</definedName>
    <definedName name="USERINPUT_SOURCE_VIEW">'Custom Source View'!$A$2</definedName>
    <definedName name="USERINPUT_SOURCE_VIEW_DESCRIPTION">Doc!$B$6</definedName>
    <definedName name="USERINPUT_TABLE_DESCRIPTION">Doc!$B$2</definedName>
    <definedName name="USERINPUT_USE_SOURCE_VIEW">Options!$B$19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7" i="46" l="1"/>
  <c r="A18" i="42"/>
  <c r="B4" i="41"/>
  <c r="E22" i="39"/>
  <c r="E21" i="39"/>
  <c r="E20" i="39"/>
  <c r="D17" i="39"/>
  <c r="C17" i="39"/>
  <c r="D16" i="39"/>
  <c r="C16" i="39"/>
  <c r="D15" i="39"/>
  <c r="C15" i="39"/>
  <c r="C14" i="39"/>
  <c r="D14" i="39" s="1"/>
  <c r="D13" i="39"/>
  <c r="C13" i="39"/>
  <c r="C12" i="39"/>
  <c r="D12" i="39" s="1"/>
  <c r="B14" i="36"/>
  <c r="E10" i="36"/>
  <c r="B10" i="36"/>
  <c r="E9" i="36"/>
  <c r="B9" i="36"/>
  <c r="E7" i="36"/>
  <c r="B7" i="36"/>
  <c r="A7" i="36"/>
  <c r="A8" i="36" s="1"/>
  <c r="A1" i="36"/>
  <c r="B20" i="35"/>
  <c r="C19" i="35" a="1"/>
  <c r="C19" i="35" s="1"/>
  <c r="C18" i="35" a="1"/>
  <c r="C18" i="35" s="1"/>
  <c r="C17" i="35" a="1"/>
  <c r="C17" i="35" s="1"/>
  <c r="C16" i="35" a="1"/>
  <c r="C16" i="35" s="1"/>
  <c r="C15" i="35" a="1"/>
  <c r="C15" i="35" s="1"/>
  <c r="C14" i="35" a="1"/>
  <c r="C14" i="35" s="1"/>
  <c r="C13" i="35" a="1"/>
  <c r="C13" i="35" s="1"/>
  <c r="C12" i="35" a="1"/>
  <c r="C12" i="35" s="1"/>
  <c r="F11" i="35" a="1"/>
  <c r="F11" i="35" s="1"/>
  <c r="F10" i="35" a="1"/>
  <c r="F10" i="35" s="1"/>
  <c r="F7" i="25"/>
  <c r="B35" i="24"/>
  <c r="B33" i="24"/>
  <c r="B25" i="24"/>
  <c r="B7" i="24"/>
  <c r="B6" i="24"/>
  <c r="BV275" i="23"/>
  <c r="BU275" i="23"/>
  <c r="BT275" i="23"/>
  <c r="BR275" i="23"/>
  <c r="BO275" i="23"/>
  <c r="BN275" i="23"/>
  <c r="BM275" i="23"/>
  <c r="BJ275" i="23"/>
  <c r="BH275" i="23"/>
  <c r="BF275" i="23"/>
  <c r="BC275" i="23"/>
  <c r="BA275" i="23"/>
  <c r="AX275" i="23"/>
  <c r="AU275" i="23"/>
  <c r="AT275" i="23"/>
  <c r="AS275" i="23"/>
  <c r="AP275" i="23"/>
  <c r="AO275" i="23"/>
  <c r="AN275" i="23"/>
  <c r="AG275" i="23"/>
  <c r="AF275" i="23"/>
  <c r="AE275" i="23"/>
  <c r="AH275" i="23" s="1"/>
  <c r="AA275" i="23"/>
  <c r="AB275" i="23" s="1"/>
  <c r="V275" i="23"/>
  <c r="S275" i="23"/>
  <c r="BV274" i="23"/>
  <c r="BU274" i="23"/>
  <c r="BT274" i="23"/>
  <c r="BR274" i="23"/>
  <c r="BO274" i="23"/>
  <c r="BN274" i="23"/>
  <c r="BM274" i="23"/>
  <c r="BJ274" i="23"/>
  <c r="BH274" i="23"/>
  <c r="BF274" i="23"/>
  <c r="BC274" i="23"/>
  <c r="BA274" i="23"/>
  <c r="AX274" i="23"/>
  <c r="AU274" i="23"/>
  <c r="AT274" i="23"/>
  <c r="AS274" i="23"/>
  <c r="AP274" i="23"/>
  <c r="AO274" i="23"/>
  <c r="AN274" i="23"/>
  <c r="AH274" i="23"/>
  <c r="AG274" i="23"/>
  <c r="AE274" i="23"/>
  <c r="AF274" i="23" s="1"/>
  <c r="AA274" i="23"/>
  <c r="AB274" i="23" s="1"/>
  <c r="V274" i="23"/>
  <c r="S274" i="23"/>
  <c r="BV273" i="23"/>
  <c r="BU273" i="23"/>
  <c r="BT273" i="23"/>
  <c r="BR273" i="23"/>
  <c r="BO273" i="23"/>
  <c r="BN273" i="23"/>
  <c r="BM273" i="23"/>
  <c r="BJ273" i="23"/>
  <c r="BH273" i="23"/>
  <c r="BF273" i="23"/>
  <c r="BC273" i="23"/>
  <c r="BA273" i="23"/>
  <c r="AX273" i="23"/>
  <c r="AU273" i="23"/>
  <c r="AT273" i="23"/>
  <c r="AS273" i="23"/>
  <c r="AP273" i="23"/>
  <c r="AO273" i="23"/>
  <c r="AN273" i="23"/>
  <c r="AH273" i="23"/>
  <c r="AG273" i="23"/>
  <c r="AF273" i="23"/>
  <c r="AE273" i="23"/>
  <c r="AA273" i="23"/>
  <c r="AB273" i="23" s="1"/>
  <c r="V273" i="23"/>
  <c r="S273" i="23"/>
  <c r="BV272" i="23"/>
  <c r="BU272" i="23"/>
  <c r="BT272" i="23"/>
  <c r="BR272" i="23"/>
  <c r="BO272" i="23"/>
  <c r="BN272" i="23"/>
  <c r="BM272" i="23"/>
  <c r="BJ272" i="23"/>
  <c r="BH272" i="23"/>
  <c r="BF272" i="23"/>
  <c r="BC272" i="23"/>
  <c r="BA272" i="23"/>
  <c r="AX272" i="23"/>
  <c r="AU272" i="23"/>
  <c r="AT272" i="23"/>
  <c r="AS272" i="23"/>
  <c r="AP272" i="23"/>
  <c r="AO272" i="23"/>
  <c r="AN272" i="23"/>
  <c r="AH272" i="23"/>
  <c r="AG272" i="23"/>
  <c r="AF272" i="23"/>
  <c r="AE272" i="23"/>
  <c r="AA272" i="23"/>
  <c r="AB272" i="23" s="1"/>
  <c r="V272" i="23"/>
  <c r="S272" i="23"/>
  <c r="BV271" i="23"/>
  <c r="BU271" i="23"/>
  <c r="BT271" i="23"/>
  <c r="BR271" i="23"/>
  <c r="BN271" i="23"/>
  <c r="BM271" i="23"/>
  <c r="BJ271" i="23"/>
  <c r="BF271" i="23"/>
  <c r="BC271" i="23"/>
  <c r="BA271" i="23"/>
  <c r="AX271" i="23"/>
  <c r="AU271" i="23"/>
  <c r="AT271" i="23"/>
  <c r="AS271" i="23"/>
  <c r="AP271" i="23"/>
  <c r="AO271" i="23"/>
  <c r="AN271" i="23"/>
  <c r="AE271" i="23"/>
  <c r="AA271" i="23"/>
  <c r="AB271" i="23" s="1"/>
  <c r="V271" i="23"/>
  <c r="S271" i="23"/>
  <c r="BV270" i="23"/>
  <c r="BU270" i="23"/>
  <c r="BT270" i="23"/>
  <c r="BR270" i="23"/>
  <c r="BN270" i="23"/>
  <c r="BM270" i="23"/>
  <c r="BJ270" i="23"/>
  <c r="BF270" i="23"/>
  <c r="BC270" i="23"/>
  <c r="BA270" i="23"/>
  <c r="AX270" i="23"/>
  <c r="AU270" i="23"/>
  <c r="AT270" i="23"/>
  <c r="AS270" i="23"/>
  <c r="AP270" i="23"/>
  <c r="AO270" i="23"/>
  <c r="AN270" i="23"/>
  <c r="AH270" i="23"/>
  <c r="AG270" i="23"/>
  <c r="AF270" i="23"/>
  <c r="AE270" i="23"/>
  <c r="AA270" i="23"/>
  <c r="AB270" i="23" s="1"/>
  <c r="V270" i="23"/>
  <c r="S270" i="23"/>
  <c r="BV269" i="23"/>
  <c r="BU269" i="23"/>
  <c r="BT269" i="23"/>
  <c r="BR269" i="23"/>
  <c r="BN269" i="23"/>
  <c r="BM269" i="23"/>
  <c r="BJ269" i="23"/>
  <c r="BF269" i="23"/>
  <c r="BC269" i="23"/>
  <c r="BA269" i="23"/>
  <c r="AY269" i="23"/>
  <c r="AX269" i="23"/>
  <c r="AU269" i="23"/>
  <c r="AT269" i="23"/>
  <c r="AS269" i="23"/>
  <c r="AP269" i="23"/>
  <c r="AO269" i="23"/>
  <c r="AN269" i="23"/>
  <c r="AF269" i="23"/>
  <c r="AE269" i="23"/>
  <c r="AA269" i="23"/>
  <c r="AB269" i="23" s="1"/>
  <c r="V269" i="23"/>
  <c r="S269" i="23"/>
  <c r="BV268" i="23"/>
  <c r="BU268" i="23"/>
  <c r="BT268" i="23"/>
  <c r="BR268" i="23"/>
  <c r="BN268" i="23"/>
  <c r="BM268" i="23"/>
  <c r="BJ268" i="23"/>
  <c r="BF268" i="23"/>
  <c r="BC268" i="23"/>
  <c r="BA268" i="23"/>
  <c r="AY268" i="23"/>
  <c r="AX268" i="23"/>
  <c r="AT268" i="23"/>
  <c r="AS268" i="23"/>
  <c r="AU268" i="23" s="1"/>
  <c r="AP268" i="23"/>
  <c r="AO268" i="23"/>
  <c r="AN268" i="23"/>
  <c r="AG268" i="23"/>
  <c r="AF268" i="23"/>
  <c r="AE268" i="23"/>
  <c r="AH268" i="23" s="1"/>
  <c r="AA268" i="23"/>
  <c r="AB268" i="23" s="1"/>
  <c r="V268" i="23"/>
  <c r="S268" i="23"/>
  <c r="BV267" i="23"/>
  <c r="BU267" i="23"/>
  <c r="BT267" i="23"/>
  <c r="BR267" i="23"/>
  <c r="BN267" i="23"/>
  <c r="BM267" i="23"/>
  <c r="BJ267" i="23"/>
  <c r="BG267" i="23"/>
  <c r="BF267" i="23"/>
  <c r="BC267" i="23"/>
  <c r="BA267" i="23"/>
  <c r="AY267" i="23"/>
  <c r="AX267" i="23"/>
  <c r="AT267" i="23"/>
  <c r="AS267" i="23"/>
  <c r="AU267" i="23" s="1"/>
  <c r="AP267" i="23"/>
  <c r="AO267" i="23"/>
  <c r="AN267" i="23"/>
  <c r="AH267" i="23"/>
  <c r="AG267" i="23"/>
  <c r="AE267" i="23"/>
  <c r="AF267" i="23" s="1"/>
  <c r="AA267" i="23"/>
  <c r="AB267" i="23" s="1"/>
  <c r="V267" i="23"/>
  <c r="S267" i="23"/>
  <c r="BV266" i="23"/>
  <c r="BU266" i="23"/>
  <c r="BT266" i="23"/>
  <c r="BR266" i="23"/>
  <c r="BN266" i="23"/>
  <c r="BM266" i="23"/>
  <c r="BJ266" i="23"/>
  <c r="BF266" i="23"/>
  <c r="BC266" i="23"/>
  <c r="BA266" i="23"/>
  <c r="AY266" i="23"/>
  <c r="AX266" i="23"/>
  <c r="AT266" i="23"/>
  <c r="BG266" i="23" s="1"/>
  <c r="AS266" i="23"/>
  <c r="AU266" i="23" s="1"/>
  <c r="AP266" i="23"/>
  <c r="AO266" i="23"/>
  <c r="AN266" i="23"/>
  <c r="AE266" i="23"/>
  <c r="AA266" i="23"/>
  <c r="AB266" i="23" s="1"/>
  <c r="V266" i="23"/>
  <c r="S266" i="23"/>
  <c r="BV265" i="23"/>
  <c r="BU265" i="23"/>
  <c r="BT265" i="23"/>
  <c r="BR265" i="23"/>
  <c r="BN265" i="23"/>
  <c r="BM265" i="23"/>
  <c r="BJ265" i="23"/>
  <c r="BG265" i="23"/>
  <c r="BF265" i="23"/>
  <c r="BC265" i="23"/>
  <c r="BA265" i="23"/>
  <c r="AY265" i="23"/>
  <c r="AX265" i="23"/>
  <c r="AT265" i="23"/>
  <c r="AS265" i="23"/>
  <c r="AU265" i="23" s="1"/>
  <c r="AP265" i="23"/>
  <c r="AO265" i="23"/>
  <c r="AN265" i="23"/>
  <c r="AH265" i="23"/>
  <c r="AG265" i="23"/>
  <c r="AE265" i="23"/>
  <c r="AF265" i="23" s="1"/>
  <c r="AA265" i="23"/>
  <c r="AB265" i="23" s="1"/>
  <c r="V265" i="23"/>
  <c r="S265" i="23"/>
  <c r="BV264" i="23"/>
  <c r="BU264" i="23"/>
  <c r="BT264" i="23"/>
  <c r="BR264" i="23"/>
  <c r="BN264" i="23"/>
  <c r="BM264" i="23"/>
  <c r="BJ264" i="23"/>
  <c r="BG264" i="23"/>
  <c r="BF264" i="23"/>
  <c r="BC264" i="23"/>
  <c r="BA264" i="23"/>
  <c r="AY264" i="23"/>
  <c r="AX264" i="23"/>
  <c r="AT264" i="23"/>
  <c r="AS264" i="23"/>
  <c r="AU264" i="23" s="1"/>
  <c r="AP264" i="23"/>
  <c r="AO264" i="23"/>
  <c r="AN264" i="23"/>
  <c r="AH264" i="23"/>
  <c r="AE264" i="23"/>
  <c r="AA264" i="23"/>
  <c r="AB264" i="23" s="1"/>
  <c r="V264" i="23"/>
  <c r="S264" i="23"/>
  <c r="BV263" i="23"/>
  <c r="BU263" i="23"/>
  <c r="BT263" i="23"/>
  <c r="BR263" i="23"/>
  <c r="BN263" i="23"/>
  <c r="BM263" i="23"/>
  <c r="BJ263" i="23"/>
  <c r="BG263" i="23"/>
  <c r="BF263" i="23"/>
  <c r="BC263" i="23"/>
  <c r="BA263" i="23"/>
  <c r="AY263" i="23"/>
  <c r="AX263" i="23"/>
  <c r="AT263" i="23"/>
  <c r="AS263" i="23"/>
  <c r="AU263" i="23" s="1"/>
  <c r="AP263" i="23"/>
  <c r="AO263" i="23"/>
  <c r="AN263" i="23"/>
  <c r="AH263" i="23"/>
  <c r="AG263" i="23"/>
  <c r="AF263" i="23"/>
  <c r="AE263" i="23"/>
  <c r="AA263" i="23"/>
  <c r="AB263" i="23" s="1"/>
  <c r="V263" i="23"/>
  <c r="S263" i="23"/>
  <c r="BV262" i="23"/>
  <c r="BU262" i="23"/>
  <c r="BT262" i="23"/>
  <c r="BR262" i="23"/>
  <c r="BN262" i="23"/>
  <c r="BM262" i="23"/>
  <c r="BJ262" i="23"/>
  <c r="BG262" i="23"/>
  <c r="BF262" i="23"/>
  <c r="BC262" i="23"/>
  <c r="BA262" i="23"/>
  <c r="AY262" i="23"/>
  <c r="AX262" i="23"/>
  <c r="AT262" i="23"/>
  <c r="AS262" i="23"/>
  <c r="AU262" i="23" s="1"/>
  <c r="AP262" i="23"/>
  <c r="AO262" i="23"/>
  <c r="AN262" i="23"/>
  <c r="AH262" i="23"/>
  <c r="AG262" i="23"/>
  <c r="AF262" i="23"/>
  <c r="AE262" i="23"/>
  <c r="AA262" i="23"/>
  <c r="AB262" i="23" s="1"/>
  <c r="V262" i="23"/>
  <c r="S262" i="23"/>
  <c r="BV261" i="23"/>
  <c r="BU261" i="23"/>
  <c r="BT261" i="23"/>
  <c r="BR261" i="23"/>
  <c r="BN261" i="23"/>
  <c r="BM261" i="23"/>
  <c r="BJ261" i="23"/>
  <c r="BG261" i="23"/>
  <c r="BF261" i="23"/>
  <c r="BC261" i="23"/>
  <c r="BA261" i="23"/>
  <c r="AY261" i="23"/>
  <c r="AX261" i="23"/>
  <c r="AT261" i="23"/>
  <c r="AS261" i="23"/>
  <c r="AU261" i="23" s="1"/>
  <c r="AP261" i="23"/>
  <c r="AO261" i="23"/>
  <c r="AN261" i="23"/>
  <c r="AH261" i="23"/>
  <c r="AG261" i="23"/>
  <c r="AF261" i="23"/>
  <c r="AE261" i="23"/>
  <c r="AA261" i="23"/>
  <c r="AB261" i="23" s="1"/>
  <c r="V261" i="23"/>
  <c r="S261" i="23"/>
  <c r="BV260" i="23"/>
  <c r="BU260" i="23"/>
  <c r="BT260" i="23"/>
  <c r="BR260" i="23"/>
  <c r="BN260" i="23"/>
  <c r="BM260" i="23"/>
  <c r="BJ260" i="23"/>
  <c r="BF260" i="23"/>
  <c r="BC260" i="23"/>
  <c r="BA260" i="23"/>
  <c r="AY260" i="23"/>
  <c r="AX260" i="23"/>
  <c r="AT260" i="23"/>
  <c r="BG260" i="23" s="1"/>
  <c r="AS260" i="23"/>
  <c r="AU260" i="23" s="1"/>
  <c r="AP260" i="23"/>
  <c r="AO260" i="23"/>
  <c r="AN260" i="23"/>
  <c r="AH260" i="23"/>
  <c r="AG260" i="23"/>
  <c r="AF260" i="23"/>
  <c r="AE260" i="23"/>
  <c r="AA260" i="23"/>
  <c r="AB260" i="23" s="1"/>
  <c r="V260" i="23"/>
  <c r="S260" i="23"/>
  <c r="BV259" i="23"/>
  <c r="BU259" i="23"/>
  <c r="BT259" i="23"/>
  <c r="BR259" i="23"/>
  <c r="BN259" i="23"/>
  <c r="BM259" i="23"/>
  <c r="BJ259" i="23"/>
  <c r="BG259" i="23"/>
  <c r="BF259" i="23"/>
  <c r="BC259" i="23"/>
  <c r="BA259" i="23"/>
  <c r="AY259" i="23"/>
  <c r="AX259" i="23"/>
  <c r="AT259" i="23"/>
  <c r="AS259" i="23"/>
  <c r="AU259" i="23" s="1"/>
  <c r="AP259" i="23"/>
  <c r="AO259" i="23"/>
  <c r="AN259" i="23"/>
  <c r="AE259" i="23"/>
  <c r="AA259" i="23"/>
  <c r="AB259" i="23" s="1"/>
  <c r="V259" i="23"/>
  <c r="S259" i="23"/>
  <c r="BV258" i="23"/>
  <c r="BU258" i="23"/>
  <c r="BT258" i="23"/>
  <c r="BR258" i="23"/>
  <c r="BN258" i="23"/>
  <c r="BM258" i="23"/>
  <c r="BJ258" i="23"/>
  <c r="BF258" i="23"/>
  <c r="BC258" i="23"/>
  <c r="BA258" i="23"/>
  <c r="AY258" i="23"/>
  <c r="AX258" i="23"/>
  <c r="AT258" i="23"/>
  <c r="BG258" i="23" s="1"/>
  <c r="AS258" i="23"/>
  <c r="AU258" i="23" s="1"/>
  <c r="AP258" i="23"/>
  <c r="AO258" i="23"/>
  <c r="AN258" i="23"/>
  <c r="AH258" i="23"/>
  <c r="AE258" i="23"/>
  <c r="AG258" i="23" s="1"/>
  <c r="AA258" i="23"/>
  <c r="AB258" i="23" s="1"/>
  <c r="V258" i="23"/>
  <c r="S258" i="23"/>
  <c r="BV257" i="23"/>
  <c r="BU257" i="23"/>
  <c r="BT257" i="23"/>
  <c r="BR257" i="23"/>
  <c r="BN257" i="23"/>
  <c r="BM257" i="23"/>
  <c r="BJ257" i="23"/>
  <c r="BF257" i="23"/>
  <c r="BC257" i="23"/>
  <c r="BA257" i="23"/>
  <c r="AY257" i="23"/>
  <c r="AX257" i="23"/>
  <c r="AU257" i="23"/>
  <c r="AT257" i="23"/>
  <c r="BG257" i="23" s="1"/>
  <c r="AS257" i="23"/>
  <c r="AP257" i="23"/>
  <c r="AO257" i="23"/>
  <c r="AN257" i="23"/>
  <c r="AE257" i="23"/>
  <c r="AH257" i="23" s="1"/>
  <c r="AA257" i="23"/>
  <c r="AB257" i="23" s="1"/>
  <c r="V257" i="23"/>
  <c r="S257" i="23"/>
  <c r="BV256" i="23"/>
  <c r="BU256" i="23"/>
  <c r="BT256" i="23"/>
  <c r="BR256" i="23"/>
  <c r="BN256" i="23"/>
  <c r="BM256" i="23"/>
  <c r="BJ256" i="23"/>
  <c r="BG256" i="23"/>
  <c r="BF256" i="23"/>
  <c r="BC256" i="23"/>
  <c r="BA256" i="23"/>
  <c r="AY256" i="23"/>
  <c r="AX256" i="23"/>
  <c r="AU256" i="23"/>
  <c r="AT256" i="23"/>
  <c r="AS256" i="23"/>
  <c r="AP256" i="23"/>
  <c r="AO256" i="23"/>
  <c r="AN256" i="23"/>
  <c r="AH256" i="23"/>
  <c r="AG256" i="23"/>
  <c r="AF256" i="23"/>
  <c r="AE256" i="23"/>
  <c r="AA256" i="23"/>
  <c r="AB256" i="23" s="1"/>
  <c r="V256" i="23"/>
  <c r="S256" i="23"/>
  <c r="BV255" i="23"/>
  <c r="BU255" i="23"/>
  <c r="BT255" i="23"/>
  <c r="BR255" i="23"/>
  <c r="BN255" i="23"/>
  <c r="BM255" i="23"/>
  <c r="BJ255" i="23"/>
  <c r="BG255" i="23"/>
  <c r="BF255" i="23"/>
  <c r="BC255" i="23"/>
  <c r="BA255" i="23"/>
  <c r="AY255" i="23"/>
  <c r="AX255" i="23"/>
  <c r="AU255" i="23"/>
  <c r="AT255" i="23"/>
  <c r="AS255" i="23"/>
  <c r="AP255" i="23"/>
  <c r="AO255" i="23"/>
  <c r="AN255" i="23"/>
  <c r="AH255" i="23"/>
  <c r="AF255" i="23"/>
  <c r="AE255" i="23"/>
  <c r="AG255" i="23" s="1"/>
  <c r="AA255" i="23"/>
  <c r="AB255" i="23" s="1"/>
  <c r="V255" i="23"/>
  <c r="S255" i="23"/>
  <c r="BV254" i="23"/>
  <c r="BU254" i="23"/>
  <c r="BT254" i="23"/>
  <c r="BR254" i="23"/>
  <c r="BN254" i="23"/>
  <c r="BM254" i="23"/>
  <c r="BJ254" i="23"/>
  <c r="BF254" i="23"/>
  <c r="BC254" i="23"/>
  <c r="BA254" i="23"/>
  <c r="AY254" i="23"/>
  <c r="AX254" i="23"/>
  <c r="AT254" i="23"/>
  <c r="BG254" i="23" s="1"/>
  <c r="AS254" i="23"/>
  <c r="AU254" i="23" s="1"/>
  <c r="AP254" i="23"/>
  <c r="AO254" i="23"/>
  <c r="AN254" i="23"/>
  <c r="AH254" i="23"/>
  <c r="AG254" i="23"/>
  <c r="AF254" i="23"/>
  <c r="AE254" i="23"/>
  <c r="AA254" i="23"/>
  <c r="AB254" i="23" s="1"/>
  <c r="V254" i="23"/>
  <c r="S254" i="23"/>
  <c r="BV253" i="23"/>
  <c r="BU253" i="23"/>
  <c r="BT253" i="23"/>
  <c r="BR253" i="23"/>
  <c r="BN253" i="23"/>
  <c r="BM253" i="23"/>
  <c r="BJ253" i="23"/>
  <c r="BG253" i="23"/>
  <c r="BF253" i="23"/>
  <c r="BC253" i="23"/>
  <c r="BA253" i="23"/>
  <c r="AY253" i="23"/>
  <c r="AX253" i="23"/>
  <c r="AT253" i="23"/>
  <c r="AS253" i="23"/>
  <c r="AU253" i="23" s="1"/>
  <c r="AP253" i="23"/>
  <c r="AO253" i="23"/>
  <c r="AN253" i="23"/>
  <c r="AH253" i="23"/>
  <c r="AG253" i="23"/>
  <c r="AF253" i="23"/>
  <c r="AE253" i="23"/>
  <c r="AA253" i="23"/>
  <c r="AB253" i="23" s="1"/>
  <c r="V253" i="23"/>
  <c r="S253" i="23"/>
  <c r="BV252" i="23"/>
  <c r="BU252" i="23"/>
  <c r="BT252" i="23"/>
  <c r="BR252" i="23"/>
  <c r="BN252" i="23"/>
  <c r="BM252" i="23"/>
  <c r="BJ252" i="23"/>
  <c r="BF252" i="23"/>
  <c r="BC252" i="23"/>
  <c r="BA252" i="23"/>
  <c r="AY252" i="23"/>
  <c r="AX252" i="23"/>
  <c r="AU252" i="23"/>
  <c r="AT252" i="23"/>
  <c r="BG252" i="23" s="1"/>
  <c r="AS252" i="23"/>
  <c r="AP252" i="23"/>
  <c r="AO252" i="23"/>
  <c r="AN252" i="23"/>
  <c r="AH252" i="23"/>
  <c r="AG252" i="23"/>
  <c r="AF252" i="23"/>
  <c r="AE252" i="23"/>
  <c r="AA252" i="23"/>
  <c r="AB252" i="23" s="1"/>
  <c r="V252" i="23"/>
  <c r="S252" i="23"/>
  <c r="BV251" i="23"/>
  <c r="BU251" i="23"/>
  <c r="BT251" i="23"/>
  <c r="BR251" i="23"/>
  <c r="BN251" i="23"/>
  <c r="BM251" i="23"/>
  <c r="BJ251" i="23"/>
  <c r="BF251" i="23"/>
  <c r="BC251" i="23"/>
  <c r="BA251" i="23"/>
  <c r="AY251" i="23"/>
  <c r="AX251" i="23"/>
  <c r="AU251" i="23"/>
  <c r="AT251" i="23"/>
  <c r="BG251" i="23" s="1"/>
  <c r="AS251" i="23"/>
  <c r="AP251" i="23"/>
  <c r="AO251" i="23"/>
  <c r="AN251" i="23"/>
  <c r="AG251" i="23"/>
  <c r="AF251" i="23"/>
  <c r="AE251" i="23"/>
  <c r="AH251" i="23" s="1"/>
  <c r="AA251" i="23"/>
  <c r="AB251" i="23" s="1"/>
  <c r="V251" i="23"/>
  <c r="S251" i="23"/>
  <c r="BV250" i="23"/>
  <c r="BU250" i="23"/>
  <c r="BT250" i="23"/>
  <c r="BR250" i="23"/>
  <c r="BN250" i="23"/>
  <c r="BM250" i="23"/>
  <c r="BJ250" i="23"/>
  <c r="BG250" i="23"/>
  <c r="BF250" i="23"/>
  <c r="BC250" i="23"/>
  <c r="BA250" i="23"/>
  <c r="AY250" i="23"/>
  <c r="AX250" i="23"/>
  <c r="AT250" i="23"/>
  <c r="AS250" i="23"/>
  <c r="AU250" i="23" s="1"/>
  <c r="AP250" i="23"/>
  <c r="AO250" i="23"/>
  <c r="AN250" i="23"/>
  <c r="AG250" i="23"/>
  <c r="AF250" i="23"/>
  <c r="AE250" i="23"/>
  <c r="AH250" i="23" s="1"/>
  <c r="AA250" i="23"/>
  <c r="AB250" i="23" s="1"/>
  <c r="V250" i="23"/>
  <c r="S250" i="23"/>
  <c r="BV249" i="23"/>
  <c r="BU249" i="23"/>
  <c r="BT249" i="23"/>
  <c r="BR249" i="23"/>
  <c r="BN249" i="23"/>
  <c r="BM249" i="23"/>
  <c r="BJ249" i="23"/>
  <c r="BG249" i="23"/>
  <c r="BF249" i="23"/>
  <c r="BC249" i="23"/>
  <c r="BA249" i="23"/>
  <c r="AY249" i="23"/>
  <c r="AX249" i="23"/>
  <c r="AU249" i="23"/>
  <c r="AT249" i="23"/>
  <c r="AS249" i="23"/>
  <c r="AP249" i="23"/>
  <c r="AO249" i="23"/>
  <c r="AN249" i="23"/>
  <c r="AH249" i="23"/>
  <c r="AG249" i="23"/>
  <c r="AF249" i="23"/>
  <c r="AE249" i="23"/>
  <c r="AA249" i="23"/>
  <c r="AB249" i="23" s="1"/>
  <c r="V249" i="23"/>
  <c r="S249" i="23"/>
  <c r="BV248" i="23"/>
  <c r="BU248" i="23"/>
  <c r="BT248" i="23"/>
  <c r="BR248" i="23"/>
  <c r="BN248" i="23"/>
  <c r="BM248" i="23"/>
  <c r="BJ248" i="23"/>
  <c r="BF248" i="23"/>
  <c r="BC248" i="23"/>
  <c r="BA248" i="23"/>
  <c r="AY248" i="23"/>
  <c r="AX248" i="23"/>
  <c r="AU248" i="23"/>
  <c r="AT248" i="23"/>
  <c r="BG248" i="23" s="1"/>
  <c r="AS248" i="23"/>
  <c r="AP248" i="23"/>
  <c r="AO248" i="23"/>
  <c r="AN248" i="23"/>
  <c r="AH248" i="23"/>
  <c r="AG248" i="23"/>
  <c r="AF248" i="23"/>
  <c r="AE248" i="23"/>
  <c r="AB248" i="23"/>
  <c r="AA248" i="23"/>
  <c r="V248" i="23"/>
  <c r="S248" i="23"/>
  <c r="BV247" i="23"/>
  <c r="BU247" i="23"/>
  <c r="BT247" i="23"/>
  <c r="BR247" i="23"/>
  <c r="BN247" i="23"/>
  <c r="BM247" i="23"/>
  <c r="BJ247" i="23"/>
  <c r="BF247" i="23"/>
  <c r="BC247" i="23"/>
  <c r="BA247" i="23"/>
  <c r="AY247" i="23"/>
  <c r="AX247" i="23"/>
  <c r="AU247" i="23"/>
  <c r="AT247" i="23"/>
  <c r="BG247" i="23" s="1"/>
  <c r="AS247" i="23"/>
  <c r="AP247" i="23"/>
  <c r="AO247" i="23"/>
  <c r="AN247" i="23"/>
  <c r="AG247" i="23"/>
  <c r="AF247" i="23"/>
  <c r="AE247" i="23"/>
  <c r="AH247" i="23" s="1"/>
  <c r="AA247" i="23"/>
  <c r="AB247" i="23" s="1"/>
  <c r="V247" i="23"/>
  <c r="S247" i="23"/>
  <c r="BV246" i="23"/>
  <c r="BU246" i="23"/>
  <c r="BT246" i="23"/>
  <c r="BR246" i="23"/>
  <c r="BN246" i="23"/>
  <c r="BM246" i="23"/>
  <c r="BJ246" i="23"/>
  <c r="BF246" i="23"/>
  <c r="BC246" i="23"/>
  <c r="BA246" i="23"/>
  <c r="AY246" i="23"/>
  <c r="AX246" i="23"/>
  <c r="AT246" i="23"/>
  <c r="BG246" i="23" s="1"/>
  <c r="AS246" i="23"/>
  <c r="AU246" i="23" s="1"/>
  <c r="AP246" i="23"/>
  <c r="AO246" i="23"/>
  <c r="AN246" i="23"/>
  <c r="AH246" i="23"/>
  <c r="AE246" i="23"/>
  <c r="AA246" i="23"/>
  <c r="AB246" i="23" s="1"/>
  <c r="V246" i="23"/>
  <c r="S246" i="23"/>
  <c r="BV245" i="23"/>
  <c r="BU245" i="23"/>
  <c r="BT245" i="23"/>
  <c r="BR245" i="23"/>
  <c r="BN245" i="23"/>
  <c r="BM245" i="23"/>
  <c r="BJ245" i="23"/>
  <c r="BF245" i="23"/>
  <c r="BC245" i="23"/>
  <c r="BA245" i="23"/>
  <c r="AY245" i="23"/>
  <c r="AX245" i="23"/>
  <c r="AU245" i="23"/>
  <c r="AT245" i="23"/>
  <c r="BG245" i="23" s="1"/>
  <c r="AS245" i="23"/>
  <c r="AP245" i="23"/>
  <c r="AO245" i="23"/>
  <c r="AN245" i="23"/>
  <c r="AG245" i="23"/>
  <c r="AE245" i="23"/>
  <c r="AA245" i="23"/>
  <c r="AB245" i="23" s="1"/>
  <c r="V245" i="23"/>
  <c r="S245" i="23"/>
  <c r="BV244" i="23"/>
  <c r="BU244" i="23"/>
  <c r="BT244" i="23"/>
  <c r="BR244" i="23"/>
  <c r="BN244" i="23"/>
  <c r="BM244" i="23"/>
  <c r="BJ244" i="23"/>
  <c r="BF244" i="23"/>
  <c r="BC244" i="23"/>
  <c r="BA244" i="23"/>
  <c r="AY244" i="23"/>
  <c r="AX244" i="23"/>
  <c r="AT244" i="23"/>
  <c r="BG244" i="23" s="1"/>
  <c r="AS244" i="23"/>
  <c r="AU244" i="23" s="1"/>
  <c r="AP244" i="23"/>
  <c r="AO244" i="23"/>
  <c r="AN244" i="23"/>
  <c r="AE244" i="23"/>
  <c r="AA244" i="23"/>
  <c r="AB244" i="23" s="1"/>
  <c r="V244" i="23"/>
  <c r="S244" i="23"/>
  <c r="BV243" i="23"/>
  <c r="BU243" i="23"/>
  <c r="BT243" i="23"/>
  <c r="BR243" i="23"/>
  <c r="BN243" i="23"/>
  <c r="BM243" i="23"/>
  <c r="BJ243" i="23"/>
  <c r="BG243" i="23"/>
  <c r="BF243" i="23"/>
  <c r="BC243" i="23"/>
  <c r="BA243" i="23"/>
  <c r="AY243" i="23"/>
  <c r="AX243" i="23"/>
  <c r="AT243" i="23"/>
  <c r="AS243" i="23"/>
  <c r="AU243" i="23" s="1"/>
  <c r="AP243" i="23"/>
  <c r="AO243" i="23"/>
  <c r="AN243" i="23"/>
  <c r="AH243" i="23"/>
  <c r="AG243" i="23"/>
  <c r="AE243" i="23"/>
  <c r="AF243" i="23" s="1"/>
  <c r="AA243" i="23"/>
  <c r="AB243" i="23" s="1"/>
  <c r="V243" i="23"/>
  <c r="S243" i="23"/>
  <c r="BV242" i="23"/>
  <c r="BU242" i="23"/>
  <c r="BT242" i="23"/>
  <c r="BR242" i="23"/>
  <c r="BN242" i="23"/>
  <c r="BM242" i="23"/>
  <c r="BJ242" i="23"/>
  <c r="BG242" i="23"/>
  <c r="BF242" i="23"/>
  <c r="BC242" i="23"/>
  <c r="BA242" i="23"/>
  <c r="AY242" i="23"/>
  <c r="AX242" i="23"/>
  <c r="AU242" i="23"/>
  <c r="AT242" i="23"/>
  <c r="AS242" i="23"/>
  <c r="AP242" i="23"/>
  <c r="AO242" i="23"/>
  <c r="AN242" i="23"/>
  <c r="AH242" i="23"/>
  <c r="AG242" i="23"/>
  <c r="AE242" i="23"/>
  <c r="AF242" i="23" s="1"/>
  <c r="AA242" i="23"/>
  <c r="AB242" i="23" s="1"/>
  <c r="V242" i="23"/>
  <c r="S242" i="23"/>
  <c r="BV241" i="23"/>
  <c r="BU241" i="23"/>
  <c r="BT241" i="23"/>
  <c r="BR241" i="23"/>
  <c r="BN241" i="23"/>
  <c r="BM241" i="23"/>
  <c r="BJ241" i="23"/>
  <c r="BF241" i="23"/>
  <c r="BC241" i="23"/>
  <c r="BA241" i="23"/>
  <c r="AY241" i="23"/>
  <c r="AX241" i="23"/>
  <c r="AU241" i="23"/>
  <c r="AT241" i="23"/>
  <c r="BG241" i="23" s="1"/>
  <c r="AS241" i="23"/>
  <c r="AP241" i="23"/>
  <c r="AO241" i="23"/>
  <c r="AN241" i="23"/>
  <c r="AF241" i="23"/>
  <c r="AE241" i="23"/>
  <c r="AA241" i="23"/>
  <c r="AB241" i="23" s="1"/>
  <c r="V241" i="23"/>
  <c r="S241" i="23"/>
  <c r="BV240" i="23"/>
  <c r="BU240" i="23"/>
  <c r="BT240" i="23"/>
  <c r="BR240" i="23"/>
  <c r="BN240" i="23"/>
  <c r="BM240" i="23"/>
  <c r="BJ240" i="23"/>
  <c r="BG240" i="23"/>
  <c r="BF240" i="23"/>
  <c r="BC240" i="23"/>
  <c r="BA240" i="23"/>
  <c r="AY240" i="23"/>
  <c r="AX240" i="23"/>
  <c r="AT240" i="23"/>
  <c r="AS240" i="23"/>
  <c r="AU240" i="23" s="1"/>
  <c r="AP240" i="23"/>
  <c r="AO240" i="23"/>
  <c r="AN240" i="23"/>
  <c r="AE240" i="23"/>
  <c r="AA240" i="23"/>
  <c r="AB240" i="23" s="1"/>
  <c r="V240" i="23"/>
  <c r="S240" i="23"/>
  <c r="BV239" i="23"/>
  <c r="BU239" i="23"/>
  <c r="BT239" i="23"/>
  <c r="BR239" i="23"/>
  <c r="BN239" i="23"/>
  <c r="BM239" i="23"/>
  <c r="BJ239" i="23"/>
  <c r="BG239" i="23"/>
  <c r="BF239" i="23"/>
  <c r="BC239" i="23"/>
  <c r="BA239" i="23"/>
  <c r="AY239" i="23"/>
  <c r="AX239" i="23"/>
  <c r="AU239" i="23"/>
  <c r="AT239" i="23"/>
  <c r="AS239" i="23"/>
  <c r="AP239" i="23"/>
  <c r="AO239" i="23"/>
  <c r="AN239" i="23"/>
  <c r="AE239" i="23"/>
  <c r="AA239" i="23"/>
  <c r="AB239" i="23" s="1"/>
  <c r="V239" i="23"/>
  <c r="S239" i="23"/>
  <c r="BV238" i="23"/>
  <c r="BU238" i="23"/>
  <c r="BT238" i="23"/>
  <c r="BR238" i="23"/>
  <c r="BN238" i="23"/>
  <c r="BM238" i="23"/>
  <c r="BJ238" i="23"/>
  <c r="BG238" i="23"/>
  <c r="BF238" i="23"/>
  <c r="BC238" i="23"/>
  <c r="BA238" i="23"/>
  <c r="AY238" i="23"/>
  <c r="AX238" i="23"/>
  <c r="AU238" i="23"/>
  <c r="AT238" i="23"/>
  <c r="AS238" i="23"/>
  <c r="AP238" i="23"/>
  <c r="AO238" i="23"/>
  <c r="AN238" i="23"/>
  <c r="AG238" i="23"/>
  <c r="AF238" i="23"/>
  <c r="AE238" i="23"/>
  <c r="AH238" i="23" s="1"/>
  <c r="AA238" i="23"/>
  <c r="AB238" i="23" s="1"/>
  <c r="V238" i="23"/>
  <c r="S238" i="23"/>
  <c r="BV237" i="23"/>
  <c r="BU237" i="23"/>
  <c r="BT237" i="23"/>
  <c r="BR237" i="23"/>
  <c r="BN237" i="23"/>
  <c r="BM237" i="23"/>
  <c r="BJ237" i="23"/>
  <c r="BG237" i="23"/>
  <c r="BF237" i="23"/>
  <c r="BC237" i="23"/>
  <c r="BA237" i="23"/>
  <c r="AY237" i="23"/>
  <c r="AX237" i="23"/>
  <c r="AU237" i="23"/>
  <c r="AT237" i="23"/>
  <c r="AS237" i="23"/>
  <c r="AP237" i="23"/>
  <c r="AO237" i="23"/>
  <c r="AN237" i="23"/>
  <c r="AE237" i="23"/>
  <c r="AA237" i="23"/>
  <c r="AB237" i="23" s="1"/>
  <c r="V237" i="23"/>
  <c r="S237" i="23"/>
  <c r="BV236" i="23"/>
  <c r="BU236" i="23"/>
  <c r="BT236" i="23"/>
  <c r="BR236" i="23"/>
  <c r="BN236" i="23"/>
  <c r="BM236" i="23"/>
  <c r="BJ236" i="23"/>
  <c r="BF236" i="23"/>
  <c r="BC236" i="23"/>
  <c r="BA236" i="23"/>
  <c r="AY236" i="23"/>
  <c r="AX236" i="23"/>
  <c r="AT236" i="23"/>
  <c r="BG236" i="23" s="1"/>
  <c r="AS236" i="23"/>
  <c r="AU236" i="23" s="1"/>
  <c r="AP236" i="23"/>
  <c r="AO236" i="23"/>
  <c r="AN236" i="23"/>
  <c r="AE236" i="23"/>
  <c r="AA236" i="23"/>
  <c r="AB236" i="23" s="1"/>
  <c r="V236" i="23"/>
  <c r="S236" i="23"/>
  <c r="BV235" i="23"/>
  <c r="BU235" i="23"/>
  <c r="BT235" i="23"/>
  <c r="BR235" i="23"/>
  <c r="BN235" i="23"/>
  <c r="BM235" i="23"/>
  <c r="BJ235" i="23"/>
  <c r="BF235" i="23"/>
  <c r="BC235" i="23"/>
  <c r="BA235" i="23"/>
  <c r="AY235" i="23"/>
  <c r="AX235" i="23"/>
  <c r="AT235" i="23"/>
  <c r="BG235" i="23" s="1"/>
  <c r="AS235" i="23"/>
  <c r="AU235" i="23" s="1"/>
  <c r="AP235" i="23"/>
  <c r="AO235" i="23"/>
  <c r="AN235" i="23"/>
  <c r="AE235" i="23"/>
  <c r="AA235" i="23"/>
  <c r="AB235" i="23" s="1"/>
  <c r="V235" i="23"/>
  <c r="S235" i="23"/>
  <c r="BV234" i="23"/>
  <c r="BU234" i="23"/>
  <c r="BT234" i="23"/>
  <c r="BR234" i="23"/>
  <c r="BN234" i="23"/>
  <c r="BM234" i="23"/>
  <c r="BJ234" i="23"/>
  <c r="BF234" i="23"/>
  <c r="BC234" i="23"/>
  <c r="BA234" i="23"/>
  <c r="AY234" i="23"/>
  <c r="AX234" i="23"/>
  <c r="AT234" i="23"/>
  <c r="BG234" i="23" s="1"/>
  <c r="AS234" i="23"/>
  <c r="AU234" i="23" s="1"/>
  <c r="AP234" i="23"/>
  <c r="AO234" i="23"/>
  <c r="AN234" i="23"/>
  <c r="AH234" i="23"/>
  <c r="AE234" i="23"/>
  <c r="AG234" i="23" s="1"/>
  <c r="AA234" i="23"/>
  <c r="AB234" i="23" s="1"/>
  <c r="V234" i="23"/>
  <c r="S234" i="23"/>
  <c r="BV233" i="23"/>
  <c r="BU233" i="23"/>
  <c r="BT233" i="23"/>
  <c r="BR233" i="23"/>
  <c r="BN233" i="23"/>
  <c r="BM233" i="23"/>
  <c r="BJ233" i="23"/>
  <c r="BG233" i="23"/>
  <c r="BF233" i="23"/>
  <c r="BC233" i="23"/>
  <c r="BA233" i="23"/>
  <c r="AY233" i="23"/>
  <c r="AX233" i="23"/>
  <c r="AU233" i="23"/>
  <c r="AT233" i="23"/>
  <c r="AS233" i="23"/>
  <c r="AP233" i="23"/>
  <c r="AO233" i="23"/>
  <c r="AN233" i="23"/>
  <c r="AH233" i="23"/>
  <c r="AE233" i="23"/>
  <c r="AA233" i="23"/>
  <c r="AB233" i="23" s="1"/>
  <c r="V233" i="23"/>
  <c r="S233" i="23"/>
  <c r="BV232" i="23"/>
  <c r="BU232" i="23"/>
  <c r="BT232" i="23"/>
  <c r="BR232" i="23"/>
  <c r="BN232" i="23"/>
  <c r="BM232" i="23"/>
  <c r="BJ232" i="23"/>
  <c r="BG232" i="23"/>
  <c r="BF232" i="23"/>
  <c r="BC232" i="23"/>
  <c r="BA232" i="23"/>
  <c r="AY232" i="23"/>
  <c r="AX232" i="23"/>
  <c r="AU232" i="23"/>
  <c r="AT232" i="23"/>
  <c r="AS232" i="23"/>
  <c r="AP232" i="23"/>
  <c r="AO232" i="23"/>
  <c r="AN232" i="23"/>
  <c r="AH232" i="23"/>
  <c r="AG232" i="23"/>
  <c r="AF232" i="23"/>
  <c r="AE232" i="23"/>
  <c r="AA232" i="23"/>
  <c r="AB232" i="23" s="1"/>
  <c r="V232" i="23"/>
  <c r="S232" i="23"/>
  <c r="BV231" i="23"/>
  <c r="BU231" i="23"/>
  <c r="BT231" i="23"/>
  <c r="BR231" i="23"/>
  <c r="BN231" i="23"/>
  <c r="BM231" i="23"/>
  <c r="BJ231" i="23"/>
  <c r="BG231" i="23"/>
  <c r="BF231" i="23"/>
  <c r="BC231" i="23"/>
  <c r="BA231" i="23"/>
  <c r="AY231" i="23"/>
  <c r="AX231" i="23"/>
  <c r="AU231" i="23"/>
  <c r="AT231" i="23"/>
  <c r="AS231" i="23"/>
  <c r="AP231" i="23"/>
  <c r="AO231" i="23"/>
  <c r="AN231" i="23"/>
  <c r="AH231" i="23"/>
  <c r="AF231" i="23"/>
  <c r="AE231" i="23"/>
  <c r="AG231" i="23" s="1"/>
  <c r="AA231" i="23"/>
  <c r="AB231" i="23" s="1"/>
  <c r="V231" i="23"/>
  <c r="S231" i="23"/>
  <c r="BV230" i="23"/>
  <c r="BU230" i="23"/>
  <c r="BT230" i="23"/>
  <c r="BR230" i="23"/>
  <c r="BN230" i="23"/>
  <c r="BM230" i="23"/>
  <c r="BJ230" i="23"/>
  <c r="BF230" i="23"/>
  <c r="BC230" i="23"/>
  <c r="BA230" i="23"/>
  <c r="AY230" i="23"/>
  <c r="AX230" i="23"/>
  <c r="AU230" i="23"/>
  <c r="AT230" i="23"/>
  <c r="BG230" i="23" s="1"/>
  <c r="AS230" i="23"/>
  <c r="AP230" i="23"/>
  <c r="AO230" i="23"/>
  <c r="AN230" i="23"/>
  <c r="AH230" i="23"/>
  <c r="AG230" i="23"/>
  <c r="AF230" i="23"/>
  <c r="AE230" i="23"/>
  <c r="AA230" i="23"/>
  <c r="AB230" i="23" s="1"/>
  <c r="V230" i="23"/>
  <c r="S230" i="23"/>
  <c r="BV229" i="23"/>
  <c r="BU229" i="23"/>
  <c r="BT229" i="23"/>
  <c r="BR229" i="23"/>
  <c r="BN229" i="23"/>
  <c r="BM229" i="23"/>
  <c r="BJ229" i="23"/>
  <c r="BF229" i="23"/>
  <c r="BC229" i="23"/>
  <c r="BA229" i="23"/>
  <c r="AY229" i="23"/>
  <c r="AX229" i="23"/>
  <c r="AT229" i="23"/>
  <c r="BG229" i="23" s="1"/>
  <c r="AS229" i="23"/>
  <c r="AU229" i="23" s="1"/>
  <c r="AP229" i="23"/>
  <c r="AO229" i="23"/>
  <c r="AN229" i="23"/>
  <c r="AH229" i="23"/>
  <c r="AG229" i="23"/>
  <c r="AF229" i="23"/>
  <c r="AE229" i="23"/>
  <c r="AA229" i="23"/>
  <c r="AB229" i="23" s="1"/>
  <c r="V229" i="23"/>
  <c r="S229" i="23"/>
  <c r="BV228" i="23"/>
  <c r="BU228" i="23"/>
  <c r="BT228" i="23"/>
  <c r="BR228" i="23"/>
  <c r="BN228" i="23"/>
  <c r="BM228" i="23"/>
  <c r="BJ228" i="23"/>
  <c r="BG228" i="23"/>
  <c r="BF228" i="23"/>
  <c r="BC228" i="23"/>
  <c r="BA228" i="23"/>
  <c r="AY228" i="23"/>
  <c r="AX228" i="23"/>
  <c r="AT228" i="23"/>
  <c r="AS228" i="23"/>
  <c r="AU228" i="23" s="1"/>
  <c r="AP228" i="23"/>
  <c r="AO228" i="23"/>
  <c r="AN228" i="23"/>
  <c r="AE228" i="23"/>
  <c r="AA228" i="23"/>
  <c r="AB228" i="23" s="1"/>
  <c r="V228" i="23"/>
  <c r="S228" i="23"/>
  <c r="BV227" i="23"/>
  <c r="BU227" i="23"/>
  <c r="BT227" i="23"/>
  <c r="BR227" i="23"/>
  <c r="BN227" i="23"/>
  <c r="BM227" i="23"/>
  <c r="BJ227" i="23"/>
  <c r="BG227" i="23"/>
  <c r="BF227" i="23"/>
  <c r="BC227" i="23"/>
  <c r="BA227" i="23"/>
  <c r="AY227" i="23"/>
  <c r="AX227" i="23"/>
  <c r="AU227" i="23"/>
  <c r="AT227" i="23"/>
  <c r="AS227" i="23"/>
  <c r="AP227" i="23"/>
  <c r="AO227" i="23"/>
  <c r="AN227" i="23"/>
  <c r="AH227" i="23"/>
  <c r="AG227" i="23"/>
  <c r="AF227" i="23"/>
  <c r="AE227" i="23"/>
  <c r="AA227" i="23"/>
  <c r="AB227" i="23" s="1"/>
  <c r="V227" i="23"/>
  <c r="S227" i="23"/>
  <c r="BV226" i="23"/>
  <c r="BU226" i="23"/>
  <c r="BT226" i="23"/>
  <c r="BR226" i="23"/>
  <c r="BN226" i="23"/>
  <c r="BM226" i="23"/>
  <c r="BJ226" i="23"/>
  <c r="BG226" i="23"/>
  <c r="BF226" i="23"/>
  <c r="BC226" i="23"/>
  <c r="BA226" i="23"/>
  <c r="AY226" i="23"/>
  <c r="AX226" i="23"/>
  <c r="AT226" i="23"/>
  <c r="AS226" i="23"/>
  <c r="AU226" i="23" s="1"/>
  <c r="AP226" i="23"/>
  <c r="AO226" i="23"/>
  <c r="AN226" i="23"/>
  <c r="AF226" i="23"/>
  <c r="AE226" i="23"/>
  <c r="AA226" i="23"/>
  <c r="AB226" i="23" s="1"/>
  <c r="V226" i="23"/>
  <c r="S226" i="23"/>
  <c r="BV225" i="23"/>
  <c r="BU225" i="23"/>
  <c r="BT225" i="23"/>
  <c r="BR225" i="23"/>
  <c r="BN225" i="23"/>
  <c r="BM225" i="23"/>
  <c r="BJ225" i="23"/>
  <c r="BF225" i="23"/>
  <c r="BC225" i="23"/>
  <c r="BA225" i="23"/>
  <c r="AY225" i="23"/>
  <c r="AX225" i="23"/>
  <c r="AU225" i="23"/>
  <c r="AT225" i="23"/>
  <c r="BG225" i="23" s="1"/>
  <c r="AS225" i="23"/>
  <c r="AP225" i="23"/>
  <c r="AO225" i="23"/>
  <c r="AN225" i="23"/>
  <c r="AF225" i="23"/>
  <c r="AE225" i="23"/>
  <c r="AA225" i="23"/>
  <c r="AB225" i="23" s="1"/>
  <c r="V225" i="23"/>
  <c r="S225" i="23"/>
  <c r="BV224" i="23"/>
  <c r="BU224" i="23"/>
  <c r="BT224" i="23"/>
  <c r="BR224" i="23"/>
  <c r="BN224" i="23"/>
  <c r="BM224" i="23"/>
  <c r="BJ224" i="23"/>
  <c r="BF224" i="23"/>
  <c r="BC224" i="23"/>
  <c r="BA224" i="23"/>
  <c r="AY224" i="23"/>
  <c r="AX224" i="23"/>
  <c r="AU224" i="23"/>
  <c r="AT224" i="23"/>
  <c r="BG224" i="23" s="1"/>
  <c r="AS224" i="23"/>
  <c r="AP224" i="23"/>
  <c r="AO224" i="23"/>
  <c r="AN224" i="23"/>
  <c r="AH224" i="23"/>
  <c r="AG224" i="23"/>
  <c r="AE224" i="23"/>
  <c r="AF224" i="23" s="1"/>
  <c r="AA224" i="23"/>
  <c r="AB224" i="23" s="1"/>
  <c r="V224" i="23"/>
  <c r="S224" i="23"/>
  <c r="BV223" i="23"/>
  <c r="BU223" i="23"/>
  <c r="BT223" i="23"/>
  <c r="BR223" i="23"/>
  <c r="BN223" i="23"/>
  <c r="BM223" i="23"/>
  <c r="BJ223" i="23"/>
  <c r="BF223" i="23"/>
  <c r="BC223" i="23"/>
  <c r="BA223" i="23"/>
  <c r="AY223" i="23"/>
  <c r="AX223" i="23"/>
  <c r="AT223" i="23"/>
  <c r="BG223" i="23" s="1"/>
  <c r="AS223" i="23"/>
  <c r="AU223" i="23" s="1"/>
  <c r="AP223" i="23"/>
  <c r="AO223" i="23"/>
  <c r="AN223" i="23"/>
  <c r="AE223" i="23"/>
  <c r="AA223" i="23"/>
  <c r="AB223" i="23" s="1"/>
  <c r="V223" i="23"/>
  <c r="S223" i="23"/>
  <c r="BV222" i="23"/>
  <c r="BU222" i="23"/>
  <c r="BT222" i="23"/>
  <c r="BR222" i="23"/>
  <c r="BN222" i="23"/>
  <c r="BM222" i="23"/>
  <c r="BJ222" i="23"/>
  <c r="BF222" i="23"/>
  <c r="BC222" i="23"/>
  <c r="BA222" i="23"/>
  <c r="AY222" i="23"/>
  <c r="AX222" i="23"/>
  <c r="AT222" i="23"/>
  <c r="BG222" i="23" s="1"/>
  <c r="AS222" i="23"/>
  <c r="AU222" i="23" s="1"/>
  <c r="AP222" i="23"/>
  <c r="AO222" i="23"/>
  <c r="AN222" i="23"/>
  <c r="AH222" i="23"/>
  <c r="AE222" i="23"/>
  <c r="AA222" i="23"/>
  <c r="AB222" i="23" s="1"/>
  <c r="V222" i="23"/>
  <c r="S222" i="23"/>
  <c r="BV221" i="23"/>
  <c r="BU221" i="23"/>
  <c r="BT221" i="23"/>
  <c r="BR221" i="23"/>
  <c r="BN221" i="23"/>
  <c r="BM221" i="23"/>
  <c r="BJ221" i="23"/>
  <c r="BF221" i="23"/>
  <c r="BC221" i="23"/>
  <c r="BA221" i="23"/>
  <c r="AY221" i="23"/>
  <c r="AX221" i="23"/>
  <c r="AT221" i="23"/>
  <c r="BG221" i="23" s="1"/>
  <c r="AS221" i="23"/>
  <c r="AU221" i="23" s="1"/>
  <c r="AP221" i="23"/>
  <c r="AO221" i="23"/>
  <c r="AN221" i="23"/>
  <c r="AG221" i="23"/>
  <c r="AE221" i="23"/>
  <c r="AA221" i="23"/>
  <c r="AB221" i="23" s="1"/>
  <c r="V221" i="23"/>
  <c r="S221" i="23"/>
  <c r="BV220" i="23"/>
  <c r="BU220" i="23"/>
  <c r="BT220" i="23"/>
  <c r="BR220" i="23"/>
  <c r="BN220" i="23"/>
  <c r="BM220" i="23"/>
  <c r="BJ220" i="23"/>
  <c r="BG220" i="23"/>
  <c r="BF220" i="23"/>
  <c r="BC220" i="23"/>
  <c r="BA220" i="23"/>
  <c r="AY220" i="23"/>
  <c r="AX220" i="23"/>
  <c r="AT220" i="23"/>
  <c r="AS220" i="23"/>
  <c r="AU220" i="23" s="1"/>
  <c r="AP220" i="23"/>
  <c r="AO220" i="23"/>
  <c r="AN220" i="23"/>
  <c r="AG220" i="23"/>
  <c r="AE220" i="23"/>
  <c r="AA220" i="23"/>
  <c r="AB220" i="23" s="1"/>
  <c r="V220" i="23"/>
  <c r="S220" i="23"/>
  <c r="BV219" i="23"/>
  <c r="BU219" i="23"/>
  <c r="BT219" i="23"/>
  <c r="BR219" i="23"/>
  <c r="BN219" i="23"/>
  <c r="BM219" i="23"/>
  <c r="BJ219" i="23"/>
  <c r="BF219" i="23"/>
  <c r="BC219" i="23"/>
  <c r="BA219" i="23"/>
  <c r="AY219" i="23"/>
  <c r="AX219" i="23"/>
  <c r="AU219" i="23"/>
  <c r="AT219" i="23"/>
  <c r="BG219" i="23" s="1"/>
  <c r="AS219" i="23"/>
  <c r="AP219" i="23"/>
  <c r="AO219" i="23"/>
  <c r="AN219" i="23"/>
  <c r="AH219" i="23"/>
  <c r="AG219" i="23"/>
  <c r="AE219" i="23"/>
  <c r="AF219" i="23" s="1"/>
  <c r="AA219" i="23"/>
  <c r="AB219" i="23" s="1"/>
  <c r="V219" i="23"/>
  <c r="S219" i="23"/>
  <c r="BV218" i="23"/>
  <c r="BU218" i="23"/>
  <c r="BT218" i="23"/>
  <c r="BR218" i="23"/>
  <c r="BN218" i="23"/>
  <c r="BM218" i="23"/>
  <c r="BJ218" i="23"/>
  <c r="BG218" i="23"/>
  <c r="BF218" i="23"/>
  <c r="BC218" i="23"/>
  <c r="BA218" i="23"/>
  <c r="AY218" i="23"/>
  <c r="AX218" i="23"/>
  <c r="AU218" i="23"/>
  <c r="AT218" i="23"/>
  <c r="AS218" i="23"/>
  <c r="AP218" i="23"/>
  <c r="AO218" i="23"/>
  <c r="AN218" i="23"/>
  <c r="AG218" i="23"/>
  <c r="AE218" i="23"/>
  <c r="AA218" i="23"/>
  <c r="AB218" i="23" s="1"/>
  <c r="V218" i="23"/>
  <c r="S218" i="23"/>
  <c r="BV217" i="23"/>
  <c r="BU217" i="23"/>
  <c r="BT217" i="23"/>
  <c r="BR217" i="23"/>
  <c r="BN217" i="23"/>
  <c r="BM217" i="23"/>
  <c r="BJ217" i="23"/>
  <c r="BF217" i="23"/>
  <c r="BC217" i="23"/>
  <c r="BA217" i="23"/>
  <c r="AY217" i="23"/>
  <c r="AX217" i="23"/>
  <c r="AU217" i="23"/>
  <c r="AT217" i="23"/>
  <c r="BG217" i="23" s="1"/>
  <c r="AS217" i="23"/>
  <c r="AP217" i="23"/>
  <c r="AO217" i="23"/>
  <c r="AN217" i="23"/>
  <c r="AH217" i="23"/>
  <c r="AE217" i="23"/>
  <c r="AG217" i="23" s="1"/>
  <c r="AA217" i="23"/>
  <c r="AB217" i="23" s="1"/>
  <c r="V217" i="23"/>
  <c r="S217" i="23"/>
  <c r="BV216" i="23"/>
  <c r="BU216" i="23"/>
  <c r="BT216" i="23"/>
  <c r="BR216" i="23"/>
  <c r="BN216" i="23"/>
  <c r="BM216" i="23"/>
  <c r="BJ216" i="23"/>
  <c r="BG216" i="23"/>
  <c r="BF216" i="23"/>
  <c r="BC216" i="23"/>
  <c r="BA216" i="23"/>
  <c r="AY216" i="23"/>
  <c r="AX216" i="23"/>
  <c r="AT216" i="23"/>
  <c r="AS216" i="23"/>
  <c r="AU216" i="23" s="1"/>
  <c r="AP216" i="23"/>
  <c r="AO216" i="23"/>
  <c r="AN216" i="23"/>
  <c r="AH216" i="23"/>
  <c r="AG216" i="23"/>
  <c r="AE216" i="23"/>
  <c r="AF216" i="23" s="1"/>
  <c r="AA216" i="23"/>
  <c r="AB216" i="23" s="1"/>
  <c r="V216" i="23"/>
  <c r="S216" i="23"/>
  <c r="BV215" i="23"/>
  <c r="BU215" i="23"/>
  <c r="BT215" i="23"/>
  <c r="BR215" i="23"/>
  <c r="BN215" i="23"/>
  <c r="BM215" i="23"/>
  <c r="BJ215" i="23"/>
  <c r="BG215" i="23"/>
  <c r="BF215" i="23"/>
  <c r="BC215" i="23"/>
  <c r="BA215" i="23"/>
  <c r="AY215" i="23"/>
  <c r="AX215" i="23"/>
  <c r="AU215" i="23"/>
  <c r="AT215" i="23"/>
  <c r="AS215" i="23"/>
  <c r="AP215" i="23"/>
  <c r="AO215" i="23"/>
  <c r="AN215" i="23"/>
  <c r="AH215" i="23"/>
  <c r="AE215" i="23"/>
  <c r="AF215" i="23" s="1"/>
  <c r="AA215" i="23"/>
  <c r="AB215" i="23" s="1"/>
  <c r="V215" i="23"/>
  <c r="S215" i="23"/>
  <c r="BV214" i="23"/>
  <c r="BU214" i="23"/>
  <c r="BT214" i="23"/>
  <c r="BR214" i="23"/>
  <c r="BN214" i="23"/>
  <c r="BM214" i="23"/>
  <c r="BJ214" i="23"/>
  <c r="BG214" i="23"/>
  <c r="BF214" i="23"/>
  <c r="BC214" i="23"/>
  <c r="BA214" i="23"/>
  <c r="AY214" i="23"/>
  <c r="AX214" i="23"/>
  <c r="AU214" i="23"/>
  <c r="AT214" i="23"/>
  <c r="AS214" i="23"/>
  <c r="AP214" i="23"/>
  <c r="AO214" i="23"/>
  <c r="AN214" i="23"/>
  <c r="AG214" i="23"/>
  <c r="AF214" i="23"/>
  <c r="AE214" i="23"/>
  <c r="AH214" i="23" s="1"/>
  <c r="AA214" i="23"/>
  <c r="AB214" i="23" s="1"/>
  <c r="V214" i="23"/>
  <c r="S214" i="23"/>
  <c r="BV213" i="23"/>
  <c r="BU213" i="23"/>
  <c r="BT213" i="23"/>
  <c r="BR213" i="23"/>
  <c r="BN213" i="23"/>
  <c r="BM213" i="23"/>
  <c r="BJ213" i="23"/>
  <c r="BG213" i="23"/>
  <c r="BF213" i="23"/>
  <c r="BC213" i="23"/>
  <c r="BA213" i="23"/>
  <c r="AY213" i="23"/>
  <c r="AX213" i="23"/>
  <c r="AT213" i="23"/>
  <c r="AS213" i="23"/>
  <c r="AU213" i="23" s="1"/>
  <c r="AP213" i="23"/>
  <c r="AO213" i="23"/>
  <c r="AN213" i="23"/>
  <c r="AE213" i="23"/>
  <c r="AA213" i="23"/>
  <c r="AB213" i="23" s="1"/>
  <c r="V213" i="23"/>
  <c r="S213" i="23"/>
  <c r="BV212" i="23"/>
  <c r="BU212" i="23"/>
  <c r="BT212" i="23"/>
  <c r="BR212" i="23"/>
  <c r="BN212" i="23"/>
  <c r="BM212" i="23"/>
  <c r="BJ212" i="23"/>
  <c r="BG212" i="23"/>
  <c r="BF212" i="23"/>
  <c r="BC212" i="23"/>
  <c r="BA212" i="23"/>
  <c r="AY212" i="23"/>
  <c r="AX212" i="23"/>
  <c r="AU212" i="23"/>
  <c r="AT212" i="23"/>
  <c r="AS212" i="23"/>
  <c r="AP212" i="23"/>
  <c r="AO212" i="23"/>
  <c r="AN212" i="23"/>
  <c r="AH212" i="23"/>
  <c r="AG212" i="23"/>
  <c r="AF212" i="23"/>
  <c r="AE212" i="23"/>
  <c r="AA212" i="23"/>
  <c r="AB212" i="23" s="1"/>
  <c r="V212" i="23"/>
  <c r="S212" i="23"/>
  <c r="BV211" i="23"/>
  <c r="BU211" i="23"/>
  <c r="BT211" i="23"/>
  <c r="BR211" i="23"/>
  <c r="BN211" i="23"/>
  <c r="BM211" i="23"/>
  <c r="BJ211" i="23"/>
  <c r="BF211" i="23"/>
  <c r="BC211" i="23"/>
  <c r="BA211" i="23"/>
  <c r="AY211" i="23"/>
  <c r="AX211" i="23"/>
  <c r="AT211" i="23"/>
  <c r="BG211" i="23" s="1"/>
  <c r="AS211" i="23"/>
  <c r="AU211" i="23" s="1"/>
  <c r="AP211" i="23"/>
  <c r="AO211" i="23"/>
  <c r="AN211" i="23"/>
  <c r="AH211" i="23"/>
  <c r="AG211" i="23"/>
  <c r="AF211" i="23"/>
  <c r="AE211" i="23"/>
  <c r="AA211" i="23"/>
  <c r="AB211" i="23" s="1"/>
  <c r="V211" i="23"/>
  <c r="S211" i="23"/>
  <c r="BV210" i="23"/>
  <c r="BU210" i="23"/>
  <c r="BT210" i="23"/>
  <c r="BR210" i="23"/>
  <c r="BN210" i="23"/>
  <c r="BM210" i="23"/>
  <c r="BJ210" i="23"/>
  <c r="BG210" i="23"/>
  <c r="BF210" i="23"/>
  <c r="BC210" i="23"/>
  <c r="BA210" i="23"/>
  <c r="AY210" i="23"/>
  <c r="AX210" i="23"/>
  <c r="AU210" i="23"/>
  <c r="AT210" i="23"/>
  <c r="AS210" i="23"/>
  <c r="AP210" i="23"/>
  <c r="AO210" i="23"/>
  <c r="AN210" i="23"/>
  <c r="AH210" i="23"/>
  <c r="AE210" i="23"/>
  <c r="AA210" i="23"/>
  <c r="AB210" i="23" s="1"/>
  <c r="V210" i="23"/>
  <c r="S210" i="23"/>
  <c r="BV209" i="23"/>
  <c r="BU209" i="23"/>
  <c r="BT209" i="23"/>
  <c r="BR209" i="23"/>
  <c r="BN209" i="23"/>
  <c r="BM209" i="23"/>
  <c r="BJ209" i="23"/>
  <c r="BF209" i="23"/>
  <c r="BC209" i="23"/>
  <c r="BA209" i="23"/>
  <c r="AY209" i="23"/>
  <c r="AX209" i="23"/>
  <c r="AU209" i="23"/>
  <c r="AT209" i="23"/>
  <c r="BG209" i="23" s="1"/>
  <c r="AS209" i="23"/>
  <c r="AP209" i="23"/>
  <c r="AO209" i="23"/>
  <c r="AN209" i="23"/>
  <c r="AF209" i="23"/>
  <c r="AE209" i="23"/>
  <c r="AA209" i="23"/>
  <c r="AB209" i="23" s="1"/>
  <c r="V209" i="23"/>
  <c r="S209" i="23"/>
  <c r="BV208" i="23"/>
  <c r="BU208" i="23"/>
  <c r="BT208" i="23"/>
  <c r="BR208" i="23"/>
  <c r="BN208" i="23"/>
  <c r="BM208" i="23"/>
  <c r="BJ208" i="23"/>
  <c r="BG208" i="23"/>
  <c r="BF208" i="23"/>
  <c r="BC208" i="23"/>
  <c r="BA208" i="23"/>
  <c r="AY208" i="23"/>
  <c r="AX208" i="23"/>
  <c r="AU208" i="23"/>
  <c r="AT208" i="23"/>
  <c r="AS208" i="23"/>
  <c r="AP208" i="23"/>
  <c r="AO208" i="23"/>
  <c r="AN208" i="23"/>
  <c r="AH208" i="23"/>
  <c r="AG208" i="23"/>
  <c r="AF208" i="23"/>
  <c r="AE208" i="23"/>
  <c r="AA208" i="23"/>
  <c r="AB208" i="23" s="1"/>
  <c r="V208" i="23"/>
  <c r="S208" i="23"/>
  <c r="BV207" i="23"/>
  <c r="BU207" i="23"/>
  <c r="BT207" i="23"/>
  <c r="BR207" i="23"/>
  <c r="BN207" i="23"/>
  <c r="BM207" i="23"/>
  <c r="BJ207" i="23"/>
  <c r="BF207" i="23"/>
  <c r="BC207" i="23"/>
  <c r="BA207" i="23"/>
  <c r="AY207" i="23"/>
  <c r="AX207" i="23"/>
  <c r="AT207" i="23"/>
  <c r="BG207" i="23" s="1"/>
  <c r="AS207" i="23"/>
  <c r="AU207" i="23" s="1"/>
  <c r="AP207" i="23"/>
  <c r="AO207" i="23"/>
  <c r="AN207" i="23"/>
  <c r="AH207" i="23"/>
  <c r="AF207" i="23"/>
  <c r="AE207" i="23"/>
  <c r="AG207" i="23" s="1"/>
  <c r="AA207" i="23"/>
  <c r="AB207" i="23" s="1"/>
  <c r="V207" i="23"/>
  <c r="S207" i="23"/>
  <c r="BV206" i="23"/>
  <c r="BU206" i="23"/>
  <c r="BT206" i="23"/>
  <c r="BR206" i="23"/>
  <c r="BN206" i="23"/>
  <c r="BM206" i="23"/>
  <c r="BJ206" i="23"/>
  <c r="BF206" i="23"/>
  <c r="BC206" i="23"/>
  <c r="BA206" i="23"/>
  <c r="AY206" i="23"/>
  <c r="AX206" i="23"/>
  <c r="AT206" i="23"/>
  <c r="BG206" i="23" s="1"/>
  <c r="AS206" i="23"/>
  <c r="AU206" i="23" s="1"/>
  <c r="AP206" i="23"/>
  <c r="AO206" i="23"/>
  <c r="AN206" i="23"/>
  <c r="AH206" i="23"/>
  <c r="AG206" i="23"/>
  <c r="AF206" i="23"/>
  <c r="AE206" i="23"/>
  <c r="AA206" i="23"/>
  <c r="AB206" i="23" s="1"/>
  <c r="V206" i="23"/>
  <c r="S206" i="23"/>
  <c r="BV205" i="23"/>
  <c r="BU205" i="23"/>
  <c r="BT205" i="23"/>
  <c r="BR205" i="23"/>
  <c r="BN205" i="23"/>
  <c r="BM205" i="23"/>
  <c r="BJ205" i="23"/>
  <c r="BF205" i="23"/>
  <c r="BC205" i="23"/>
  <c r="BA205" i="23"/>
  <c r="AY205" i="23"/>
  <c r="AX205" i="23"/>
  <c r="AT205" i="23"/>
  <c r="BG205" i="23" s="1"/>
  <c r="AS205" i="23"/>
  <c r="AU205" i="23" s="1"/>
  <c r="AP205" i="23"/>
  <c r="AO205" i="23"/>
  <c r="AN205" i="23"/>
  <c r="AH205" i="23"/>
  <c r="AG205" i="23"/>
  <c r="AF205" i="23"/>
  <c r="AE205" i="23"/>
  <c r="AA205" i="23"/>
  <c r="AB205" i="23" s="1"/>
  <c r="V205" i="23"/>
  <c r="S205" i="23"/>
  <c r="BV204" i="23"/>
  <c r="BU204" i="23"/>
  <c r="BT204" i="23"/>
  <c r="BR204" i="23"/>
  <c r="BN204" i="23"/>
  <c r="BM204" i="23"/>
  <c r="BJ204" i="23"/>
  <c r="BG204" i="23"/>
  <c r="BF204" i="23"/>
  <c r="BC204" i="23"/>
  <c r="BA204" i="23"/>
  <c r="AY204" i="23"/>
  <c r="AX204" i="23"/>
  <c r="AT204" i="23"/>
  <c r="AS204" i="23"/>
  <c r="AU204" i="23" s="1"/>
  <c r="AP204" i="23"/>
  <c r="AO204" i="23"/>
  <c r="AN204" i="23"/>
  <c r="AE204" i="23"/>
  <c r="AA204" i="23"/>
  <c r="AB204" i="23" s="1"/>
  <c r="V204" i="23"/>
  <c r="S204" i="23"/>
  <c r="BV203" i="23"/>
  <c r="BU203" i="23"/>
  <c r="BT203" i="23"/>
  <c r="BR203" i="23"/>
  <c r="BN203" i="23"/>
  <c r="BM203" i="23"/>
  <c r="BJ203" i="23"/>
  <c r="BF203" i="23"/>
  <c r="BC203" i="23"/>
  <c r="BA203" i="23"/>
  <c r="AY203" i="23"/>
  <c r="AX203" i="23"/>
  <c r="AU203" i="23"/>
  <c r="AT203" i="23"/>
  <c r="BG203" i="23" s="1"/>
  <c r="AS203" i="23"/>
  <c r="AP203" i="23"/>
  <c r="AO203" i="23"/>
  <c r="AN203" i="23"/>
  <c r="AE203" i="23"/>
  <c r="AA203" i="23"/>
  <c r="AB203" i="23" s="1"/>
  <c r="V203" i="23"/>
  <c r="S203" i="23"/>
  <c r="BV202" i="23"/>
  <c r="BU202" i="23"/>
  <c r="BT202" i="23"/>
  <c r="BR202" i="23"/>
  <c r="BN202" i="23"/>
  <c r="BM202" i="23"/>
  <c r="BJ202" i="23"/>
  <c r="BG202" i="23"/>
  <c r="BF202" i="23"/>
  <c r="BC202" i="23"/>
  <c r="BA202" i="23"/>
  <c r="AY202" i="23"/>
  <c r="AX202" i="23"/>
  <c r="AU202" i="23"/>
  <c r="AT202" i="23"/>
  <c r="AS202" i="23"/>
  <c r="AP202" i="23"/>
  <c r="AO202" i="23"/>
  <c r="AN202" i="23"/>
  <c r="AE202" i="23"/>
  <c r="AA202" i="23"/>
  <c r="AB202" i="23" s="1"/>
  <c r="V202" i="23"/>
  <c r="S202" i="23"/>
  <c r="BV201" i="23"/>
  <c r="BU201" i="23"/>
  <c r="BT201" i="23"/>
  <c r="BR201" i="23"/>
  <c r="BN201" i="23"/>
  <c r="BM201" i="23"/>
  <c r="BJ201" i="23"/>
  <c r="BG201" i="23"/>
  <c r="BF201" i="23"/>
  <c r="BE201" i="23"/>
  <c r="BC201" i="23"/>
  <c r="BA201" i="23"/>
  <c r="AY201" i="23"/>
  <c r="AX201" i="23"/>
  <c r="AU201" i="23"/>
  <c r="AT201" i="23"/>
  <c r="AS201" i="23"/>
  <c r="AP201" i="23"/>
  <c r="AO201" i="23"/>
  <c r="AN201" i="23"/>
  <c r="AH201" i="23"/>
  <c r="AE201" i="23"/>
  <c r="AG201" i="23" s="1"/>
  <c r="AA201" i="23"/>
  <c r="AB201" i="23" s="1"/>
  <c r="V201" i="23"/>
  <c r="S201" i="23"/>
  <c r="BV200" i="23"/>
  <c r="BU200" i="23"/>
  <c r="BT200" i="23"/>
  <c r="BR200" i="23"/>
  <c r="BN200" i="23"/>
  <c r="BM200" i="23"/>
  <c r="BJ200" i="23"/>
  <c r="BF200" i="23"/>
  <c r="BE200" i="23"/>
  <c r="BC200" i="23"/>
  <c r="BA200" i="23"/>
  <c r="AY200" i="23"/>
  <c r="AX200" i="23"/>
  <c r="AU200" i="23"/>
  <c r="AT200" i="23"/>
  <c r="BG200" i="23" s="1"/>
  <c r="AS200" i="23"/>
  <c r="AP200" i="23"/>
  <c r="AO200" i="23"/>
  <c r="AN200" i="23"/>
  <c r="AH200" i="23"/>
  <c r="AG200" i="23"/>
  <c r="AF200" i="23"/>
  <c r="AE200" i="23"/>
  <c r="AA200" i="23"/>
  <c r="AB200" i="23" s="1"/>
  <c r="V200" i="23"/>
  <c r="S200" i="23"/>
  <c r="BV199" i="23"/>
  <c r="BU199" i="23"/>
  <c r="BT199" i="23"/>
  <c r="BR199" i="23"/>
  <c r="BN199" i="23"/>
  <c r="BM199" i="23"/>
  <c r="BJ199" i="23"/>
  <c r="BF199" i="23"/>
  <c r="BC199" i="23"/>
  <c r="BA199" i="23"/>
  <c r="AY199" i="23"/>
  <c r="AX199" i="23"/>
  <c r="AU199" i="23"/>
  <c r="AT199" i="23"/>
  <c r="BG199" i="23" s="1"/>
  <c r="AS199" i="23"/>
  <c r="AP199" i="23"/>
  <c r="AO199" i="23"/>
  <c r="AN199" i="23"/>
  <c r="AE199" i="23"/>
  <c r="AA199" i="23"/>
  <c r="AB199" i="23" s="1"/>
  <c r="V199" i="23"/>
  <c r="S199" i="23"/>
  <c r="BV198" i="23"/>
  <c r="BU198" i="23"/>
  <c r="BT198" i="23"/>
  <c r="BR198" i="23"/>
  <c r="BN198" i="23"/>
  <c r="BM198" i="23"/>
  <c r="BJ198" i="23"/>
  <c r="BG198" i="23"/>
  <c r="BF198" i="23"/>
  <c r="BE198" i="23"/>
  <c r="BC198" i="23"/>
  <c r="BA198" i="23"/>
  <c r="AY198" i="23"/>
  <c r="AX198" i="23"/>
  <c r="AU198" i="23"/>
  <c r="AT198" i="23"/>
  <c r="AS198" i="23"/>
  <c r="AP198" i="23"/>
  <c r="AO198" i="23"/>
  <c r="AN198" i="23"/>
  <c r="AH198" i="23"/>
  <c r="AG198" i="23"/>
  <c r="AF198" i="23"/>
  <c r="AE198" i="23"/>
  <c r="AA198" i="23"/>
  <c r="AB198" i="23" s="1"/>
  <c r="V198" i="23"/>
  <c r="S198" i="23"/>
  <c r="BV197" i="23"/>
  <c r="BU197" i="23"/>
  <c r="BT197" i="23"/>
  <c r="BR197" i="23"/>
  <c r="BN197" i="23"/>
  <c r="BM197" i="23"/>
  <c r="BJ197" i="23"/>
  <c r="BF197" i="23"/>
  <c r="BE197" i="23"/>
  <c r="BC197" i="23"/>
  <c r="BA197" i="23"/>
  <c r="AY197" i="23"/>
  <c r="AX197" i="23"/>
  <c r="AU197" i="23"/>
  <c r="AT197" i="23"/>
  <c r="BG197" i="23" s="1"/>
  <c r="AS197" i="23"/>
  <c r="AP197" i="23"/>
  <c r="AO197" i="23"/>
  <c r="AN197" i="23"/>
  <c r="AH197" i="23"/>
  <c r="AG197" i="23"/>
  <c r="AF197" i="23"/>
  <c r="AE197" i="23"/>
  <c r="AA197" i="23"/>
  <c r="AB197" i="23" s="1"/>
  <c r="V197" i="23"/>
  <c r="S197" i="23"/>
  <c r="BV196" i="23"/>
  <c r="BU196" i="23"/>
  <c r="BT196" i="23"/>
  <c r="BR196" i="23"/>
  <c r="BN196" i="23"/>
  <c r="BM196" i="23"/>
  <c r="BJ196" i="23"/>
  <c r="BF196" i="23"/>
  <c r="BC196" i="23"/>
  <c r="BA196" i="23"/>
  <c r="AY196" i="23"/>
  <c r="AX196" i="23"/>
  <c r="AU196" i="23"/>
  <c r="AT196" i="23"/>
  <c r="BG196" i="23" s="1"/>
  <c r="AS196" i="23"/>
  <c r="AP196" i="23"/>
  <c r="AO196" i="23"/>
  <c r="AN196" i="23"/>
  <c r="AF196" i="23"/>
  <c r="AE196" i="23"/>
  <c r="AA196" i="23"/>
  <c r="AB196" i="23" s="1"/>
  <c r="V196" i="23"/>
  <c r="S196" i="23"/>
  <c r="BV195" i="23"/>
  <c r="BU195" i="23"/>
  <c r="BT195" i="23"/>
  <c r="BR195" i="23"/>
  <c r="BN195" i="23"/>
  <c r="BM195" i="23"/>
  <c r="BJ195" i="23"/>
  <c r="BF195" i="23"/>
  <c r="BC195" i="23"/>
  <c r="BA195" i="23"/>
  <c r="AY195" i="23"/>
  <c r="AX195" i="23"/>
  <c r="AU195" i="23"/>
  <c r="AT195" i="23"/>
  <c r="BG195" i="23" s="1"/>
  <c r="AS195" i="23"/>
  <c r="AP195" i="23"/>
  <c r="AO195" i="23"/>
  <c r="AN195" i="23"/>
  <c r="AH195" i="23"/>
  <c r="AG195" i="23"/>
  <c r="AF195" i="23"/>
  <c r="AE195" i="23"/>
  <c r="BE195" i="23" s="1"/>
  <c r="AA195" i="23"/>
  <c r="AB195" i="23" s="1"/>
  <c r="V195" i="23"/>
  <c r="S195" i="23"/>
  <c r="BV194" i="23"/>
  <c r="BU194" i="23"/>
  <c r="BT194" i="23"/>
  <c r="BR194" i="23"/>
  <c r="BN194" i="23"/>
  <c r="BM194" i="23"/>
  <c r="BJ194" i="23"/>
  <c r="BF194" i="23"/>
  <c r="BE194" i="23"/>
  <c r="BC194" i="23"/>
  <c r="BA194" i="23"/>
  <c r="AY194" i="23"/>
  <c r="AX194" i="23"/>
  <c r="AT194" i="23"/>
  <c r="BG194" i="23" s="1"/>
  <c r="AS194" i="23"/>
  <c r="AU194" i="23" s="1"/>
  <c r="AP194" i="23"/>
  <c r="AO194" i="23"/>
  <c r="AN194" i="23"/>
  <c r="AG194" i="23"/>
  <c r="AE194" i="23"/>
  <c r="AH194" i="23" s="1"/>
  <c r="AA194" i="23"/>
  <c r="AB194" i="23" s="1"/>
  <c r="V194" i="23"/>
  <c r="S194" i="23"/>
  <c r="BV193" i="23"/>
  <c r="BU193" i="23"/>
  <c r="BT193" i="23"/>
  <c r="BR193" i="23"/>
  <c r="BN193" i="23"/>
  <c r="BM193" i="23"/>
  <c r="BJ193" i="23"/>
  <c r="BG193" i="23"/>
  <c r="BF193" i="23"/>
  <c r="BC193" i="23"/>
  <c r="BA193" i="23"/>
  <c r="AY193" i="23"/>
  <c r="AX193" i="23"/>
  <c r="AU193" i="23"/>
  <c r="AT193" i="23"/>
  <c r="AS193" i="23"/>
  <c r="AP193" i="23"/>
  <c r="AO193" i="23"/>
  <c r="AN193" i="23"/>
  <c r="AG193" i="23"/>
  <c r="AE193" i="23"/>
  <c r="AA193" i="23"/>
  <c r="AB193" i="23" s="1"/>
  <c r="V193" i="23"/>
  <c r="S193" i="23"/>
  <c r="BV192" i="23"/>
  <c r="BU192" i="23"/>
  <c r="BT192" i="23"/>
  <c r="BR192" i="23"/>
  <c r="BN192" i="23"/>
  <c r="BM192" i="23"/>
  <c r="BJ192" i="23"/>
  <c r="BF192" i="23"/>
  <c r="BE192" i="23"/>
  <c r="BC192" i="23"/>
  <c r="BA192" i="23"/>
  <c r="AY192" i="23"/>
  <c r="AX192" i="23"/>
  <c r="AU192" i="23"/>
  <c r="AT192" i="23"/>
  <c r="BG192" i="23" s="1"/>
  <c r="AS192" i="23"/>
  <c r="AP192" i="23"/>
  <c r="AO192" i="23"/>
  <c r="AN192" i="23"/>
  <c r="AE192" i="23"/>
  <c r="AA192" i="23"/>
  <c r="AB192" i="23" s="1"/>
  <c r="V192" i="23"/>
  <c r="S192" i="23"/>
  <c r="BV191" i="23"/>
  <c r="BU191" i="23"/>
  <c r="BT191" i="23"/>
  <c r="BR191" i="23"/>
  <c r="BN191" i="23"/>
  <c r="BM191" i="23"/>
  <c r="BJ191" i="23"/>
  <c r="BF191" i="23"/>
  <c r="BE191" i="23"/>
  <c r="BC191" i="23"/>
  <c r="BA191" i="23"/>
  <c r="AY191" i="23"/>
  <c r="AX191" i="23"/>
  <c r="AU191" i="23"/>
  <c r="AT191" i="23"/>
  <c r="BG191" i="23" s="1"/>
  <c r="AS191" i="23"/>
  <c r="AP191" i="23"/>
  <c r="AO191" i="23"/>
  <c r="AN191" i="23"/>
  <c r="AE191" i="23"/>
  <c r="AA191" i="23"/>
  <c r="AB191" i="23" s="1"/>
  <c r="V191" i="23"/>
  <c r="S191" i="23"/>
  <c r="BV190" i="23"/>
  <c r="BU190" i="23"/>
  <c r="BT190" i="23"/>
  <c r="BR190" i="23"/>
  <c r="BN190" i="23"/>
  <c r="BM190" i="23"/>
  <c r="BJ190" i="23"/>
  <c r="BF190" i="23"/>
  <c r="BC190" i="23"/>
  <c r="BA190" i="23"/>
  <c r="AY190" i="23"/>
  <c r="AX190" i="23"/>
  <c r="AT190" i="23"/>
  <c r="BG190" i="23" s="1"/>
  <c r="AS190" i="23"/>
  <c r="AU190" i="23" s="1"/>
  <c r="AP190" i="23"/>
  <c r="AO190" i="23"/>
  <c r="AN190" i="23"/>
  <c r="AH190" i="23"/>
  <c r="AE190" i="23"/>
  <c r="AA190" i="23"/>
  <c r="AB190" i="23" s="1"/>
  <c r="V190" i="23"/>
  <c r="S190" i="23"/>
  <c r="BV189" i="23"/>
  <c r="BU189" i="23"/>
  <c r="BT189" i="23"/>
  <c r="BR189" i="23"/>
  <c r="BN189" i="23"/>
  <c r="BM189" i="23"/>
  <c r="BJ189" i="23"/>
  <c r="BG189" i="23"/>
  <c r="BF189" i="23"/>
  <c r="BC189" i="23"/>
  <c r="BA189" i="23"/>
  <c r="AY189" i="23"/>
  <c r="AX189" i="23"/>
  <c r="AU189" i="23"/>
  <c r="AT189" i="23"/>
  <c r="AS189" i="23"/>
  <c r="AP189" i="23"/>
  <c r="AO189" i="23"/>
  <c r="AN189" i="23"/>
  <c r="AE189" i="23"/>
  <c r="AA189" i="23"/>
  <c r="AB189" i="23" s="1"/>
  <c r="V189" i="23"/>
  <c r="S189" i="23"/>
  <c r="BV188" i="23"/>
  <c r="BU188" i="23"/>
  <c r="BT188" i="23"/>
  <c r="BR188" i="23"/>
  <c r="BN188" i="23"/>
  <c r="BM188" i="23"/>
  <c r="BJ188" i="23"/>
  <c r="BG188" i="23"/>
  <c r="BF188" i="23"/>
  <c r="BE188" i="23"/>
  <c r="BC188" i="23"/>
  <c r="BA188" i="23"/>
  <c r="AY188" i="23"/>
  <c r="AX188" i="23"/>
  <c r="AU188" i="23"/>
  <c r="AT188" i="23"/>
  <c r="AS188" i="23"/>
  <c r="AP188" i="23"/>
  <c r="AO188" i="23"/>
  <c r="AN188" i="23"/>
  <c r="AH188" i="23"/>
  <c r="AG188" i="23"/>
  <c r="AF188" i="23"/>
  <c r="AE188" i="23"/>
  <c r="AA188" i="23"/>
  <c r="AB188" i="23" s="1"/>
  <c r="V188" i="23"/>
  <c r="S188" i="23"/>
  <c r="BV187" i="23"/>
  <c r="BU187" i="23"/>
  <c r="BT187" i="23"/>
  <c r="BR187" i="23"/>
  <c r="BN187" i="23"/>
  <c r="BM187" i="23"/>
  <c r="BJ187" i="23"/>
  <c r="BF187" i="23"/>
  <c r="BE187" i="23"/>
  <c r="BC187" i="23"/>
  <c r="BA187" i="23"/>
  <c r="AY187" i="23"/>
  <c r="AX187" i="23"/>
  <c r="AU187" i="23"/>
  <c r="AT187" i="23"/>
  <c r="BG187" i="23" s="1"/>
  <c r="AS187" i="23"/>
  <c r="AP187" i="23"/>
  <c r="AO187" i="23"/>
  <c r="AN187" i="23"/>
  <c r="AE187" i="23"/>
  <c r="AF187" i="23" s="1"/>
  <c r="AA187" i="23"/>
  <c r="AB187" i="23" s="1"/>
  <c r="V187" i="23"/>
  <c r="S187" i="23"/>
  <c r="BV186" i="23"/>
  <c r="BU186" i="23"/>
  <c r="BT186" i="23"/>
  <c r="BR186" i="23"/>
  <c r="BN186" i="23"/>
  <c r="BM186" i="23"/>
  <c r="BJ186" i="23"/>
  <c r="BF186" i="23"/>
  <c r="BE186" i="23"/>
  <c r="BC186" i="23"/>
  <c r="BA186" i="23"/>
  <c r="AY186" i="23"/>
  <c r="AX186" i="23"/>
  <c r="AU186" i="23"/>
  <c r="AT186" i="23"/>
  <c r="BG186" i="23" s="1"/>
  <c r="AS186" i="23"/>
  <c r="AP186" i="23"/>
  <c r="AO186" i="23"/>
  <c r="AN186" i="23"/>
  <c r="AH186" i="23"/>
  <c r="AG186" i="23"/>
  <c r="AF186" i="23"/>
  <c r="AE186" i="23"/>
  <c r="AA186" i="23"/>
  <c r="AB186" i="23" s="1"/>
  <c r="V186" i="23"/>
  <c r="S186" i="23"/>
  <c r="BV185" i="23"/>
  <c r="BU185" i="23"/>
  <c r="BT185" i="23"/>
  <c r="BR185" i="23"/>
  <c r="BN185" i="23"/>
  <c r="BM185" i="23"/>
  <c r="BJ185" i="23"/>
  <c r="BF185" i="23"/>
  <c r="BE185" i="23"/>
  <c r="BC185" i="23"/>
  <c r="BA185" i="23"/>
  <c r="AY185" i="23"/>
  <c r="AX185" i="23"/>
  <c r="AU185" i="23"/>
  <c r="AT185" i="23"/>
  <c r="BG185" i="23" s="1"/>
  <c r="AS185" i="23"/>
  <c r="AP185" i="23"/>
  <c r="AO185" i="23"/>
  <c r="AN185" i="23"/>
  <c r="AH185" i="23"/>
  <c r="AG185" i="23"/>
  <c r="AF185" i="23"/>
  <c r="AE185" i="23"/>
  <c r="AA185" i="23"/>
  <c r="AB185" i="23" s="1"/>
  <c r="V185" i="23"/>
  <c r="S185" i="23"/>
  <c r="BV184" i="23"/>
  <c r="BU184" i="23"/>
  <c r="BT184" i="23"/>
  <c r="BR184" i="23"/>
  <c r="BN184" i="23"/>
  <c r="BM184" i="23"/>
  <c r="BJ184" i="23"/>
  <c r="BF184" i="23"/>
  <c r="BE184" i="23"/>
  <c r="BC184" i="23"/>
  <c r="BA184" i="23"/>
  <c r="AY184" i="23"/>
  <c r="AX184" i="23"/>
  <c r="AU184" i="23"/>
  <c r="AT184" i="23"/>
  <c r="BG184" i="23" s="1"/>
  <c r="AS184" i="23"/>
  <c r="AP184" i="23"/>
  <c r="AO184" i="23"/>
  <c r="AN184" i="23"/>
  <c r="AE184" i="23"/>
  <c r="AA184" i="23"/>
  <c r="AB184" i="23" s="1"/>
  <c r="V184" i="23"/>
  <c r="S184" i="23"/>
  <c r="BV183" i="23"/>
  <c r="BU183" i="23"/>
  <c r="BT183" i="23"/>
  <c r="BR183" i="23"/>
  <c r="BN183" i="23"/>
  <c r="BM183" i="23"/>
  <c r="BJ183" i="23"/>
  <c r="BF183" i="23"/>
  <c r="BE183" i="23"/>
  <c r="BC183" i="23"/>
  <c r="BA183" i="23"/>
  <c r="AY183" i="23"/>
  <c r="AX183" i="23"/>
  <c r="AU183" i="23"/>
  <c r="AT183" i="23"/>
  <c r="BG183" i="23" s="1"/>
  <c r="AS183" i="23"/>
  <c r="AP183" i="23"/>
  <c r="AO183" i="23"/>
  <c r="AN183" i="23"/>
  <c r="AH183" i="23"/>
  <c r="AG183" i="23"/>
  <c r="AF183" i="23"/>
  <c r="AE183" i="23"/>
  <c r="AA183" i="23"/>
  <c r="AB183" i="23" s="1"/>
  <c r="V183" i="23"/>
  <c r="S183" i="23"/>
  <c r="BV182" i="23"/>
  <c r="BU182" i="23"/>
  <c r="BT182" i="23"/>
  <c r="BR182" i="23"/>
  <c r="BN182" i="23"/>
  <c r="BM182" i="23"/>
  <c r="BJ182" i="23"/>
  <c r="BG182" i="23"/>
  <c r="BF182" i="23"/>
  <c r="BC182" i="23"/>
  <c r="BA182" i="23"/>
  <c r="AY182" i="23"/>
  <c r="AX182" i="23"/>
  <c r="AT182" i="23"/>
  <c r="AS182" i="23"/>
  <c r="AU182" i="23" s="1"/>
  <c r="AP182" i="23"/>
  <c r="AO182" i="23"/>
  <c r="AN182" i="23"/>
  <c r="AG182" i="23"/>
  <c r="AF182" i="23"/>
  <c r="AE182" i="23"/>
  <c r="AA182" i="23"/>
  <c r="AB182" i="23" s="1"/>
  <c r="V182" i="23"/>
  <c r="S182" i="23"/>
  <c r="BV181" i="23"/>
  <c r="BU181" i="23"/>
  <c r="BT181" i="23"/>
  <c r="BR181" i="23"/>
  <c r="BN181" i="23"/>
  <c r="BM181" i="23"/>
  <c r="BJ181" i="23"/>
  <c r="BG181" i="23"/>
  <c r="BF181" i="23"/>
  <c r="BC181" i="23"/>
  <c r="BA181" i="23"/>
  <c r="AY181" i="23"/>
  <c r="AX181" i="23"/>
  <c r="AU181" i="23"/>
  <c r="AT181" i="23"/>
  <c r="AS181" i="23"/>
  <c r="AP181" i="23"/>
  <c r="AO181" i="23"/>
  <c r="AN181" i="23"/>
  <c r="AG181" i="23"/>
  <c r="AE181" i="23"/>
  <c r="AA181" i="23"/>
  <c r="AB181" i="23" s="1"/>
  <c r="V181" i="23"/>
  <c r="S181" i="23"/>
  <c r="BV180" i="23"/>
  <c r="BU180" i="23"/>
  <c r="BT180" i="23"/>
  <c r="BR180" i="23"/>
  <c r="BN180" i="23"/>
  <c r="BM180" i="23"/>
  <c r="BJ180" i="23"/>
  <c r="BF180" i="23"/>
  <c r="BE180" i="23"/>
  <c r="BC180" i="23"/>
  <c r="BA180" i="23"/>
  <c r="AY180" i="23"/>
  <c r="AX180" i="23"/>
  <c r="AU180" i="23"/>
  <c r="AT180" i="23"/>
  <c r="BG180" i="23" s="1"/>
  <c r="AS180" i="23"/>
  <c r="AP180" i="23"/>
  <c r="AO180" i="23"/>
  <c r="AN180" i="23"/>
  <c r="AE180" i="23"/>
  <c r="AA180" i="23"/>
  <c r="AB180" i="23" s="1"/>
  <c r="V180" i="23"/>
  <c r="S180" i="23"/>
  <c r="BV179" i="23"/>
  <c r="BU179" i="23"/>
  <c r="BT179" i="23"/>
  <c r="BR179" i="23"/>
  <c r="BN179" i="23"/>
  <c r="BM179" i="23"/>
  <c r="BJ179" i="23"/>
  <c r="BG179" i="23"/>
  <c r="BF179" i="23"/>
  <c r="BC179" i="23"/>
  <c r="BA179" i="23"/>
  <c r="AY179" i="23"/>
  <c r="AX179" i="23"/>
  <c r="AU179" i="23"/>
  <c r="AT179" i="23"/>
  <c r="AS179" i="23"/>
  <c r="AP179" i="23"/>
  <c r="AO179" i="23"/>
  <c r="AN179" i="23"/>
  <c r="AE179" i="23"/>
  <c r="AA179" i="23"/>
  <c r="AB179" i="23" s="1"/>
  <c r="V179" i="23"/>
  <c r="S179" i="23"/>
  <c r="BV178" i="23"/>
  <c r="BU178" i="23"/>
  <c r="BT178" i="23"/>
  <c r="BR178" i="23"/>
  <c r="BN178" i="23"/>
  <c r="BM178" i="23"/>
  <c r="BJ178" i="23"/>
  <c r="BF178" i="23"/>
  <c r="BC178" i="23"/>
  <c r="BA178" i="23"/>
  <c r="AY178" i="23"/>
  <c r="AX178" i="23"/>
  <c r="AT178" i="23"/>
  <c r="BG178" i="23" s="1"/>
  <c r="AS178" i="23"/>
  <c r="AU178" i="23" s="1"/>
  <c r="AP178" i="23"/>
  <c r="AO178" i="23"/>
  <c r="AN178" i="23"/>
  <c r="AE178" i="23"/>
  <c r="AA178" i="23"/>
  <c r="AB178" i="23" s="1"/>
  <c r="V178" i="23"/>
  <c r="S178" i="23"/>
  <c r="BV177" i="23"/>
  <c r="BU177" i="23"/>
  <c r="BT177" i="23"/>
  <c r="BR177" i="23"/>
  <c r="BN177" i="23"/>
  <c r="BM177" i="23"/>
  <c r="BJ177" i="23"/>
  <c r="BF177" i="23"/>
  <c r="BE177" i="23"/>
  <c r="BC177" i="23"/>
  <c r="BA177" i="23"/>
  <c r="AY177" i="23"/>
  <c r="AX177" i="23"/>
  <c r="AU177" i="23"/>
  <c r="AT177" i="23"/>
  <c r="BG177" i="23" s="1"/>
  <c r="AS177" i="23"/>
  <c r="AP177" i="23"/>
  <c r="AO177" i="23"/>
  <c r="AN177" i="23"/>
  <c r="AE177" i="23"/>
  <c r="AA177" i="23"/>
  <c r="AB177" i="23" s="1"/>
  <c r="V177" i="23"/>
  <c r="S177" i="23"/>
  <c r="BV176" i="23"/>
  <c r="BU176" i="23"/>
  <c r="BT176" i="23"/>
  <c r="BR176" i="23"/>
  <c r="BN176" i="23"/>
  <c r="BM176" i="23"/>
  <c r="BJ176" i="23"/>
  <c r="BG176" i="23"/>
  <c r="BF176" i="23"/>
  <c r="BE176" i="23"/>
  <c r="BC176" i="23"/>
  <c r="BA176" i="23"/>
  <c r="AY176" i="23"/>
  <c r="AX176" i="23"/>
  <c r="AT176" i="23"/>
  <c r="AS176" i="23"/>
  <c r="AU176" i="23" s="1"/>
  <c r="AP176" i="23"/>
  <c r="AO176" i="23"/>
  <c r="AN176" i="23"/>
  <c r="AH176" i="23"/>
  <c r="AF176" i="23"/>
  <c r="AE176" i="23"/>
  <c r="AG176" i="23" s="1"/>
  <c r="AA176" i="23"/>
  <c r="AB176" i="23" s="1"/>
  <c r="V176" i="23"/>
  <c r="S176" i="23"/>
  <c r="BV175" i="23"/>
  <c r="BU175" i="23"/>
  <c r="BT175" i="23"/>
  <c r="BR175" i="23"/>
  <c r="BN175" i="23"/>
  <c r="BM175" i="23"/>
  <c r="BJ175" i="23"/>
  <c r="BG175" i="23"/>
  <c r="BF175" i="23"/>
  <c r="BE175" i="23"/>
  <c r="BC175" i="23"/>
  <c r="BA175" i="23"/>
  <c r="AY175" i="23"/>
  <c r="AX175" i="23"/>
  <c r="AT175" i="23"/>
  <c r="AS175" i="23"/>
  <c r="AU175" i="23" s="1"/>
  <c r="AP175" i="23"/>
  <c r="AO175" i="23"/>
  <c r="AN175" i="23"/>
  <c r="AH175" i="23"/>
  <c r="AG175" i="23"/>
  <c r="AF175" i="23"/>
  <c r="AE175" i="23"/>
  <c r="AA175" i="23"/>
  <c r="AB175" i="23" s="1"/>
  <c r="V175" i="23"/>
  <c r="S175" i="23"/>
  <c r="BV174" i="23"/>
  <c r="BU174" i="23"/>
  <c r="BT174" i="23"/>
  <c r="BR174" i="23"/>
  <c r="BN174" i="23"/>
  <c r="BM174" i="23"/>
  <c r="BJ174" i="23"/>
  <c r="BF174" i="23"/>
  <c r="BE174" i="23"/>
  <c r="BC174" i="23"/>
  <c r="BA174" i="23"/>
  <c r="AY174" i="23"/>
  <c r="AX174" i="23"/>
  <c r="AT174" i="23"/>
  <c r="BG174" i="23" s="1"/>
  <c r="AS174" i="23"/>
  <c r="AU174" i="23" s="1"/>
  <c r="AP174" i="23"/>
  <c r="AO174" i="23"/>
  <c r="AN174" i="23"/>
  <c r="AH174" i="23"/>
  <c r="AG174" i="23"/>
  <c r="AF174" i="23"/>
  <c r="AE174" i="23"/>
  <c r="AA174" i="23"/>
  <c r="AB174" i="23" s="1"/>
  <c r="V174" i="23"/>
  <c r="S174" i="23"/>
  <c r="BV173" i="23"/>
  <c r="BU173" i="23"/>
  <c r="BT173" i="23"/>
  <c r="BR173" i="23"/>
  <c r="BN173" i="23"/>
  <c r="BM173" i="23"/>
  <c r="BJ173" i="23"/>
  <c r="BF173" i="23"/>
  <c r="BC173" i="23"/>
  <c r="BA173" i="23"/>
  <c r="AY173" i="23"/>
  <c r="AX173" i="23"/>
  <c r="AT173" i="23"/>
  <c r="BG173" i="23" s="1"/>
  <c r="AS173" i="23"/>
  <c r="AU173" i="23" s="1"/>
  <c r="AP173" i="23"/>
  <c r="AO173" i="23"/>
  <c r="AN173" i="23"/>
  <c r="AE173" i="23"/>
  <c r="AA173" i="23"/>
  <c r="AB173" i="23" s="1"/>
  <c r="V173" i="23"/>
  <c r="S173" i="23"/>
  <c r="BV172" i="23"/>
  <c r="BU172" i="23"/>
  <c r="BT172" i="23"/>
  <c r="BR172" i="23"/>
  <c r="BN172" i="23"/>
  <c r="BM172" i="23"/>
  <c r="BJ172" i="23"/>
  <c r="BG172" i="23"/>
  <c r="BF172" i="23"/>
  <c r="BC172" i="23"/>
  <c r="BA172" i="23"/>
  <c r="AY172" i="23"/>
  <c r="AX172" i="23"/>
  <c r="AU172" i="23"/>
  <c r="AT172" i="23"/>
  <c r="AS172" i="23"/>
  <c r="AP172" i="23"/>
  <c r="AO172" i="23"/>
  <c r="AN172" i="23"/>
  <c r="AH172" i="23"/>
  <c r="AG172" i="23"/>
  <c r="AF172" i="23"/>
  <c r="AE172" i="23"/>
  <c r="BE172" i="23" s="1"/>
  <c r="AA172" i="23"/>
  <c r="AB172" i="23" s="1"/>
  <c r="V172" i="23"/>
  <c r="S172" i="23"/>
  <c r="BV171" i="23"/>
  <c r="BU171" i="23"/>
  <c r="BT171" i="23"/>
  <c r="BR171" i="23"/>
  <c r="BN171" i="23"/>
  <c r="BM171" i="23"/>
  <c r="BJ171" i="23"/>
  <c r="BG171" i="23"/>
  <c r="BF171" i="23"/>
  <c r="BE171" i="23"/>
  <c r="BC171" i="23"/>
  <c r="BA171" i="23"/>
  <c r="AY171" i="23"/>
  <c r="AX171" i="23"/>
  <c r="AT171" i="23"/>
  <c r="AS171" i="23"/>
  <c r="AU171" i="23" s="1"/>
  <c r="AP171" i="23"/>
  <c r="AO171" i="23"/>
  <c r="AN171" i="23"/>
  <c r="AH171" i="23"/>
  <c r="AG171" i="23"/>
  <c r="AF171" i="23"/>
  <c r="AE171" i="23"/>
  <c r="AA171" i="23"/>
  <c r="AB171" i="23" s="1"/>
  <c r="V171" i="23"/>
  <c r="S171" i="23"/>
  <c r="BV170" i="23"/>
  <c r="BU170" i="23"/>
  <c r="BT170" i="23"/>
  <c r="BR170" i="23"/>
  <c r="BN170" i="23"/>
  <c r="BM170" i="23"/>
  <c r="BJ170" i="23"/>
  <c r="BG170" i="23"/>
  <c r="BF170" i="23"/>
  <c r="BE170" i="23"/>
  <c r="BC170" i="23"/>
  <c r="BA170" i="23"/>
  <c r="AY170" i="23"/>
  <c r="AX170" i="23"/>
  <c r="AT170" i="23"/>
  <c r="AS170" i="23"/>
  <c r="AU170" i="23" s="1"/>
  <c r="AP170" i="23"/>
  <c r="AO170" i="23"/>
  <c r="AN170" i="23"/>
  <c r="AE170" i="23"/>
  <c r="AA170" i="23"/>
  <c r="AB170" i="23" s="1"/>
  <c r="V170" i="23"/>
  <c r="S170" i="23"/>
  <c r="BV169" i="23"/>
  <c r="BU169" i="23"/>
  <c r="BT169" i="23"/>
  <c r="BR169" i="23"/>
  <c r="BN169" i="23"/>
  <c r="BM169" i="23"/>
  <c r="BJ169" i="23"/>
  <c r="BG169" i="23"/>
  <c r="BF169" i="23"/>
  <c r="BC169" i="23"/>
  <c r="BA169" i="23"/>
  <c r="AY169" i="23"/>
  <c r="AX169" i="23"/>
  <c r="AT169" i="23"/>
  <c r="AS169" i="23"/>
  <c r="AU169" i="23" s="1"/>
  <c r="AP169" i="23"/>
  <c r="AO169" i="23"/>
  <c r="AN169" i="23"/>
  <c r="AE169" i="23"/>
  <c r="AA169" i="23"/>
  <c r="AB169" i="23" s="1"/>
  <c r="V169" i="23"/>
  <c r="S169" i="23"/>
  <c r="BV168" i="23"/>
  <c r="BU168" i="23"/>
  <c r="BT168" i="23"/>
  <c r="BR168" i="23"/>
  <c r="BN168" i="23"/>
  <c r="BM168" i="23"/>
  <c r="BJ168" i="23"/>
  <c r="BF168" i="23"/>
  <c r="BE168" i="23"/>
  <c r="BC168" i="23"/>
  <c r="BA168" i="23"/>
  <c r="AY168" i="23"/>
  <c r="AX168" i="23"/>
  <c r="AT168" i="23"/>
  <c r="BG168" i="23" s="1"/>
  <c r="AS168" i="23"/>
  <c r="AU168" i="23" s="1"/>
  <c r="AP168" i="23"/>
  <c r="AO168" i="23"/>
  <c r="AN168" i="23"/>
  <c r="AH168" i="23"/>
  <c r="AG168" i="23"/>
  <c r="AF168" i="23"/>
  <c r="AE168" i="23"/>
  <c r="AA168" i="23"/>
  <c r="AB168" i="23" s="1"/>
  <c r="V168" i="23"/>
  <c r="S168" i="23"/>
  <c r="BV167" i="23"/>
  <c r="BU167" i="23"/>
  <c r="BT167" i="23"/>
  <c r="BR167" i="23"/>
  <c r="BN167" i="23"/>
  <c r="BM167" i="23"/>
  <c r="BJ167" i="23"/>
  <c r="BF167" i="23"/>
  <c r="BC167" i="23"/>
  <c r="BA167" i="23"/>
  <c r="AY167" i="23"/>
  <c r="AX167" i="23"/>
  <c r="AT167" i="23"/>
  <c r="BG167" i="23" s="1"/>
  <c r="AS167" i="23"/>
  <c r="AU167" i="23" s="1"/>
  <c r="AP167" i="23"/>
  <c r="AO167" i="23"/>
  <c r="AN167" i="23"/>
  <c r="AE167" i="23"/>
  <c r="AA167" i="23"/>
  <c r="AB167" i="23" s="1"/>
  <c r="V167" i="23"/>
  <c r="S167" i="23"/>
  <c r="N1" i="23"/>
  <c r="L1" i="23"/>
  <c r="K1" i="23"/>
  <c r="J1" i="23"/>
  <c r="F1" i="23"/>
  <c r="C1" i="23"/>
  <c r="B1" i="23"/>
  <c r="A1" i="23"/>
  <c r="B2" i="35" s="1"/>
  <c r="J150" i="22"/>
  <c r="I150" i="22"/>
  <c r="F150" i="22"/>
  <c r="G150" i="22" s="1"/>
  <c r="E150" i="22"/>
  <c r="C150" i="22" s="1"/>
  <c r="D150" i="22"/>
  <c r="M149" i="22"/>
  <c r="L149" i="22"/>
  <c r="I149" i="22"/>
  <c r="J149" i="22" s="1"/>
  <c r="H149" i="22"/>
  <c r="G149" i="22"/>
  <c r="F149" i="22"/>
  <c r="E149" i="22"/>
  <c r="D149" i="22"/>
  <c r="C149" i="22"/>
  <c r="M148" i="22"/>
  <c r="L148" i="22"/>
  <c r="I148" i="22"/>
  <c r="J148" i="22" s="1"/>
  <c r="H148" i="22"/>
  <c r="G148" i="22"/>
  <c r="F148" i="22"/>
  <c r="E148" i="22"/>
  <c r="D148" i="22"/>
  <c r="C148" i="22"/>
  <c r="J147" i="22"/>
  <c r="I147" i="22"/>
  <c r="F147" i="22"/>
  <c r="G147" i="22" s="1"/>
  <c r="E147" i="22"/>
  <c r="D147" i="22"/>
  <c r="C147" i="22"/>
  <c r="M146" i="22"/>
  <c r="L146" i="22" s="1"/>
  <c r="I146" i="22"/>
  <c r="J146" i="22" s="1"/>
  <c r="F146" i="22"/>
  <c r="G146" i="22" s="1"/>
  <c r="E146" i="22"/>
  <c r="C146" i="22" s="1"/>
  <c r="D146" i="22"/>
  <c r="H146" i="22" s="1"/>
  <c r="I145" i="22"/>
  <c r="J145" i="22" s="1"/>
  <c r="F145" i="22"/>
  <c r="G145" i="22" s="1"/>
  <c r="E145" i="22"/>
  <c r="D145" i="22"/>
  <c r="C145" i="22"/>
  <c r="I144" i="22"/>
  <c r="J144" i="22" s="1"/>
  <c r="H144" i="22"/>
  <c r="F144" i="22"/>
  <c r="G144" i="22" s="1"/>
  <c r="E144" i="22"/>
  <c r="C144" i="22" s="1"/>
  <c r="D144" i="22"/>
  <c r="M143" i="22"/>
  <c r="L143" i="22"/>
  <c r="I143" i="22"/>
  <c r="J143" i="22" s="1"/>
  <c r="H143" i="22"/>
  <c r="F143" i="22"/>
  <c r="G143" i="22" s="1"/>
  <c r="E143" i="22"/>
  <c r="D143" i="22"/>
  <c r="C143" i="22"/>
  <c r="I142" i="22"/>
  <c r="J142" i="22" s="1"/>
  <c r="H142" i="22"/>
  <c r="F142" i="22"/>
  <c r="G142" i="22" s="1"/>
  <c r="E142" i="22"/>
  <c r="D142" i="22"/>
  <c r="M142" i="22" s="1"/>
  <c r="L142" i="22" s="1"/>
  <c r="C142" i="22"/>
  <c r="M141" i="22"/>
  <c r="L141" i="22"/>
  <c r="I141" i="22"/>
  <c r="J141" i="22" s="1"/>
  <c r="H141" i="22"/>
  <c r="G141" i="22"/>
  <c r="F141" i="22"/>
  <c r="E141" i="22"/>
  <c r="C141" i="22" s="1"/>
  <c r="D141" i="22"/>
  <c r="I140" i="22"/>
  <c r="J140" i="22" s="1"/>
  <c r="G140" i="22"/>
  <c r="F140" i="22"/>
  <c r="E140" i="22"/>
  <c r="C140" i="22" s="1"/>
  <c r="D140" i="22"/>
  <c r="M140" i="22" s="1"/>
  <c r="L140" i="22" s="1"/>
  <c r="I139" i="22"/>
  <c r="J139" i="22" s="1"/>
  <c r="H139" i="22"/>
  <c r="G139" i="22"/>
  <c r="F139" i="22"/>
  <c r="E139" i="22"/>
  <c r="D139" i="22"/>
  <c r="M139" i="22" s="1"/>
  <c r="L139" i="22" s="1"/>
  <c r="C139" i="22"/>
  <c r="M138" i="22"/>
  <c r="L138" i="22"/>
  <c r="J138" i="22"/>
  <c r="I138" i="22"/>
  <c r="G138" i="22"/>
  <c r="F138" i="22"/>
  <c r="E138" i="22"/>
  <c r="D138" i="22"/>
  <c r="H138" i="22" s="1"/>
  <c r="C138" i="22"/>
  <c r="I137" i="22"/>
  <c r="J137" i="22" s="1"/>
  <c r="F137" i="22"/>
  <c r="G137" i="22" s="1"/>
  <c r="E137" i="22"/>
  <c r="C137" i="22" s="1"/>
  <c r="D137" i="22"/>
  <c r="M136" i="22"/>
  <c r="L136" i="22" s="1"/>
  <c r="I136" i="22"/>
  <c r="J136" i="22" s="1"/>
  <c r="H136" i="22"/>
  <c r="F136" i="22"/>
  <c r="G136" i="22" s="1"/>
  <c r="E136" i="22"/>
  <c r="D136" i="22"/>
  <c r="C136" i="22"/>
  <c r="I135" i="22"/>
  <c r="J135" i="22" s="1"/>
  <c r="G135" i="22"/>
  <c r="F135" i="22"/>
  <c r="E135" i="22"/>
  <c r="C135" i="22" s="1"/>
  <c r="D135" i="22"/>
  <c r="M135" i="22" s="1"/>
  <c r="L135" i="22" s="1"/>
  <c r="I134" i="22"/>
  <c r="J134" i="22" s="1"/>
  <c r="G134" i="22"/>
  <c r="F134" i="22"/>
  <c r="E134" i="22"/>
  <c r="D134" i="22"/>
  <c r="M134" i="22" s="1"/>
  <c r="L134" i="22" s="1"/>
  <c r="C134" i="22"/>
  <c r="M133" i="22"/>
  <c r="L133" i="22" s="1"/>
  <c r="I133" i="22"/>
  <c r="J133" i="22" s="1"/>
  <c r="G133" i="22"/>
  <c r="F133" i="22"/>
  <c r="E133" i="22"/>
  <c r="D133" i="22"/>
  <c r="H133" i="22" s="1"/>
  <c r="C133" i="22"/>
  <c r="J132" i="22"/>
  <c r="I132" i="22"/>
  <c r="G132" i="22"/>
  <c r="F132" i="22"/>
  <c r="E132" i="22"/>
  <c r="D132" i="22"/>
  <c r="M132" i="22" s="1"/>
  <c r="L132" i="22" s="1"/>
  <c r="C132" i="22"/>
  <c r="J131" i="22"/>
  <c r="I131" i="22"/>
  <c r="H131" i="22"/>
  <c r="F131" i="22"/>
  <c r="G131" i="22" s="1"/>
  <c r="E131" i="22"/>
  <c r="M131" i="22" s="1"/>
  <c r="L131" i="22" s="1"/>
  <c r="D131" i="22"/>
  <c r="C131" i="22"/>
  <c r="M130" i="22"/>
  <c r="L130" i="22" s="1"/>
  <c r="I130" i="22"/>
  <c r="J130" i="22" s="1"/>
  <c r="F130" i="22"/>
  <c r="G130" i="22" s="1"/>
  <c r="E130" i="22"/>
  <c r="C130" i="22" s="1"/>
  <c r="D130" i="22"/>
  <c r="H130" i="22" s="1"/>
  <c r="I129" i="22"/>
  <c r="J129" i="22" s="1"/>
  <c r="H129" i="22"/>
  <c r="F129" i="22"/>
  <c r="G129" i="22" s="1"/>
  <c r="E129" i="22"/>
  <c r="D129" i="22"/>
  <c r="I128" i="22"/>
  <c r="J128" i="22" s="1"/>
  <c r="H128" i="22"/>
  <c r="F128" i="22"/>
  <c r="G128" i="22" s="1"/>
  <c r="E128" i="22"/>
  <c r="C128" i="22" s="1"/>
  <c r="D128" i="22"/>
  <c r="I127" i="22"/>
  <c r="J127" i="22" s="1"/>
  <c r="H127" i="22"/>
  <c r="F127" i="22"/>
  <c r="G127" i="22" s="1"/>
  <c r="E127" i="22"/>
  <c r="C127" i="22" s="1"/>
  <c r="D127" i="22"/>
  <c r="M127" i="22" s="1"/>
  <c r="L127" i="22" s="1"/>
  <c r="M126" i="22"/>
  <c r="L126" i="22"/>
  <c r="J126" i="22"/>
  <c r="I126" i="22"/>
  <c r="G126" i="22"/>
  <c r="F126" i="22"/>
  <c r="E126" i="22"/>
  <c r="D126" i="22"/>
  <c r="H126" i="22" s="1"/>
  <c r="C126" i="22"/>
  <c r="M125" i="22"/>
  <c r="L125" i="22"/>
  <c r="J125" i="22"/>
  <c r="I125" i="22"/>
  <c r="G125" i="22"/>
  <c r="F125" i="22"/>
  <c r="E125" i="22"/>
  <c r="D125" i="22"/>
  <c r="H125" i="22" s="1"/>
  <c r="C125" i="22"/>
  <c r="M124" i="22"/>
  <c r="L124" i="22" s="1"/>
  <c r="J124" i="22"/>
  <c r="I124" i="22"/>
  <c r="H124" i="22"/>
  <c r="F124" i="22"/>
  <c r="G124" i="22" s="1"/>
  <c r="E124" i="22"/>
  <c r="D124" i="22"/>
  <c r="C124" i="22"/>
  <c r="I123" i="22"/>
  <c r="J123" i="22" s="1"/>
  <c r="H123" i="22"/>
  <c r="F123" i="22"/>
  <c r="G123" i="22" s="1"/>
  <c r="E123" i="22"/>
  <c r="C123" i="22" s="1"/>
  <c r="D123" i="22"/>
  <c r="I122" i="22"/>
  <c r="J122" i="22" s="1"/>
  <c r="H122" i="22"/>
  <c r="G122" i="22"/>
  <c r="F122" i="22"/>
  <c r="E122" i="22"/>
  <c r="C122" i="22" s="1"/>
  <c r="D122" i="22"/>
  <c r="M122" i="22" s="1"/>
  <c r="L122" i="22" s="1"/>
  <c r="M121" i="22"/>
  <c r="L121" i="22" s="1"/>
  <c r="I121" i="22"/>
  <c r="J121" i="22" s="1"/>
  <c r="H121" i="22"/>
  <c r="F121" i="22"/>
  <c r="G121" i="22" s="1"/>
  <c r="E121" i="22"/>
  <c r="D121" i="22"/>
  <c r="C121" i="22"/>
  <c r="M120" i="22"/>
  <c r="L120" i="22"/>
  <c r="I120" i="22"/>
  <c r="J120" i="22" s="1"/>
  <c r="F120" i="22"/>
  <c r="G120" i="22" s="1"/>
  <c r="E120" i="22"/>
  <c r="D120" i="22"/>
  <c r="H120" i="22" s="1"/>
  <c r="C120" i="22"/>
  <c r="I119" i="22"/>
  <c r="J119" i="22" s="1"/>
  <c r="F119" i="22"/>
  <c r="G119" i="22" s="1"/>
  <c r="E119" i="22"/>
  <c r="C119" i="22" s="1"/>
  <c r="D119" i="22"/>
  <c r="I118" i="22"/>
  <c r="J118" i="22" s="1"/>
  <c r="F118" i="22"/>
  <c r="G118" i="22" s="1"/>
  <c r="E118" i="22"/>
  <c r="C118" i="22" s="1"/>
  <c r="D118" i="22"/>
  <c r="M118" i="22" s="1"/>
  <c r="L118" i="22" s="1"/>
  <c r="I117" i="22"/>
  <c r="J117" i="22" s="1"/>
  <c r="F117" i="22"/>
  <c r="G117" i="22" s="1"/>
  <c r="E117" i="22"/>
  <c r="C117" i="22" s="1"/>
  <c r="D117" i="22"/>
  <c r="M117" i="22" s="1"/>
  <c r="L117" i="22" s="1"/>
  <c r="I116" i="22"/>
  <c r="J116" i="22" s="1"/>
  <c r="H116" i="22"/>
  <c r="F116" i="22"/>
  <c r="G116" i="22" s="1"/>
  <c r="E116" i="22"/>
  <c r="C116" i="22" s="1"/>
  <c r="D116" i="22"/>
  <c r="M115" i="22"/>
  <c r="L115" i="22" s="1"/>
  <c r="I115" i="22"/>
  <c r="J115" i="22" s="1"/>
  <c r="H115" i="22"/>
  <c r="G115" i="22"/>
  <c r="F115" i="22"/>
  <c r="E115" i="22"/>
  <c r="D115" i="22"/>
  <c r="C115" i="22"/>
  <c r="J114" i="22"/>
  <c r="I114" i="22"/>
  <c r="G114" i="22"/>
  <c r="F114" i="22"/>
  <c r="E114" i="22"/>
  <c r="D114" i="22"/>
  <c r="H114" i="22" s="1"/>
  <c r="C114" i="22"/>
  <c r="M113" i="22"/>
  <c r="L113" i="22"/>
  <c r="J113" i="22"/>
  <c r="I113" i="22"/>
  <c r="G113" i="22"/>
  <c r="F113" i="22"/>
  <c r="E113" i="22"/>
  <c r="D113" i="22"/>
  <c r="H113" i="22" s="1"/>
  <c r="C113" i="22"/>
  <c r="M112" i="22"/>
  <c r="L112" i="22" s="1"/>
  <c r="J112" i="22"/>
  <c r="I112" i="22"/>
  <c r="H112" i="22"/>
  <c r="F112" i="22"/>
  <c r="G112" i="22" s="1"/>
  <c r="E112" i="22"/>
  <c r="D112" i="22"/>
  <c r="C112" i="22"/>
  <c r="I111" i="22"/>
  <c r="J111" i="22" s="1"/>
  <c r="H111" i="22"/>
  <c r="F111" i="22"/>
  <c r="G111" i="22" s="1"/>
  <c r="E111" i="22"/>
  <c r="D111" i="22"/>
  <c r="M111" i="22" s="1"/>
  <c r="L111" i="22" s="1"/>
  <c r="C111" i="22"/>
  <c r="M110" i="22"/>
  <c r="L110" i="22"/>
  <c r="I110" i="22"/>
  <c r="J110" i="22" s="1"/>
  <c r="F110" i="22"/>
  <c r="G110" i="22" s="1"/>
  <c r="E110" i="22"/>
  <c r="D110" i="22"/>
  <c r="H110" i="22" s="1"/>
  <c r="C110" i="22"/>
  <c r="I109" i="22"/>
  <c r="J109" i="22" s="1"/>
  <c r="G109" i="22"/>
  <c r="F109" i="22"/>
  <c r="E109" i="22"/>
  <c r="D109" i="22"/>
  <c r="M109" i="22" s="1"/>
  <c r="L109" i="22" s="1"/>
  <c r="C109" i="22"/>
  <c r="J108" i="22"/>
  <c r="I108" i="22"/>
  <c r="F108" i="22"/>
  <c r="G108" i="22" s="1"/>
  <c r="E108" i="22"/>
  <c r="C108" i="22" s="1"/>
  <c r="D108" i="22"/>
  <c r="H108" i="22" s="1"/>
  <c r="I107" i="22"/>
  <c r="J107" i="22" s="1"/>
  <c r="F107" i="22"/>
  <c r="G107" i="22" s="1"/>
  <c r="E107" i="22"/>
  <c r="C107" i="22" s="1"/>
  <c r="D107" i="22"/>
  <c r="M107" i="22" s="1"/>
  <c r="L107" i="22" s="1"/>
  <c r="I106" i="22"/>
  <c r="J106" i="22" s="1"/>
  <c r="H106" i="22"/>
  <c r="F106" i="22"/>
  <c r="G106" i="22" s="1"/>
  <c r="E106" i="22"/>
  <c r="D106" i="22"/>
  <c r="M105" i="22"/>
  <c r="L105" i="22"/>
  <c r="I105" i="22"/>
  <c r="J105" i="22" s="1"/>
  <c r="H105" i="22"/>
  <c r="G105" i="22"/>
  <c r="F105" i="22"/>
  <c r="E105" i="22"/>
  <c r="C105" i="22" s="1"/>
  <c r="D105" i="22"/>
  <c r="I104" i="22"/>
  <c r="J104" i="22" s="1"/>
  <c r="H104" i="22"/>
  <c r="F104" i="22"/>
  <c r="G104" i="22" s="1"/>
  <c r="E104" i="22"/>
  <c r="D104" i="22"/>
  <c r="M104" i="22" s="1"/>
  <c r="L104" i="22" s="1"/>
  <c r="C104" i="22"/>
  <c r="M103" i="22"/>
  <c r="L103" i="22"/>
  <c r="I103" i="22"/>
  <c r="J103" i="22" s="1"/>
  <c r="F103" i="22"/>
  <c r="G103" i="22" s="1"/>
  <c r="E103" i="22"/>
  <c r="D103" i="22"/>
  <c r="H103" i="22" s="1"/>
  <c r="C103" i="22"/>
  <c r="M102" i="22"/>
  <c r="L102" i="22" s="1"/>
  <c r="J102" i="22"/>
  <c r="I102" i="22"/>
  <c r="F102" i="22"/>
  <c r="G102" i="22" s="1"/>
  <c r="E102" i="22"/>
  <c r="D102" i="22"/>
  <c r="H102" i="22" s="1"/>
  <c r="C102" i="22"/>
  <c r="I101" i="22"/>
  <c r="J101" i="22" s="1"/>
  <c r="F101" i="22"/>
  <c r="G101" i="22" s="1"/>
  <c r="E101" i="22"/>
  <c r="C101" i="22" s="1"/>
  <c r="D101" i="22"/>
  <c r="M100" i="22"/>
  <c r="L100" i="22"/>
  <c r="I100" i="22"/>
  <c r="J100" i="22" s="1"/>
  <c r="H100" i="22"/>
  <c r="G100" i="22"/>
  <c r="F100" i="22"/>
  <c r="E100" i="22"/>
  <c r="D100" i="22"/>
  <c r="C100" i="22"/>
  <c r="I99" i="22"/>
  <c r="J99" i="22" s="1"/>
  <c r="G99" i="22"/>
  <c r="F99" i="22"/>
  <c r="E99" i="22"/>
  <c r="D99" i="22"/>
  <c r="M99" i="22" s="1"/>
  <c r="L99" i="22" s="1"/>
  <c r="C99" i="22"/>
  <c r="J98" i="22"/>
  <c r="I98" i="22"/>
  <c r="F98" i="22"/>
  <c r="G98" i="22" s="1"/>
  <c r="E98" i="22"/>
  <c r="D98" i="22"/>
  <c r="H98" i="22" s="1"/>
  <c r="C98" i="22"/>
  <c r="I97" i="22"/>
  <c r="J97" i="22" s="1"/>
  <c r="F97" i="22"/>
  <c r="G97" i="22" s="1"/>
  <c r="E97" i="22"/>
  <c r="D97" i="22"/>
  <c r="M97" i="22" s="1"/>
  <c r="L97" i="22" s="1"/>
  <c r="C97" i="22"/>
  <c r="I96" i="22"/>
  <c r="J96" i="22" s="1"/>
  <c r="F96" i="22"/>
  <c r="G96" i="22" s="1"/>
  <c r="E96" i="22"/>
  <c r="C96" i="22" s="1"/>
  <c r="D96" i="22"/>
  <c r="M95" i="22"/>
  <c r="L95" i="22"/>
  <c r="I95" i="22"/>
  <c r="J95" i="22" s="1"/>
  <c r="H95" i="22"/>
  <c r="F95" i="22"/>
  <c r="G95" i="22" s="1"/>
  <c r="E95" i="22"/>
  <c r="D95" i="22"/>
  <c r="C95" i="22"/>
  <c r="I94" i="22"/>
  <c r="J94" i="22" s="1"/>
  <c r="F94" i="22"/>
  <c r="G94" i="22" s="1"/>
  <c r="E94" i="22"/>
  <c r="D94" i="22"/>
  <c r="M94" i="22" s="1"/>
  <c r="L94" i="22" s="1"/>
  <c r="C94" i="22"/>
  <c r="I93" i="22"/>
  <c r="J93" i="22" s="1"/>
  <c r="F93" i="22"/>
  <c r="G93" i="22" s="1"/>
  <c r="E93" i="22"/>
  <c r="C93" i="22" s="1"/>
  <c r="D93" i="22"/>
  <c r="H93" i="22" s="1"/>
  <c r="M92" i="22"/>
  <c r="L92" i="22" s="1"/>
  <c r="J92" i="22"/>
  <c r="I92" i="22"/>
  <c r="F92" i="22"/>
  <c r="G92" i="22" s="1"/>
  <c r="E92" i="22"/>
  <c r="D92" i="22"/>
  <c r="H92" i="22" s="1"/>
  <c r="C92" i="22"/>
  <c r="I91" i="22"/>
  <c r="J91" i="22" s="1"/>
  <c r="F91" i="22"/>
  <c r="G91" i="22" s="1"/>
  <c r="E91" i="22"/>
  <c r="C91" i="22" s="1"/>
  <c r="D91" i="22"/>
  <c r="M90" i="22"/>
  <c r="L90" i="22"/>
  <c r="J90" i="22"/>
  <c r="I90" i="22"/>
  <c r="H90" i="22"/>
  <c r="G90" i="22"/>
  <c r="F90" i="22"/>
  <c r="E90" i="22"/>
  <c r="D90" i="22"/>
  <c r="C90" i="22"/>
  <c r="I89" i="22"/>
  <c r="J89" i="22" s="1"/>
  <c r="G89" i="22"/>
  <c r="F89" i="22"/>
  <c r="E89" i="22"/>
  <c r="D89" i="22"/>
  <c r="M89" i="22" s="1"/>
  <c r="L89" i="22" s="1"/>
  <c r="C89" i="22"/>
  <c r="J88" i="22"/>
  <c r="I88" i="22"/>
  <c r="F88" i="22"/>
  <c r="G88" i="22" s="1"/>
  <c r="E88" i="22"/>
  <c r="D88" i="22"/>
  <c r="H88" i="22" s="1"/>
  <c r="C88" i="22"/>
  <c r="I87" i="22"/>
  <c r="J87" i="22" s="1"/>
  <c r="H87" i="22"/>
  <c r="F87" i="22"/>
  <c r="G87" i="22" s="1"/>
  <c r="E87" i="22"/>
  <c r="D87" i="22"/>
  <c r="M87" i="22" s="1"/>
  <c r="L87" i="22" s="1"/>
  <c r="C87" i="22"/>
  <c r="I86" i="22"/>
  <c r="J86" i="22" s="1"/>
  <c r="H86" i="22"/>
  <c r="F86" i="22"/>
  <c r="G86" i="22" s="1"/>
  <c r="E86" i="22"/>
  <c r="D86" i="22"/>
  <c r="M86" i="22" s="1"/>
  <c r="L86" i="22" s="1"/>
  <c r="C86" i="22"/>
  <c r="M85" i="22"/>
  <c r="L85" i="22" s="1"/>
  <c r="I85" i="22"/>
  <c r="J85" i="22" s="1"/>
  <c r="F85" i="22"/>
  <c r="G85" i="22" s="1"/>
  <c r="E85" i="22"/>
  <c r="D85" i="22"/>
  <c r="H85" i="22" s="1"/>
  <c r="C85" i="22"/>
  <c r="I84" i="22"/>
  <c r="J84" i="22" s="1"/>
  <c r="F84" i="22"/>
  <c r="G84" i="22" s="1"/>
  <c r="E84" i="22"/>
  <c r="D84" i="22"/>
  <c r="C84" i="22"/>
  <c r="M83" i="22"/>
  <c r="L83" i="22" s="1"/>
  <c r="I83" i="22"/>
  <c r="J83" i="22" s="1"/>
  <c r="H83" i="22"/>
  <c r="F83" i="22"/>
  <c r="G83" i="22" s="1"/>
  <c r="E83" i="22"/>
  <c r="C83" i="22" s="1"/>
  <c r="D83" i="22"/>
  <c r="I82" i="22"/>
  <c r="J82" i="22" s="1"/>
  <c r="H82" i="22"/>
  <c r="G82" i="22"/>
  <c r="F82" i="22"/>
  <c r="E82" i="22"/>
  <c r="C82" i="22" s="1"/>
  <c r="D82" i="22"/>
  <c r="M82" i="22" s="1"/>
  <c r="L82" i="22" s="1"/>
  <c r="J81" i="22"/>
  <c r="I81" i="22"/>
  <c r="F81" i="22"/>
  <c r="G81" i="22" s="1"/>
  <c r="E81" i="22"/>
  <c r="D81" i="22"/>
  <c r="M81" i="22" s="1"/>
  <c r="L81" i="22" s="1"/>
  <c r="C81" i="22"/>
  <c r="M80" i="22"/>
  <c r="L80" i="22"/>
  <c r="J80" i="22"/>
  <c r="I80" i="22"/>
  <c r="F80" i="22"/>
  <c r="G80" i="22" s="1"/>
  <c r="E80" i="22"/>
  <c r="D80" i="22"/>
  <c r="H80" i="22" s="1"/>
  <c r="C80" i="22"/>
  <c r="I79" i="22"/>
  <c r="J79" i="22" s="1"/>
  <c r="F79" i="22"/>
  <c r="G79" i="22" s="1"/>
  <c r="E79" i="22"/>
  <c r="C79" i="22" s="1"/>
  <c r="D79" i="22"/>
  <c r="M78" i="22"/>
  <c r="L78" i="22"/>
  <c r="I78" i="22"/>
  <c r="J78" i="22" s="1"/>
  <c r="H78" i="22"/>
  <c r="G78" i="22"/>
  <c r="F78" i="22"/>
  <c r="E78" i="22"/>
  <c r="D78" i="22"/>
  <c r="C78" i="22"/>
  <c r="I77" i="22"/>
  <c r="J77" i="22" s="1"/>
  <c r="G77" i="22"/>
  <c r="F77" i="22"/>
  <c r="E77" i="22"/>
  <c r="D77" i="22"/>
  <c r="M77" i="22" s="1"/>
  <c r="L77" i="22" s="1"/>
  <c r="C77" i="22"/>
  <c r="J76" i="22"/>
  <c r="I76" i="22"/>
  <c r="F76" i="22"/>
  <c r="G76" i="22" s="1"/>
  <c r="E76" i="22"/>
  <c r="C76" i="22" s="1"/>
  <c r="D76" i="22"/>
  <c r="H76" i="22" s="1"/>
  <c r="I75" i="22"/>
  <c r="J75" i="22" s="1"/>
  <c r="H75" i="22"/>
  <c r="F75" i="22"/>
  <c r="G75" i="22" s="1"/>
  <c r="E75" i="22"/>
  <c r="D75" i="22"/>
  <c r="M75" i="22" s="1"/>
  <c r="L75" i="22" s="1"/>
  <c r="C75" i="22"/>
  <c r="I74" i="22"/>
  <c r="J74" i="22" s="1"/>
  <c r="H74" i="22"/>
  <c r="F74" i="22"/>
  <c r="G74" i="22" s="1"/>
  <c r="E74" i="22"/>
  <c r="D74" i="22"/>
  <c r="M74" i="22" s="1"/>
  <c r="L74" i="22" s="1"/>
  <c r="C74" i="22"/>
  <c r="M73" i="22"/>
  <c r="L73" i="22"/>
  <c r="I73" i="22"/>
  <c r="J73" i="22" s="1"/>
  <c r="F73" i="22"/>
  <c r="G73" i="22" s="1"/>
  <c r="E73" i="22"/>
  <c r="D73" i="22"/>
  <c r="H73" i="22" s="1"/>
  <c r="C73" i="22"/>
  <c r="I72" i="22"/>
  <c r="J72" i="22" s="1"/>
  <c r="F72" i="22"/>
  <c r="G72" i="22" s="1"/>
  <c r="E72" i="22"/>
  <c r="D72" i="22"/>
  <c r="C72" i="22"/>
  <c r="I71" i="22"/>
  <c r="J71" i="22" s="1"/>
  <c r="H71" i="22"/>
  <c r="G71" i="22"/>
  <c r="F71" i="22"/>
  <c r="E71" i="22"/>
  <c r="C71" i="22" s="1"/>
  <c r="D71" i="22"/>
  <c r="I70" i="22"/>
  <c r="J70" i="22" s="1"/>
  <c r="H70" i="22"/>
  <c r="G70" i="22"/>
  <c r="F70" i="22"/>
  <c r="E70" i="22"/>
  <c r="C70" i="22" s="1"/>
  <c r="D70" i="22"/>
  <c r="M70" i="22" s="1"/>
  <c r="L70" i="22" s="1"/>
  <c r="I69" i="22"/>
  <c r="J69" i="22" s="1"/>
  <c r="F69" i="22"/>
  <c r="G69" i="22" s="1"/>
  <c r="E69" i="22"/>
  <c r="C69" i="22" s="1"/>
  <c r="D69" i="22"/>
  <c r="M69" i="22" s="1"/>
  <c r="L69" i="22" s="1"/>
  <c r="M68" i="22"/>
  <c r="L68" i="22"/>
  <c r="J68" i="22"/>
  <c r="I68" i="22"/>
  <c r="F68" i="22"/>
  <c r="G68" i="22" s="1"/>
  <c r="E68" i="22"/>
  <c r="D68" i="22"/>
  <c r="H68" i="22" s="1"/>
  <c r="C68" i="22"/>
  <c r="I67" i="22"/>
  <c r="J67" i="22" s="1"/>
  <c r="F67" i="22"/>
  <c r="G67" i="22" s="1"/>
  <c r="E67" i="22"/>
  <c r="C67" i="22" s="1"/>
  <c r="D67" i="22"/>
  <c r="M66" i="22"/>
  <c r="L66" i="22"/>
  <c r="J66" i="22"/>
  <c r="I66" i="22"/>
  <c r="H66" i="22"/>
  <c r="G66" i="22"/>
  <c r="F66" i="22"/>
  <c r="E66" i="22"/>
  <c r="D66" i="22"/>
  <c r="C66" i="22"/>
  <c r="I65" i="22"/>
  <c r="J65" i="22" s="1"/>
  <c r="G65" i="22"/>
  <c r="F65" i="22"/>
  <c r="E65" i="22"/>
  <c r="D65" i="22"/>
  <c r="M65" i="22" s="1"/>
  <c r="L65" i="22" s="1"/>
  <c r="C65" i="22"/>
  <c r="J64" i="22"/>
  <c r="I64" i="22"/>
  <c r="F64" i="22"/>
  <c r="G64" i="22" s="1"/>
  <c r="E64" i="22"/>
  <c r="D64" i="22"/>
  <c r="H64" i="22" s="1"/>
  <c r="C64" i="22"/>
  <c r="I63" i="22"/>
  <c r="J63" i="22" s="1"/>
  <c r="H63" i="22"/>
  <c r="F63" i="22"/>
  <c r="G63" i="22" s="1"/>
  <c r="E63" i="22"/>
  <c r="D63" i="22"/>
  <c r="M63" i="22" s="1"/>
  <c r="L63" i="22" s="1"/>
  <c r="C63" i="22"/>
  <c r="I62" i="22"/>
  <c r="J62" i="22" s="1"/>
  <c r="H62" i="22"/>
  <c r="G62" i="22"/>
  <c r="F62" i="22"/>
  <c r="E62" i="22"/>
  <c r="D62" i="22"/>
  <c r="M62" i="22" s="1"/>
  <c r="L62" i="22" s="1"/>
  <c r="C62" i="22"/>
  <c r="M61" i="22"/>
  <c r="L61" i="22"/>
  <c r="J61" i="22"/>
  <c r="I61" i="22"/>
  <c r="F61" i="22"/>
  <c r="G61" i="22" s="1"/>
  <c r="E61" i="22"/>
  <c r="D61" i="22"/>
  <c r="H61" i="22" s="1"/>
  <c r="C61" i="22"/>
  <c r="I60" i="22"/>
  <c r="J60" i="22" s="1"/>
  <c r="F60" i="22"/>
  <c r="G60" i="22" s="1"/>
  <c r="E60" i="22"/>
  <c r="D60" i="22"/>
  <c r="C60" i="22"/>
  <c r="I59" i="22"/>
  <c r="J59" i="22" s="1"/>
  <c r="H59" i="22"/>
  <c r="F59" i="22"/>
  <c r="G59" i="22" s="1"/>
  <c r="E59" i="22"/>
  <c r="C59" i="22" s="1"/>
  <c r="D59" i="22"/>
  <c r="J58" i="22"/>
  <c r="I58" i="22"/>
  <c r="H58" i="22"/>
  <c r="G58" i="22"/>
  <c r="F58" i="22"/>
  <c r="E58" i="22"/>
  <c r="C58" i="22" s="1"/>
  <c r="D58" i="22"/>
  <c r="M58" i="22" s="1"/>
  <c r="L58" i="22" s="1"/>
  <c r="I57" i="22"/>
  <c r="J57" i="22" s="1"/>
  <c r="F57" i="22"/>
  <c r="G57" i="22" s="1"/>
  <c r="E57" i="22"/>
  <c r="D57" i="22"/>
  <c r="M57" i="22" s="1"/>
  <c r="L57" i="22" s="1"/>
  <c r="C57" i="22"/>
  <c r="M56" i="22"/>
  <c r="L56" i="22"/>
  <c r="J56" i="22"/>
  <c r="I56" i="22"/>
  <c r="F56" i="22"/>
  <c r="G56" i="22" s="1"/>
  <c r="E56" i="22"/>
  <c r="D56" i="22"/>
  <c r="H56" i="22" s="1"/>
  <c r="C56" i="22"/>
  <c r="I55" i="22"/>
  <c r="J55" i="22" s="1"/>
  <c r="F55" i="22"/>
  <c r="G55" i="22" s="1"/>
  <c r="E55" i="22"/>
  <c r="C55" i="22" s="1"/>
  <c r="D55" i="22"/>
  <c r="M54" i="22"/>
  <c r="L54" i="22"/>
  <c r="J54" i="22"/>
  <c r="I54" i="22"/>
  <c r="H54" i="22"/>
  <c r="G54" i="22"/>
  <c r="F54" i="22"/>
  <c r="E54" i="22"/>
  <c r="D54" i="22"/>
  <c r="C54" i="22"/>
  <c r="I53" i="22"/>
  <c r="J53" i="22" s="1"/>
  <c r="G53" i="22"/>
  <c r="F53" i="22"/>
  <c r="E53" i="22"/>
  <c r="D53" i="22"/>
  <c r="M53" i="22" s="1"/>
  <c r="L53" i="22" s="1"/>
  <c r="C53" i="22"/>
  <c r="M52" i="22"/>
  <c r="L52" i="22"/>
  <c r="J52" i="22"/>
  <c r="I52" i="22"/>
  <c r="F52" i="22"/>
  <c r="G52" i="22" s="1"/>
  <c r="E52" i="22"/>
  <c r="D52" i="22"/>
  <c r="H52" i="22" s="1"/>
  <c r="C52" i="22"/>
  <c r="I51" i="22"/>
  <c r="J51" i="22" s="1"/>
  <c r="H51" i="22"/>
  <c r="F51" i="22"/>
  <c r="G51" i="22" s="1"/>
  <c r="E51" i="22"/>
  <c r="D51" i="22"/>
  <c r="M51" i="22" s="1"/>
  <c r="L51" i="22" s="1"/>
  <c r="C51" i="22"/>
  <c r="I50" i="22"/>
  <c r="J50" i="22" s="1"/>
  <c r="H50" i="22"/>
  <c r="F50" i="22"/>
  <c r="G50" i="22" s="1"/>
  <c r="E50" i="22"/>
  <c r="D50" i="22"/>
  <c r="M50" i="22" s="1"/>
  <c r="L50" i="22" s="1"/>
  <c r="C50" i="22"/>
  <c r="M49" i="22"/>
  <c r="L49" i="22"/>
  <c r="I49" i="22"/>
  <c r="J49" i="22" s="1"/>
  <c r="F49" i="22"/>
  <c r="G49" i="22" s="1"/>
  <c r="E49" i="22"/>
  <c r="D49" i="22"/>
  <c r="H49" i="22" s="1"/>
  <c r="C49" i="22"/>
  <c r="I48" i="22"/>
  <c r="J48" i="22" s="1"/>
  <c r="F48" i="22"/>
  <c r="G48" i="22" s="1"/>
  <c r="E48" i="22"/>
  <c r="D48" i="22"/>
  <c r="C48" i="22"/>
  <c r="I47" i="22"/>
  <c r="J47" i="22" s="1"/>
  <c r="H47" i="22"/>
  <c r="F47" i="22"/>
  <c r="G47" i="22" s="1"/>
  <c r="E47" i="22"/>
  <c r="C47" i="22" s="1"/>
  <c r="D47" i="22"/>
  <c r="J46" i="22"/>
  <c r="I46" i="22"/>
  <c r="H46" i="22"/>
  <c r="G46" i="22"/>
  <c r="F46" i="22"/>
  <c r="E46" i="22"/>
  <c r="C46" i="22" s="1"/>
  <c r="D46" i="22"/>
  <c r="M46" i="22" s="1"/>
  <c r="L46" i="22" s="1"/>
  <c r="I45" i="22"/>
  <c r="J45" i="22" s="1"/>
  <c r="F45" i="22"/>
  <c r="G45" i="22" s="1"/>
  <c r="E45" i="22"/>
  <c r="D45" i="22"/>
  <c r="C45" i="22"/>
  <c r="M44" i="22"/>
  <c r="L44" i="22" s="1"/>
  <c r="J44" i="22"/>
  <c r="I44" i="22"/>
  <c r="F44" i="22"/>
  <c r="G44" i="22" s="1"/>
  <c r="E44" i="22"/>
  <c r="D44" i="22"/>
  <c r="H44" i="22" s="1"/>
  <c r="C44" i="22"/>
  <c r="I43" i="22"/>
  <c r="J43" i="22" s="1"/>
  <c r="F43" i="22"/>
  <c r="G43" i="22" s="1"/>
  <c r="E43" i="22"/>
  <c r="C43" i="22" s="1"/>
  <c r="D43" i="22"/>
  <c r="M42" i="22"/>
  <c r="L42" i="22"/>
  <c r="I42" i="22"/>
  <c r="J42" i="22" s="1"/>
  <c r="H42" i="22"/>
  <c r="G42" i="22"/>
  <c r="F42" i="22"/>
  <c r="E42" i="22"/>
  <c r="D42" i="22"/>
  <c r="C42" i="22"/>
  <c r="I41" i="22"/>
  <c r="J41" i="22" s="1"/>
  <c r="G41" i="22"/>
  <c r="F41" i="22"/>
  <c r="E41" i="22"/>
  <c r="D41" i="22"/>
  <c r="M41" i="22" s="1"/>
  <c r="L41" i="22" s="1"/>
  <c r="C41" i="22"/>
  <c r="J40" i="22"/>
  <c r="I40" i="22"/>
  <c r="F40" i="22"/>
  <c r="G40" i="22" s="1"/>
  <c r="E40" i="22"/>
  <c r="M40" i="22" s="1"/>
  <c r="L40" i="22" s="1"/>
  <c r="D40" i="22"/>
  <c r="H40" i="22" s="1"/>
  <c r="I39" i="22"/>
  <c r="J39" i="22" s="1"/>
  <c r="H39" i="22"/>
  <c r="F39" i="22"/>
  <c r="G39" i="22" s="1"/>
  <c r="E39" i="22"/>
  <c r="D39" i="22"/>
  <c r="M39" i="22" s="1"/>
  <c r="L39" i="22" s="1"/>
  <c r="C39" i="22"/>
  <c r="I38" i="22"/>
  <c r="J38" i="22" s="1"/>
  <c r="H38" i="22"/>
  <c r="F38" i="22"/>
  <c r="G38" i="22" s="1"/>
  <c r="E38" i="22"/>
  <c r="D38" i="22"/>
  <c r="M38" i="22" s="1"/>
  <c r="L38" i="22" s="1"/>
  <c r="C38" i="22"/>
  <c r="M37" i="22"/>
  <c r="L37" i="22"/>
  <c r="I37" i="22"/>
  <c r="J37" i="22" s="1"/>
  <c r="F37" i="22"/>
  <c r="G37" i="22" s="1"/>
  <c r="E37" i="22"/>
  <c r="D37" i="22"/>
  <c r="H37" i="22" s="1"/>
  <c r="C37" i="22"/>
  <c r="I36" i="22"/>
  <c r="J36" i="22" s="1"/>
  <c r="F36" i="22"/>
  <c r="G36" i="22" s="1"/>
  <c r="E36" i="22"/>
  <c r="D36" i="22"/>
  <c r="C36" i="22"/>
  <c r="M35" i="22"/>
  <c r="L35" i="22" s="1"/>
  <c r="I35" i="22"/>
  <c r="J35" i="22" s="1"/>
  <c r="H35" i="22"/>
  <c r="F35" i="22"/>
  <c r="G35" i="22" s="1"/>
  <c r="E35" i="22"/>
  <c r="C35" i="22" s="1"/>
  <c r="D35" i="22"/>
  <c r="J34" i="22"/>
  <c r="I34" i="22"/>
  <c r="H34" i="22"/>
  <c r="G34" i="22"/>
  <c r="F34" i="22"/>
  <c r="E34" i="22"/>
  <c r="C34" i="22" s="1"/>
  <c r="D34" i="22"/>
  <c r="M34" i="22" s="1"/>
  <c r="L34" i="22" s="1"/>
  <c r="I33" i="22"/>
  <c r="J33" i="22" s="1"/>
  <c r="H33" i="22"/>
  <c r="F33" i="22"/>
  <c r="G33" i="22" s="1"/>
  <c r="E33" i="22"/>
  <c r="C33" i="22" s="1"/>
  <c r="D33" i="22"/>
  <c r="M32" i="22"/>
  <c r="L32" i="22"/>
  <c r="J32" i="22"/>
  <c r="I32" i="22"/>
  <c r="F32" i="22"/>
  <c r="G32" i="22" s="1"/>
  <c r="E32" i="22"/>
  <c r="D32" i="22"/>
  <c r="H32" i="22" s="1"/>
  <c r="C32" i="22"/>
  <c r="I31" i="22"/>
  <c r="J31" i="22" s="1"/>
  <c r="F31" i="22"/>
  <c r="G31" i="22" s="1"/>
  <c r="E31" i="22"/>
  <c r="C31" i="22" s="1"/>
  <c r="D31" i="22"/>
  <c r="M30" i="22"/>
  <c r="L30" i="22"/>
  <c r="I30" i="22"/>
  <c r="J30" i="22" s="1"/>
  <c r="H30" i="22"/>
  <c r="G30" i="22"/>
  <c r="F30" i="22"/>
  <c r="E30" i="22"/>
  <c r="D30" i="22"/>
  <c r="C30" i="22"/>
  <c r="I29" i="22"/>
  <c r="J29" i="22" s="1"/>
  <c r="G29" i="22"/>
  <c r="F29" i="22"/>
  <c r="E29" i="22"/>
  <c r="D29" i="22"/>
  <c r="M29" i="22" s="1"/>
  <c r="L29" i="22" s="1"/>
  <c r="C29" i="22"/>
  <c r="J28" i="22"/>
  <c r="I28" i="22"/>
  <c r="F28" i="22"/>
  <c r="G28" i="22" s="1"/>
  <c r="E28" i="22"/>
  <c r="C28" i="22" s="1"/>
  <c r="D28" i="22"/>
  <c r="H28" i="22" s="1"/>
  <c r="I27" i="22"/>
  <c r="J27" i="22" s="1"/>
  <c r="H27" i="22"/>
  <c r="F27" i="22"/>
  <c r="G27" i="22" s="1"/>
  <c r="E27" i="22"/>
  <c r="D27" i="22"/>
  <c r="M27" i="22" s="1"/>
  <c r="L27" i="22" s="1"/>
  <c r="C27" i="22"/>
  <c r="I26" i="22"/>
  <c r="J26" i="22" s="1"/>
  <c r="H26" i="22"/>
  <c r="F26" i="22"/>
  <c r="G26" i="22" s="1"/>
  <c r="E26" i="22"/>
  <c r="D26" i="22"/>
  <c r="M26" i="22" s="1"/>
  <c r="L26" i="22" s="1"/>
  <c r="C26" i="22"/>
  <c r="M25" i="22"/>
  <c r="L25" i="22"/>
  <c r="I25" i="22"/>
  <c r="J25" i="22" s="1"/>
  <c r="F25" i="22"/>
  <c r="G25" i="22" s="1"/>
  <c r="E25" i="22"/>
  <c r="D25" i="22"/>
  <c r="H25" i="22" s="1"/>
  <c r="C25" i="22"/>
  <c r="I24" i="22"/>
  <c r="J24" i="22" s="1"/>
  <c r="F24" i="22"/>
  <c r="G24" i="22" s="1"/>
  <c r="E24" i="22"/>
  <c r="C24" i="22" s="1"/>
  <c r="D24" i="22"/>
  <c r="I23" i="22"/>
  <c r="J23" i="22" s="1"/>
  <c r="H23" i="22"/>
  <c r="F23" i="22"/>
  <c r="G23" i="22" s="1"/>
  <c r="E23" i="22"/>
  <c r="C23" i="22" s="1"/>
  <c r="D23" i="22"/>
  <c r="J22" i="22"/>
  <c r="I22" i="22"/>
  <c r="H22" i="22"/>
  <c r="G22" i="22"/>
  <c r="F22" i="22"/>
  <c r="E22" i="22"/>
  <c r="C22" i="22" s="1"/>
  <c r="D22" i="22"/>
  <c r="M22" i="22" s="1"/>
  <c r="L22" i="22" s="1"/>
  <c r="J21" i="22"/>
  <c r="I21" i="22"/>
  <c r="F21" i="22"/>
  <c r="G21" i="22" s="1"/>
  <c r="E21" i="22"/>
  <c r="C21" i="22" s="1"/>
  <c r="D21" i="22"/>
  <c r="M20" i="22"/>
  <c r="L20" i="22" s="1"/>
  <c r="J20" i="22"/>
  <c r="I20" i="22"/>
  <c r="F20" i="22"/>
  <c r="G20" i="22" s="1"/>
  <c r="E20" i="22"/>
  <c r="D20" i="22"/>
  <c r="H20" i="22" s="1"/>
  <c r="C20" i="22"/>
  <c r="I19" i="22"/>
  <c r="J19" i="22" s="1"/>
  <c r="F19" i="22"/>
  <c r="G19" i="22" s="1"/>
  <c r="E19" i="22"/>
  <c r="C19" i="22" s="1"/>
  <c r="D19" i="22"/>
  <c r="M18" i="22"/>
  <c r="L18" i="22"/>
  <c r="I18" i="22"/>
  <c r="J18" i="22" s="1"/>
  <c r="H18" i="22"/>
  <c r="G18" i="22"/>
  <c r="F18" i="22"/>
  <c r="E18" i="22"/>
  <c r="D18" i="22"/>
  <c r="C18" i="22"/>
  <c r="I17" i="22"/>
  <c r="J17" i="22" s="1"/>
  <c r="G17" i="22"/>
  <c r="F17" i="22"/>
  <c r="E17" i="22"/>
  <c r="D17" i="22"/>
  <c r="M17" i="22" s="1"/>
  <c r="L17" i="22" s="1"/>
  <c r="C17" i="22"/>
  <c r="J16" i="22"/>
  <c r="I16" i="22"/>
  <c r="F16" i="22"/>
  <c r="G16" i="22" s="1"/>
  <c r="E16" i="22"/>
  <c r="D16" i="22"/>
  <c r="H16" i="22" s="1"/>
  <c r="C16" i="22"/>
  <c r="I15" i="22"/>
  <c r="J15" i="22" s="1"/>
  <c r="H15" i="22"/>
  <c r="F15" i="22"/>
  <c r="G15" i="22" s="1"/>
  <c r="E15" i="22"/>
  <c r="D15" i="22"/>
  <c r="M15" i="22" s="1"/>
  <c r="L15" i="22" s="1"/>
  <c r="C15" i="22"/>
  <c r="I14" i="22"/>
  <c r="J14" i="22" s="1"/>
  <c r="H14" i="22"/>
  <c r="F14" i="22"/>
  <c r="G14" i="22" s="1"/>
  <c r="E14" i="22"/>
  <c r="D14" i="22"/>
  <c r="M14" i="22" s="1"/>
  <c r="L14" i="22" s="1"/>
  <c r="C14" i="22"/>
  <c r="M13" i="22"/>
  <c r="L13" i="22"/>
  <c r="I13" i="22"/>
  <c r="J13" i="22" s="1"/>
  <c r="F13" i="22"/>
  <c r="G13" i="22" s="1"/>
  <c r="E13" i="22"/>
  <c r="D13" i="22"/>
  <c r="H13" i="22" s="1"/>
  <c r="C13" i="22"/>
  <c r="I12" i="22"/>
  <c r="J12" i="22" s="1"/>
  <c r="F12" i="22"/>
  <c r="G12" i="22" s="1"/>
  <c r="E12" i="22"/>
  <c r="C12" i="22" s="1"/>
  <c r="D12" i="22"/>
  <c r="I11" i="22"/>
  <c r="J11" i="22" s="1"/>
  <c r="H11" i="22"/>
  <c r="F11" i="22"/>
  <c r="G11" i="22" s="1"/>
  <c r="E11" i="22"/>
  <c r="C11" i="22" s="1"/>
  <c r="D11" i="22"/>
  <c r="J10" i="22"/>
  <c r="I10" i="22"/>
  <c r="H10" i="22"/>
  <c r="G10" i="22"/>
  <c r="F10" i="22"/>
  <c r="E10" i="22"/>
  <c r="C10" i="22" s="1"/>
  <c r="D10" i="22"/>
  <c r="M10" i="22" s="1"/>
  <c r="L10" i="22" s="1"/>
  <c r="J9" i="22"/>
  <c r="I9" i="22"/>
  <c r="F9" i="22"/>
  <c r="G9" i="22" s="1"/>
  <c r="E9" i="22"/>
  <c r="D9" i="22"/>
  <c r="M9" i="22" s="1"/>
  <c r="L9" i="22" s="1"/>
  <c r="C9" i="22"/>
  <c r="M8" i="22"/>
  <c r="L8" i="22" s="1"/>
  <c r="J8" i="22"/>
  <c r="I8" i="22"/>
  <c r="F8" i="22"/>
  <c r="G8" i="22" s="1"/>
  <c r="E8" i="22"/>
  <c r="D8" i="22"/>
  <c r="H8" i="22" s="1"/>
  <c r="C8" i="22"/>
  <c r="I7" i="22"/>
  <c r="J7" i="22" s="1"/>
  <c r="F7" i="22"/>
  <c r="G7" i="22" s="1"/>
  <c r="E7" i="22"/>
  <c r="C7" i="22" s="1"/>
  <c r="D7" i="22"/>
  <c r="M6" i="22"/>
  <c r="L6" i="22"/>
  <c r="I6" i="22"/>
  <c r="J6" i="22" s="1"/>
  <c r="F6" i="22"/>
  <c r="G6" i="22" s="1"/>
  <c r="E6" i="22"/>
  <c r="D6" i="22"/>
  <c r="H6" i="22" s="1"/>
  <c r="C6" i="22"/>
  <c r="I5" i="22"/>
  <c r="J5" i="22" s="1"/>
  <c r="F5" i="22"/>
  <c r="G5" i="22" s="1"/>
  <c r="E5" i="22"/>
  <c r="C5" i="22" s="1"/>
  <c r="D5" i="22"/>
  <c r="M4" i="22"/>
  <c r="L4" i="22"/>
  <c r="I4" i="22"/>
  <c r="J4" i="22" s="1"/>
  <c r="H4" i="22"/>
  <c r="G4" i="22"/>
  <c r="F4" i="22"/>
  <c r="E4" i="22"/>
  <c r="D4" i="22"/>
  <c r="C4" i="22"/>
  <c r="I3" i="22"/>
  <c r="J3" i="22" s="1"/>
  <c r="G3" i="22"/>
  <c r="F3" i="22"/>
  <c r="E3" i="22"/>
  <c r="D3" i="22"/>
  <c r="M3" i="22" s="1"/>
  <c r="L3" i="22" s="1"/>
  <c r="C3" i="22"/>
  <c r="M2" i="22"/>
  <c r="L2" i="22"/>
  <c r="J2" i="22"/>
  <c r="I2" i="22"/>
  <c r="G2" i="22"/>
  <c r="F2" i="22"/>
  <c r="E2" i="22"/>
  <c r="D2" i="22"/>
  <c r="H2" i="22" s="1"/>
  <c r="C2" i="22"/>
  <c r="B24" i="20"/>
  <c r="B20" i="20"/>
  <c r="B14" i="20"/>
  <c r="A92" i="19"/>
  <c r="A91" i="19"/>
  <c r="A90" i="19"/>
  <c r="A89" i="19"/>
  <c r="A88" i="19"/>
  <c r="A87" i="19"/>
  <c r="A86" i="19"/>
  <c r="A85" i="19"/>
  <c r="A84" i="19"/>
  <c r="A83" i="19"/>
  <c r="A82" i="19"/>
  <c r="A81" i="19"/>
  <c r="A80" i="19"/>
  <c r="A79" i="19"/>
  <c r="A78" i="19"/>
  <c r="A77" i="19"/>
  <c r="A76" i="19"/>
  <c r="A75" i="19"/>
  <c r="A74" i="19"/>
  <c r="A73" i="19"/>
  <c r="B73" i="19" s="1"/>
  <c r="A72" i="19"/>
  <c r="B72" i="19" s="1"/>
  <c r="A71" i="19"/>
  <c r="B71" i="19" s="1"/>
  <c r="C69" i="19"/>
  <c r="B69" i="19"/>
  <c r="A69" i="19"/>
  <c r="A68" i="19"/>
  <c r="A67" i="19"/>
  <c r="C67" i="19" s="1"/>
  <c r="A66" i="19"/>
  <c r="C66" i="19" s="1"/>
  <c r="A65" i="19"/>
  <c r="C65" i="19" s="1"/>
  <c r="C64" i="19"/>
  <c r="A64" i="19"/>
  <c r="B64" i="19" s="1"/>
  <c r="A63" i="19"/>
  <c r="C63" i="19" s="1"/>
  <c r="A62" i="19"/>
  <c r="D62" i="19" s="1"/>
  <c r="D61" i="19"/>
  <c r="A61" i="19"/>
  <c r="C61" i="19" s="1"/>
  <c r="A60" i="19"/>
  <c r="C60" i="19" s="1"/>
  <c r="A59" i="19"/>
  <c r="C59" i="19" s="1"/>
  <c r="C58" i="19"/>
  <c r="A58" i="19"/>
  <c r="B58" i="19" s="1"/>
  <c r="A57" i="19"/>
  <c r="C57" i="19" s="1"/>
  <c r="A56" i="19"/>
  <c r="C56" i="19" s="1"/>
  <c r="D54" i="19"/>
  <c r="A54" i="19"/>
  <c r="C54" i="19" s="1"/>
  <c r="B53" i="19"/>
  <c r="A53" i="19"/>
  <c r="C53" i="19" s="1"/>
  <c r="B52" i="19"/>
  <c r="A52" i="19"/>
  <c r="C52" i="19" s="1"/>
  <c r="A51" i="19"/>
  <c r="C51" i="19" s="1"/>
  <c r="C50" i="19"/>
  <c r="A50" i="19"/>
  <c r="B50" i="19" s="1"/>
  <c r="A49" i="19"/>
  <c r="C49" i="19" s="1"/>
  <c r="D48" i="19"/>
  <c r="A48" i="19"/>
  <c r="C48" i="19" s="1"/>
  <c r="B47" i="19"/>
  <c r="A47" i="19"/>
  <c r="C47" i="19" s="1"/>
  <c r="B46" i="19"/>
  <c r="A46" i="19"/>
  <c r="C46" i="19" s="1"/>
  <c r="A45" i="19"/>
  <c r="C45" i="19" s="1"/>
  <c r="D44" i="19"/>
  <c r="C44" i="19"/>
  <c r="A44" i="19"/>
  <c r="B44" i="19" s="1"/>
  <c r="A43" i="19"/>
  <c r="D43" i="19" s="1"/>
  <c r="D42" i="19"/>
  <c r="A42" i="19"/>
  <c r="C42" i="19" s="1"/>
  <c r="C41" i="19"/>
  <c r="B41" i="19"/>
  <c r="A41" i="19"/>
  <c r="A39" i="19"/>
  <c r="D38" i="19"/>
  <c r="C38" i="19"/>
  <c r="B38" i="19"/>
  <c r="A38" i="19"/>
  <c r="G37" i="19"/>
  <c r="F37" i="19"/>
  <c r="A37" i="19"/>
  <c r="B37" i="19" s="1"/>
  <c r="G36" i="19"/>
  <c r="F36" i="19"/>
  <c r="A36" i="19"/>
  <c r="C36" i="19" s="1"/>
  <c r="G35" i="19"/>
  <c r="F35" i="19"/>
  <c r="C35" i="19"/>
  <c r="A35" i="19"/>
  <c r="B35" i="19" s="1"/>
  <c r="G34" i="19"/>
  <c r="F34" i="19"/>
  <c r="C34" i="19"/>
  <c r="B34" i="19"/>
  <c r="A34" i="19"/>
  <c r="G33" i="19"/>
  <c r="F33" i="19"/>
  <c r="D33" i="19"/>
  <c r="A33" i="19"/>
  <c r="C33" i="19" s="1"/>
  <c r="G32" i="19"/>
  <c r="F32" i="19"/>
  <c r="A32" i="19"/>
  <c r="C32" i="19" s="1"/>
  <c r="G31" i="19"/>
  <c r="F31" i="19"/>
  <c r="C31" i="19"/>
  <c r="A31" i="19"/>
  <c r="B31" i="19" s="1"/>
  <c r="G30" i="19"/>
  <c r="F30" i="19"/>
  <c r="D30" i="19"/>
  <c r="C30" i="19"/>
  <c r="B30" i="19"/>
  <c r="A30" i="19"/>
  <c r="G29" i="19"/>
  <c r="F29" i="19"/>
  <c r="A29" i="19"/>
  <c r="C29" i="19" s="1"/>
  <c r="G28" i="19"/>
  <c r="F28" i="19"/>
  <c r="A28" i="19"/>
  <c r="B28" i="19" s="1"/>
  <c r="G27" i="19"/>
  <c r="F27" i="19"/>
  <c r="C27" i="19"/>
  <c r="A27" i="19"/>
  <c r="B27" i="19" s="1"/>
  <c r="G26" i="19"/>
  <c r="D26" i="19"/>
  <c r="C26" i="19"/>
  <c r="A26" i="19"/>
  <c r="B26" i="19" s="1"/>
  <c r="G25" i="19"/>
  <c r="G24" i="19"/>
  <c r="D24" i="19"/>
  <c r="C24" i="19"/>
  <c r="B24" i="19"/>
  <c r="A24" i="19"/>
  <c r="G23" i="19"/>
  <c r="A23" i="19"/>
  <c r="C23" i="19" s="1"/>
  <c r="G22" i="19"/>
  <c r="C22" i="19"/>
  <c r="A22" i="19"/>
  <c r="B22" i="19" s="1"/>
  <c r="G21" i="19"/>
  <c r="D21" i="19"/>
  <c r="B21" i="19"/>
  <c r="A21" i="19"/>
  <c r="C21" i="19" s="1"/>
  <c r="G20" i="19"/>
  <c r="A20" i="19"/>
  <c r="B20" i="19" s="1"/>
  <c r="G19" i="19"/>
  <c r="D19" i="19"/>
  <c r="A19" i="19"/>
  <c r="C19" i="19" s="1"/>
  <c r="G18" i="19"/>
  <c r="A18" i="19"/>
  <c r="C18" i="19" s="1"/>
  <c r="G17" i="19"/>
  <c r="A17" i="19"/>
  <c r="G16" i="19"/>
  <c r="D16" i="19"/>
  <c r="C16" i="19"/>
  <c r="B16" i="19"/>
  <c r="A16" i="19"/>
  <c r="G15" i="19"/>
  <c r="C15" i="19"/>
  <c r="B15" i="19"/>
  <c r="A15" i="19"/>
  <c r="G14" i="19"/>
  <c r="A14" i="19"/>
  <c r="C14" i="19" s="1"/>
  <c r="G13" i="19"/>
  <c r="A13" i="19"/>
  <c r="C13" i="19" s="1"/>
  <c r="G12" i="19"/>
  <c r="A12" i="19"/>
  <c r="C12" i="19" s="1"/>
  <c r="A11" i="19"/>
  <c r="B192" i="16"/>
  <c r="B184" i="16"/>
  <c r="B169" i="16"/>
  <c r="B151" i="16"/>
  <c r="B150" i="16"/>
  <c r="B149" i="16"/>
  <c r="B148" i="16"/>
  <c r="B147" i="16"/>
  <c r="B146" i="16"/>
  <c r="B145" i="16"/>
  <c r="B144" i="16"/>
  <c r="B142" i="16"/>
  <c r="B141" i="16"/>
  <c r="B131" i="16"/>
  <c r="B126" i="16"/>
  <c r="B125" i="16"/>
  <c r="B6" i="42" s="1"/>
  <c r="B114" i="16"/>
  <c r="C113" i="16"/>
  <c r="C112" i="16"/>
  <c r="B112" i="16" s="1"/>
  <c r="B106" i="16"/>
  <c r="C105" i="16"/>
  <c r="B83" i="16"/>
  <c r="B74" i="16"/>
  <c r="B70" i="16"/>
  <c r="B69" i="16"/>
  <c r="D55" i="16"/>
  <c r="G54" i="16"/>
  <c r="E54" i="16"/>
  <c r="D54" i="16"/>
  <c r="C54" i="16"/>
  <c r="B47" i="16"/>
  <c r="C38" i="16"/>
  <c r="B17" i="16"/>
  <c r="C18" i="11" s="1"/>
  <c r="B3" i="16"/>
  <c r="B2" i="16"/>
  <c r="B3" i="15"/>
  <c r="H100" i="14"/>
  <c r="G100" i="14"/>
  <c r="G99" i="14"/>
  <c r="H99" i="14" s="1"/>
  <c r="G98" i="14"/>
  <c r="H98" i="14" s="1"/>
  <c r="G97" i="14"/>
  <c r="H97" i="14" s="1"/>
  <c r="G96" i="14"/>
  <c r="H96" i="14" s="1"/>
  <c r="G95" i="14"/>
  <c r="H95" i="14" s="1"/>
  <c r="G94" i="14"/>
  <c r="H94" i="14" s="1"/>
  <c r="G93" i="14"/>
  <c r="H93" i="14" s="1"/>
  <c r="G92" i="14"/>
  <c r="H92" i="14" s="1"/>
  <c r="G91" i="14"/>
  <c r="H91" i="14" s="1"/>
  <c r="G90" i="14"/>
  <c r="H90" i="14" s="1"/>
  <c r="H89" i="14"/>
  <c r="G89" i="14"/>
  <c r="H88" i="14"/>
  <c r="G88" i="14"/>
  <c r="G87" i="14"/>
  <c r="H87" i="14" s="1"/>
  <c r="G86" i="14"/>
  <c r="H86" i="14" s="1"/>
  <c r="G85" i="14"/>
  <c r="H85" i="14" s="1"/>
  <c r="G84" i="14"/>
  <c r="H84" i="14" s="1"/>
  <c r="G83" i="14"/>
  <c r="H83" i="14" s="1"/>
  <c r="G82" i="14"/>
  <c r="H82" i="14" s="1"/>
  <c r="G81" i="14"/>
  <c r="H81" i="14" s="1"/>
  <c r="G80" i="14"/>
  <c r="H80" i="14" s="1"/>
  <c r="G79" i="14"/>
  <c r="H79" i="14" s="1"/>
  <c r="G78" i="14"/>
  <c r="H78" i="14" s="1"/>
  <c r="G77" i="14"/>
  <c r="H77" i="14" s="1"/>
  <c r="H76" i="14"/>
  <c r="G76" i="14"/>
  <c r="G75" i="14"/>
  <c r="H75" i="14" s="1"/>
  <c r="G74" i="14"/>
  <c r="H74" i="14" s="1"/>
  <c r="H73" i="14"/>
  <c r="G73" i="14"/>
  <c r="G72" i="14"/>
  <c r="H72" i="14" s="1"/>
  <c r="G71" i="14"/>
  <c r="H71" i="14" s="1"/>
  <c r="G70" i="14"/>
  <c r="H70" i="14" s="1"/>
  <c r="G69" i="14"/>
  <c r="H69" i="14" s="1"/>
  <c r="G68" i="14"/>
  <c r="H68" i="14" s="1"/>
  <c r="G67" i="14"/>
  <c r="H67" i="14" s="1"/>
  <c r="G66" i="14"/>
  <c r="H66" i="14" s="1"/>
  <c r="G65" i="14"/>
  <c r="H65" i="14" s="1"/>
  <c r="H64" i="14"/>
  <c r="G64" i="14"/>
  <c r="G63" i="14"/>
  <c r="H63" i="14" s="1"/>
  <c r="G62" i="14"/>
  <c r="H62" i="14" s="1"/>
  <c r="G61" i="14"/>
  <c r="H61" i="14" s="1"/>
  <c r="G60" i="14"/>
  <c r="H60" i="14" s="1"/>
  <c r="G59" i="14"/>
  <c r="H59" i="14" s="1"/>
  <c r="G58" i="14"/>
  <c r="H58" i="14" s="1"/>
  <c r="G57" i="14"/>
  <c r="H57" i="14" s="1"/>
  <c r="G56" i="14"/>
  <c r="H56" i="14" s="1"/>
  <c r="G55" i="14"/>
  <c r="H55" i="14" s="1"/>
  <c r="G54" i="14"/>
  <c r="H54" i="14" s="1"/>
  <c r="G53" i="14"/>
  <c r="H53" i="14" s="1"/>
  <c r="H52" i="14"/>
  <c r="G52" i="14"/>
  <c r="G51" i="14"/>
  <c r="H51" i="14" s="1"/>
  <c r="G50" i="14"/>
  <c r="H50" i="14" s="1"/>
  <c r="G49" i="14"/>
  <c r="H49" i="14" s="1"/>
  <c r="G48" i="14"/>
  <c r="H48" i="14" s="1"/>
  <c r="G47" i="14"/>
  <c r="H47" i="14" s="1"/>
  <c r="G46" i="14"/>
  <c r="H46" i="14" s="1"/>
  <c r="G45" i="14"/>
  <c r="H45" i="14" s="1"/>
  <c r="G44" i="14"/>
  <c r="H44" i="14" s="1"/>
  <c r="G43" i="14"/>
  <c r="H43" i="14" s="1"/>
  <c r="G42" i="14"/>
  <c r="H42" i="14" s="1"/>
  <c r="G41" i="14"/>
  <c r="H41" i="14" s="1"/>
  <c r="H40" i="14"/>
  <c r="G40" i="14"/>
  <c r="G39" i="14"/>
  <c r="H39" i="14" s="1"/>
  <c r="G38" i="14"/>
  <c r="H38" i="14" s="1"/>
  <c r="G37" i="14"/>
  <c r="H37" i="14" s="1"/>
  <c r="G36" i="14"/>
  <c r="H36" i="14" s="1"/>
  <c r="G35" i="14"/>
  <c r="H35" i="14" s="1"/>
  <c r="G34" i="14"/>
  <c r="H34" i="14" s="1"/>
  <c r="G33" i="14"/>
  <c r="H33" i="14" s="1"/>
  <c r="G32" i="14"/>
  <c r="H32" i="14" s="1"/>
  <c r="G31" i="14"/>
  <c r="H31" i="14" s="1"/>
  <c r="G30" i="14"/>
  <c r="H30" i="14" s="1"/>
  <c r="G29" i="14"/>
  <c r="H29" i="14" s="1"/>
  <c r="H28" i="14"/>
  <c r="G28" i="14"/>
  <c r="G27" i="14"/>
  <c r="H27" i="14" s="1"/>
  <c r="G26" i="14"/>
  <c r="H26" i="14" s="1"/>
  <c r="G25" i="14"/>
  <c r="H25" i="14" s="1"/>
  <c r="G24" i="14"/>
  <c r="H24" i="14" s="1"/>
  <c r="G23" i="14"/>
  <c r="H23" i="14" s="1"/>
  <c r="G22" i="14"/>
  <c r="H22" i="14" s="1"/>
  <c r="G21" i="14"/>
  <c r="H21" i="14" s="1"/>
  <c r="G20" i="14"/>
  <c r="H20" i="14" s="1"/>
  <c r="G19" i="14"/>
  <c r="H19" i="14" s="1"/>
  <c r="G18" i="14"/>
  <c r="H18" i="14" s="1"/>
  <c r="G17" i="14"/>
  <c r="H17" i="14" s="1"/>
  <c r="H16" i="14"/>
  <c r="G16" i="14"/>
  <c r="G15" i="14"/>
  <c r="H15" i="14" s="1"/>
  <c r="G14" i="14"/>
  <c r="H14" i="14" s="1"/>
  <c r="G13" i="14"/>
  <c r="H13" i="14" s="1"/>
  <c r="G12" i="14"/>
  <c r="H12" i="14" s="1"/>
  <c r="G11" i="14"/>
  <c r="H11" i="14" s="1"/>
  <c r="G10" i="14"/>
  <c r="H10" i="14" s="1"/>
  <c r="G9" i="14"/>
  <c r="H9" i="14" s="1"/>
  <c r="G8" i="14"/>
  <c r="H8" i="14" s="1"/>
  <c r="G7" i="14"/>
  <c r="H7" i="14" s="1"/>
  <c r="G6" i="14"/>
  <c r="H6" i="14" s="1"/>
  <c r="H5" i="14"/>
  <c r="G5" i="14"/>
  <c r="H4" i="14"/>
  <c r="G4" i="14"/>
  <c r="G3" i="14"/>
  <c r="H3" i="14" s="1"/>
  <c r="G2" i="14"/>
  <c r="H2" i="14" s="1"/>
  <c r="H1" i="14"/>
  <c r="B2" i="13"/>
  <c r="B12" i="12"/>
  <c r="B13" i="12" s="1"/>
  <c r="B11" i="12"/>
  <c r="B10" i="12"/>
  <c r="E28" i="11"/>
  <c r="B28" i="11"/>
  <c r="A28" i="11"/>
  <c r="E27" i="11"/>
  <c r="C27" i="11"/>
  <c r="B62" i="10" s="1"/>
  <c r="B27" i="11"/>
  <c r="A27" i="11"/>
  <c r="E25" i="11"/>
  <c r="B25" i="11"/>
  <c r="E24" i="11"/>
  <c r="B24" i="11"/>
  <c r="B23" i="11"/>
  <c r="A23" i="11"/>
  <c r="A24" i="11" s="1"/>
  <c r="E22" i="11"/>
  <c r="A22" i="11"/>
  <c r="A21" i="11"/>
  <c r="E20" i="11"/>
  <c r="A20" i="11"/>
  <c r="E19" i="11"/>
  <c r="E16" i="11"/>
  <c r="E15" i="11"/>
  <c r="B15" i="11"/>
  <c r="A15" i="11"/>
  <c r="A16" i="11" s="1"/>
  <c r="A17" i="11" s="1"/>
  <c r="A8" i="11"/>
  <c r="C7" i="11"/>
  <c r="B7" i="11"/>
  <c r="A7" i="11"/>
  <c r="A1" i="11"/>
  <c r="F250" i="10"/>
  <c r="F249" i="10"/>
  <c r="F248" i="10"/>
  <c r="F247" i="10"/>
  <c r="F246" i="10"/>
  <c r="F245" i="10"/>
  <c r="F244" i="10"/>
  <c r="F243" i="10"/>
  <c r="F242" i="10"/>
  <c r="F241" i="10"/>
  <c r="F240" i="10"/>
  <c r="F239" i="10"/>
  <c r="F238" i="10"/>
  <c r="F237" i="10"/>
  <c r="F236" i="10"/>
  <c r="F235" i="10"/>
  <c r="F234" i="10"/>
  <c r="F233" i="10"/>
  <c r="F232" i="10"/>
  <c r="F231" i="10"/>
  <c r="F230" i="10"/>
  <c r="F229" i="10"/>
  <c r="F228" i="10"/>
  <c r="F227" i="10"/>
  <c r="F226" i="10"/>
  <c r="F225" i="10"/>
  <c r="F224" i="10"/>
  <c r="F223" i="10"/>
  <c r="F222" i="10"/>
  <c r="F221" i="10"/>
  <c r="F220" i="10"/>
  <c r="F219" i="10"/>
  <c r="F218" i="10"/>
  <c r="F217" i="10"/>
  <c r="F216" i="10"/>
  <c r="F215" i="10"/>
  <c r="F214" i="10"/>
  <c r="F213" i="10"/>
  <c r="F212" i="10"/>
  <c r="F211" i="10"/>
  <c r="F210" i="10"/>
  <c r="E209" i="10"/>
  <c r="F209" i="10" s="1"/>
  <c r="E208" i="10"/>
  <c r="F208" i="10" s="1"/>
  <c r="F207" i="10"/>
  <c r="E207" i="10"/>
  <c r="F206" i="10"/>
  <c r="E206" i="10"/>
  <c r="E205" i="10"/>
  <c r="F205" i="10" s="1"/>
  <c r="E204" i="10"/>
  <c r="F204" i="10" s="1"/>
  <c r="E203" i="10"/>
  <c r="F203" i="10" s="1"/>
  <c r="E202" i="10"/>
  <c r="F202" i="10" s="1"/>
  <c r="F201" i="10"/>
  <c r="E201" i="10"/>
  <c r="E200" i="10"/>
  <c r="F200" i="10" s="1"/>
  <c r="E199" i="10"/>
  <c r="F199" i="10" s="1"/>
  <c r="E198" i="10"/>
  <c r="F198" i="10" s="1"/>
  <c r="E197" i="10"/>
  <c r="F197" i="10" s="1"/>
  <c r="E196" i="10"/>
  <c r="F196" i="10" s="1"/>
  <c r="E195" i="10"/>
  <c r="F195" i="10" s="1"/>
  <c r="F194" i="10"/>
  <c r="E194" i="10"/>
  <c r="E193" i="10"/>
  <c r="F193" i="10" s="1"/>
  <c r="E192" i="10"/>
  <c r="F192" i="10" s="1"/>
  <c r="E191" i="10"/>
  <c r="F191" i="10" s="1"/>
  <c r="E190" i="10"/>
  <c r="F190" i="10" s="1"/>
  <c r="F189" i="10"/>
  <c r="E189" i="10"/>
  <c r="E188" i="10"/>
  <c r="F188" i="10" s="1"/>
  <c r="E187" i="10"/>
  <c r="F187" i="10" s="1"/>
  <c r="E186" i="10"/>
  <c r="F186" i="10" s="1"/>
  <c r="E185" i="10"/>
  <c r="F185" i="10" s="1"/>
  <c r="F184" i="10"/>
  <c r="E184" i="10"/>
  <c r="E183" i="10"/>
  <c r="F183" i="10" s="1"/>
  <c r="F182" i="10"/>
  <c r="E182" i="10"/>
  <c r="E181" i="10"/>
  <c r="F181" i="10" s="1"/>
  <c r="E180" i="10"/>
  <c r="F180" i="10" s="1"/>
  <c r="E179" i="10"/>
  <c r="F179" i="10" s="1"/>
  <c r="E178" i="10"/>
  <c r="F178" i="10" s="1"/>
  <c r="F177" i="10"/>
  <c r="E177" i="10"/>
  <c r="E176" i="10"/>
  <c r="F176" i="10" s="1"/>
  <c r="E175" i="10"/>
  <c r="F175" i="10" s="1"/>
  <c r="E174" i="10"/>
  <c r="F174" i="10" s="1"/>
  <c r="E173" i="10"/>
  <c r="F173" i="10" s="1"/>
  <c r="F172" i="10"/>
  <c r="E172" i="10"/>
  <c r="E171" i="10"/>
  <c r="F171" i="10" s="1"/>
  <c r="F170" i="10"/>
  <c r="E170" i="10"/>
  <c r="E169" i="10"/>
  <c r="F169" i="10" s="1"/>
  <c r="E168" i="10"/>
  <c r="F168" i="10" s="1"/>
  <c r="E167" i="10"/>
  <c r="F167" i="10" s="1"/>
  <c r="E166" i="10"/>
  <c r="F166" i="10" s="1"/>
  <c r="F165" i="10"/>
  <c r="E165" i="10"/>
  <c r="E164" i="10"/>
  <c r="F164" i="10" s="1"/>
  <c r="F163" i="10"/>
  <c r="E163" i="10"/>
  <c r="E162" i="10"/>
  <c r="F162" i="10" s="1"/>
  <c r="E161" i="10"/>
  <c r="F161" i="10" s="1"/>
  <c r="E160" i="10"/>
  <c r="F160" i="10" s="1"/>
  <c r="F159" i="10"/>
  <c r="E159" i="10"/>
  <c r="F158" i="10"/>
  <c r="E158" i="10"/>
  <c r="B158" i="10"/>
  <c r="F157" i="10"/>
  <c r="E157" i="10"/>
  <c r="E156" i="10"/>
  <c r="F156" i="10" s="1"/>
  <c r="E155" i="10"/>
  <c r="E154" i="10"/>
  <c r="E153" i="10"/>
  <c r="E152" i="10"/>
  <c r="F152" i="10" s="1"/>
  <c r="B152" i="10"/>
  <c r="E151" i="10"/>
  <c r="F151" i="10" s="1"/>
  <c r="F150" i="10"/>
  <c r="E150" i="10"/>
  <c r="E149" i="10"/>
  <c r="E147" i="10"/>
  <c r="E146" i="10"/>
  <c r="E145" i="10"/>
  <c r="E144" i="10"/>
  <c r="F144" i="10" s="1"/>
  <c r="B144" i="10"/>
  <c r="E143" i="10"/>
  <c r="E142" i="10"/>
  <c r="E141" i="10"/>
  <c r="E140" i="10"/>
  <c r="E139" i="10"/>
  <c r="E138" i="10"/>
  <c r="E137" i="10"/>
  <c r="E136" i="10"/>
  <c r="E135" i="10"/>
  <c r="E134" i="10"/>
  <c r="E133" i="10"/>
  <c r="E132" i="10"/>
  <c r="E131" i="10"/>
  <c r="E130" i="10"/>
  <c r="E129" i="10"/>
  <c r="E128" i="10"/>
  <c r="E127" i="10"/>
  <c r="E126" i="10"/>
  <c r="E125" i="10"/>
  <c r="E124" i="10"/>
  <c r="F124" i="10" s="1"/>
  <c r="E123" i="10"/>
  <c r="F123" i="10" s="1"/>
  <c r="E122" i="10"/>
  <c r="F122" i="10" s="1"/>
  <c r="B122" i="10"/>
  <c r="E121" i="10"/>
  <c r="F121" i="10" s="1"/>
  <c r="E120" i="10"/>
  <c r="F120" i="10" s="1"/>
  <c r="E119" i="10"/>
  <c r="F119" i="10" s="1"/>
  <c r="E118" i="10"/>
  <c r="F118" i="10" s="1"/>
  <c r="E117" i="10"/>
  <c r="E116" i="10"/>
  <c r="F116" i="10" s="1"/>
  <c r="E115" i="10"/>
  <c r="F115" i="10" s="1"/>
  <c r="E114" i="10"/>
  <c r="F114" i="10" s="1"/>
  <c r="E113" i="10"/>
  <c r="E112" i="10"/>
  <c r="F112" i="10" s="1"/>
  <c r="B112" i="10"/>
  <c r="E111" i="10"/>
  <c r="F111" i="10" s="1"/>
  <c r="B111" i="10"/>
  <c r="E110" i="10"/>
  <c r="F110" i="10" s="1"/>
  <c r="B110" i="10"/>
  <c r="E109" i="10"/>
  <c r="F109" i="10" s="1"/>
  <c r="E108" i="10"/>
  <c r="B108" i="10"/>
  <c r="E107" i="10"/>
  <c r="F107" i="10" s="1"/>
  <c r="E106" i="10"/>
  <c r="F106" i="10" s="1"/>
  <c r="E105" i="10"/>
  <c r="F105" i="10" s="1"/>
  <c r="E104" i="10"/>
  <c r="F104" i="10" s="1"/>
  <c r="E103" i="10"/>
  <c r="F102" i="10"/>
  <c r="E102" i="10"/>
  <c r="E101" i="10"/>
  <c r="F101" i="10" s="1"/>
  <c r="E100" i="10"/>
  <c r="E99" i="10"/>
  <c r="E98" i="10"/>
  <c r="E97" i="10"/>
  <c r="E96" i="10"/>
  <c r="E95" i="10"/>
  <c r="E94" i="10"/>
  <c r="E93" i="10"/>
  <c r="F93" i="10" s="1"/>
  <c r="E92" i="10"/>
  <c r="F92" i="10" s="1"/>
  <c r="E91" i="10"/>
  <c r="F91" i="10" s="1"/>
  <c r="E90" i="10"/>
  <c r="E89" i="10"/>
  <c r="F89" i="10" s="1"/>
  <c r="B89" i="10"/>
  <c r="E88" i="10"/>
  <c r="F88" i="10" s="1"/>
  <c r="B88" i="10"/>
  <c r="F87" i="10"/>
  <c r="E87" i="10"/>
  <c r="B87" i="10"/>
  <c r="E86" i="10"/>
  <c r="F86" i="10" s="1"/>
  <c r="B86" i="10"/>
  <c r="E85" i="10"/>
  <c r="F85" i="10" s="1"/>
  <c r="B85" i="10"/>
  <c r="E84" i="10"/>
  <c r="F84" i="10" s="1"/>
  <c r="E83" i="10"/>
  <c r="F83" i="10" s="1"/>
  <c r="E82" i="10"/>
  <c r="F82" i="10" s="1"/>
  <c r="E81" i="10"/>
  <c r="F81" i="10" s="1"/>
  <c r="F80" i="10"/>
  <c r="E80" i="10"/>
  <c r="E79" i="10"/>
  <c r="F79" i="10" s="1"/>
  <c r="E78" i="10"/>
  <c r="F78" i="10" s="1"/>
  <c r="E77" i="10"/>
  <c r="F77" i="10" s="1"/>
  <c r="E76" i="10"/>
  <c r="F76" i="10" s="1"/>
  <c r="E75" i="10"/>
  <c r="F75" i="10" s="1"/>
  <c r="F74" i="10"/>
  <c r="E74" i="10"/>
  <c r="F73" i="10"/>
  <c r="E73" i="10"/>
  <c r="E72" i="10"/>
  <c r="F72" i="10" s="1"/>
  <c r="E71" i="10"/>
  <c r="E70" i="10"/>
  <c r="E69" i="10"/>
  <c r="E68" i="10"/>
  <c r="E67" i="10"/>
  <c r="E66" i="10"/>
  <c r="E65" i="10"/>
  <c r="F65" i="10" s="1"/>
  <c r="F64" i="10"/>
  <c r="E64" i="10"/>
  <c r="E63" i="10"/>
  <c r="E62" i="10"/>
  <c r="F62" i="10" s="1"/>
  <c r="E61" i="10"/>
  <c r="E60" i="10"/>
  <c r="E59" i="10"/>
  <c r="F58" i="10"/>
  <c r="E58" i="10"/>
  <c r="B58" i="10"/>
  <c r="E57" i="10"/>
  <c r="E56" i="10"/>
  <c r="E55" i="10"/>
  <c r="E54" i="10"/>
  <c r="E53" i="10"/>
  <c r="E52" i="10"/>
  <c r="E51" i="10"/>
  <c r="E50" i="10"/>
  <c r="E49" i="10"/>
  <c r="E48" i="10"/>
  <c r="E47" i="10"/>
  <c r="F47" i="10" s="1"/>
  <c r="E46" i="10"/>
  <c r="E45" i="10"/>
  <c r="E44" i="10"/>
  <c r="F43" i="10"/>
  <c r="E43" i="10"/>
  <c r="B43" i="10"/>
  <c r="E42" i="10"/>
  <c r="F42" i="10" s="1"/>
  <c r="B42" i="10"/>
  <c r="E41" i="10"/>
  <c r="F41" i="10" s="1"/>
  <c r="E40" i="10"/>
  <c r="E39" i="10"/>
  <c r="F38" i="10"/>
  <c r="E38" i="10"/>
  <c r="E37" i="10"/>
  <c r="F37" i="10" s="1"/>
  <c r="E36" i="10"/>
  <c r="F36" i="10" s="1"/>
  <c r="B36" i="10"/>
  <c r="E35" i="10"/>
  <c r="F34" i="10"/>
  <c r="E34" i="10"/>
  <c r="E33" i="10"/>
  <c r="E32" i="10"/>
  <c r="B32" i="10"/>
  <c r="B33" i="10" s="1"/>
  <c r="E31" i="10"/>
  <c r="F31" i="10" s="1"/>
  <c r="B31" i="10"/>
  <c r="B29" i="10" s="1"/>
  <c r="F29" i="10" s="1"/>
  <c r="F30" i="10"/>
  <c r="E30" i="10"/>
  <c r="B30" i="10"/>
  <c r="E29" i="10"/>
  <c r="E28" i="10"/>
  <c r="E27" i="10"/>
  <c r="E26" i="10"/>
  <c r="E25" i="10"/>
  <c r="E24" i="10"/>
  <c r="F24" i="10" s="1"/>
  <c r="B24" i="10"/>
  <c r="E23" i="10"/>
  <c r="F23" i="10" s="1"/>
  <c r="B23" i="10"/>
  <c r="E22" i="10"/>
  <c r="F21" i="10"/>
  <c r="E21" i="10"/>
  <c r="E20" i="10"/>
  <c r="F20" i="10" s="1"/>
  <c r="B20" i="10"/>
  <c r="E19" i="10"/>
  <c r="E18" i="10"/>
  <c r="E17" i="10"/>
  <c r="F17" i="10" s="1"/>
  <c r="F16" i="10"/>
  <c r="E16" i="10"/>
  <c r="E15" i="10"/>
  <c r="B15" i="10"/>
  <c r="E14" i="10"/>
  <c r="F14" i="10" s="1"/>
  <c r="B14" i="10"/>
  <c r="E13" i="10"/>
  <c r="E12" i="10"/>
  <c r="E11" i="10"/>
  <c r="E10" i="10"/>
  <c r="E9" i="10"/>
  <c r="E8" i="10"/>
  <c r="F7" i="10"/>
  <c r="E7" i="10"/>
  <c r="E6" i="10"/>
  <c r="F6" i="10" s="1"/>
  <c r="E5" i="10"/>
  <c r="F5" i="10" s="1"/>
  <c r="B5" i="10"/>
  <c r="F4" i="10"/>
  <c r="E4" i="10"/>
  <c r="B4" i="10"/>
  <c r="E3" i="10"/>
  <c r="B3" i="10"/>
  <c r="F3" i="10" s="1"/>
  <c r="E2" i="10"/>
  <c r="B2" i="10"/>
  <c r="F1" i="10"/>
  <c r="E182" i="9"/>
  <c r="E181" i="9"/>
  <c r="E180" i="9"/>
  <c r="E179" i="9"/>
  <c r="E178" i="9"/>
  <c r="E177" i="9"/>
  <c r="E176" i="9"/>
  <c r="E175" i="9"/>
  <c r="E174" i="9"/>
  <c r="E173" i="9"/>
  <c r="E172" i="9"/>
  <c r="E171" i="9"/>
  <c r="E170" i="9"/>
  <c r="E169" i="9"/>
  <c r="E168" i="9"/>
  <c r="E167" i="9"/>
  <c r="E166" i="9"/>
  <c r="E165" i="9"/>
  <c r="E164" i="9"/>
  <c r="E163" i="9"/>
  <c r="E162" i="9"/>
  <c r="E161" i="9"/>
  <c r="E160" i="9"/>
  <c r="E159" i="9"/>
  <c r="E158" i="9"/>
  <c r="E157" i="9"/>
  <c r="E156" i="9"/>
  <c r="E155" i="9"/>
  <c r="E154" i="9"/>
  <c r="E153" i="9"/>
  <c r="E152" i="9"/>
  <c r="E151" i="9"/>
  <c r="E150" i="9"/>
  <c r="E149" i="9"/>
  <c r="E148" i="9"/>
  <c r="E147" i="9"/>
  <c r="E146" i="9"/>
  <c r="E145" i="9"/>
  <c r="E144" i="9"/>
  <c r="E143" i="9"/>
  <c r="E142" i="9"/>
  <c r="E141" i="9"/>
  <c r="E140" i="9"/>
  <c r="E139" i="9"/>
  <c r="E138" i="9"/>
  <c r="E137" i="9"/>
  <c r="E136" i="9"/>
  <c r="E135" i="9"/>
  <c r="E134" i="9"/>
  <c r="E133" i="9"/>
  <c r="E132" i="9"/>
  <c r="E131" i="9"/>
  <c r="E130" i="9"/>
  <c r="E129" i="9"/>
  <c r="E128" i="9"/>
  <c r="E127" i="9"/>
  <c r="E126" i="9"/>
  <c r="E125" i="9"/>
  <c r="E124" i="9"/>
  <c r="E123" i="9"/>
  <c r="E122" i="9"/>
  <c r="E121" i="9"/>
  <c r="E120" i="9"/>
  <c r="E119" i="9"/>
  <c r="E118" i="9"/>
  <c r="E117" i="9"/>
  <c r="E116" i="9"/>
  <c r="E115" i="9"/>
  <c r="E114" i="9"/>
  <c r="E113" i="9"/>
  <c r="E112" i="9"/>
  <c r="E111" i="9"/>
  <c r="E110" i="9"/>
  <c r="E109" i="9"/>
  <c r="E108" i="9"/>
  <c r="E107" i="9"/>
  <c r="E106" i="9"/>
  <c r="E105" i="9"/>
  <c r="E104" i="9"/>
  <c r="E103" i="9"/>
  <c r="E102" i="9"/>
  <c r="E101" i="9"/>
  <c r="E100" i="9"/>
  <c r="E99" i="9"/>
  <c r="E98" i="9"/>
  <c r="E97" i="9"/>
  <c r="E96" i="9"/>
  <c r="E95" i="9"/>
  <c r="E94" i="9"/>
  <c r="E93" i="9"/>
  <c r="E92" i="9"/>
  <c r="E91" i="9"/>
  <c r="E90" i="9"/>
  <c r="E89" i="9"/>
  <c r="E88" i="9"/>
  <c r="E87" i="9"/>
  <c r="E86" i="9"/>
  <c r="E85" i="9"/>
  <c r="E84" i="9"/>
  <c r="E83" i="9"/>
  <c r="E82" i="9"/>
  <c r="E81" i="9"/>
  <c r="E80" i="9"/>
  <c r="E79" i="9"/>
  <c r="E78" i="9"/>
  <c r="E77" i="9"/>
  <c r="E76" i="9"/>
  <c r="E75" i="9"/>
  <c r="E74" i="9"/>
  <c r="E73" i="9"/>
  <c r="E72" i="9"/>
  <c r="E71" i="9"/>
  <c r="E70" i="9"/>
  <c r="E69" i="9"/>
  <c r="E68" i="9"/>
  <c r="E67" i="9"/>
  <c r="E66" i="9"/>
  <c r="E65" i="9"/>
  <c r="E64" i="9"/>
  <c r="E63" i="9"/>
  <c r="E62" i="9"/>
  <c r="E61" i="9"/>
  <c r="E60" i="9"/>
  <c r="E59" i="9"/>
  <c r="E58" i="9"/>
  <c r="E57" i="9"/>
  <c r="E56" i="9"/>
  <c r="E55" i="9"/>
  <c r="E54" i="9"/>
  <c r="E53" i="9"/>
  <c r="E52" i="9"/>
  <c r="E51" i="9"/>
  <c r="E50" i="9"/>
  <c r="E49" i="9"/>
  <c r="E48" i="9"/>
  <c r="E47" i="9"/>
  <c r="E46" i="9"/>
  <c r="E45" i="9"/>
  <c r="E44" i="9"/>
  <c r="E43" i="9"/>
  <c r="E42" i="9"/>
  <c r="E41" i="9"/>
  <c r="E40" i="9"/>
  <c r="E39" i="9"/>
  <c r="E38" i="9"/>
  <c r="E37" i="9"/>
  <c r="E36" i="9"/>
  <c r="E35" i="9"/>
  <c r="E34" i="9"/>
  <c r="E33" i="9"/>
  <c r="E32" i="9"/>
  <c r="E31" i="9"/>
  <c r="E30" i="9"/>
  <c r="E29" i="9"/>
  <c r="E28" i="9"/>
  <c r="E27" i="9"/>
  <c r="E26" i="9"/>
  <c r="E25" i="9"/>
  <c r="E24" i="9"/>
  <c r="E23" i="9"/>
  <c r="E22" i="9"/>
  <c r="C20" i="9"/>
  <c r="E20" i="9" s="1"/>
  <c r="C18" i="9"/>
  <c r="E18" i="9" s="1"/>
  <c r="C17" i="9"/>
  <c r="E17" i="9" s="1"/>
  <c r="E16" i="9"/>
  <c r="C16" i="9"/>
  <c r="C15" i="9"/>
  <c r="E15" i="9" s="1"/>
  <c r="C14" i="9"/>
  <c r="E14" i="9" s="1"/>
  <c r="C7" i="9"/>
  <c r="E7" i="9" s="1"/>
  <c r="E6" i="9"/>
  <c r="C6" i="9"/>
  <c r="C5" i="9"/>
  <c r="E5" i="9" s="1"/>
  <c r="C4" i="9"/>
  <c r="E4" i="9" s="1"/>
  <c r="C13" i="8"/>
  <c r="B10" i="8"/>
  <c r="A8" i="8"/>
  <c r="A5" i="8"/>
  <c r="B5" i="8" s="1"/>
  <c r="A4" i="8"/>
  <c r="B4" i="8" s="1"/>
  <c r="C4" i="8" s="1"/>
  <c r="B2" i="8"/>
  <c r="L67" i="5"/>
  <c r="U61" i="5"/>
  <c r="T61" i="5"/>
  <c r="S61" i="5"/>
  <c r="R61" i="5"/>
  <c r="Q59" i="5" a="1"/>
  <c r="Q59" i="5" s="1"/>
  <c r="P59" i="5"/>
  <c r="O59" i="5"/>
  <c r="N59" i="5"/>
  <c r="M59" i="5"/>
  <c r="L59" i="5"/>
  <c r="P58" i="5"/>
  <c r="O58" i="5"/>
  <c r="N58" i="5"/>
  <c r="M58" i="5"/>
  <c r="L58" i="5"/>
  <c r="Q58" i="5" s="1" a="1"/>
  <c r="Q58" i="5" s="1"/>
  <c r="P57" i="5"/>
  <c r="Q57" i="5" s="1" a="1"/>
  <c r="Q57" i="5" s="1"/>
  <c r="O57" i="5"/>
  <c r="N57" i="5"/>
  <c r="M57" i="5"/>
  <c r="L57" i="5"/>
  <c r="P56" i="5"/>
  <c r="O56" i="5"/>
  <c r="N56" i="5"/>
  <c r="Q56" i="5" s="1" a="1"/>
  <c r="Q56" i="5" s="1"/>
  <c r="M56" i="5"/>
  <c r="L56" i="5"/>
  <c r="P55" i="5"/>
  <c r="O55" i="5"/>
  <c r="N55" i="5"/>
  <c r="M55" i="5"/>
  <c r="L55" i="5"/>
  <c r="Q55" i="5" s="1" a="1"/>
  <c r="Q55" i="5" s="1"/>
  <c r="P54" i="5"/>
  <c r="O54" i="5"/>
  <c r="N54" i="5"/>
  <c r="M54" i="5"/>
  <c r="L54" i="5"/>
  <c r="Q54" i="5" s="1" a="1"/>
  <c r="Q54" i="5" s="1"/>
  <c r="P53" i="5"/>
  <c r="O53" i="5"/>
  <c r="Q53" i="5" s="1" a="1"/>
  <c r="Q53" i="5" s="1"/>
  <c r="N53" i="5"/>
  <c r="M53" i="5"/>
  <c r="L53" i="5"/>
  <c r="Q52" i="5" a="1"/>
  <c r="Q52" i="5" s="1"/>
  <c r="P52" i="5"/>
  <c r="O52" i="5"/>
  <c r="N52" i="5"/>
  <c r="M52" i="5"/>
  <c r="L52" i="5"/>
  <c r="P51" i="5"/>
  <c r="O51" i="5"/>
  <c r="N51" i="5"/>
  <c r="M51" i="5"/>
  <c r="L51" i="5"/>
  <c r="Q51" i="5" s="1" a="1"/>
  <c r="Q51" i="5" s="1"/>
  <c r="P50" i="5"/>
  <c r="O50" i="5"/>
  <c r="N50" i="5"/>
  <c r="M50" i="5"/>
  <c r="L50" i="5"/>
  <c r="Q50" i="5" s="1" a="1"/>
  <c r="Q50" i="5" s="1"/>
  <c r="P49" i="5"/>
  <c r="Q49" i="5" s="1" a="1"/>
  <c r="Q49" i="5" s="1"/>
  <c r="O49" i="5"/>
  <c r="N49" i="5"/>
  <c r="M49" i="5"/>
  <c r="L49" i="5"/>
  <c r="P48" i="5"/>
  <c r="O48" i="5"/>
  <c r="N48" i="5"/>
  <c r="M48" i="5"/>
  <c r="L48" i="5"/>
  <c r="Q48" i="5" s="1" a="1"/>
  <c r="Q48" i="5" s="1"/>
  <c r="P30" i="5"/>
  <c r="M30" i="5"/>
  <c r="L30" i="5"/>
  <c r="N29" i="5"/>
  <c r="L28" i="5"/>
  <c r="P27" i="5"/>
  <c r="O27" i="5"/>
  <c r="N27" i="5"/>
  <c r="M27" i="5"/>
  <c r="L27" i="5"/>
  <c r="P26" i="5"/>
  <c r="O26" i="5"/>
  <c r="N26" i="5"/>
  <c r="M26" i="5"/>
  <c r="L26" i="5"/>
  <c r="O24" i="5"/>
  <c r="M23" i="5"/>
  <c r="L23" i="5"/>
  <c r="P22" i="5"/>
  <c r="O22" i="5"/>
  <c r="N22" i="5"/>
  <c r="M22" i="5"/>
  <c r="L22" i="5"/>
  <c r="P21" i="5"/>
  <c r="O21" i="5"/>
  <c r="N21" i="5"/>
  <c r="M21" i="5"/>
  <c r="O20" i="5"/>
  <c r="N20" i="5"/>
  <c r="P19" i="5"/>
  <c r="N18" i="5"/>
  <c r="M18" i="5"/>
  <c r="L18" i="5"/>
  <c r="L17" i="5"/>
  <c r="P16" i="5"/>
  <c r="O16" i="5"/>
  <c r="O30" i="5" s="1"/>
  <c r="N16" i="5"/>
  <c r="N30" i="5" s="1"/>
  <c r="M16" i="5"/>
  <c r="L16" i="5"/>
  <c r="P15" i="5"/>
  <c r="P29" i="5" s="1"/>
  <c r="O15" i="5"/>
  <c r="O29" i="5" s="1"/>
  <c r="N15" i="5"/>
  <c r="M15" i="5"/>
  <c r="M29" i="5" s="1"/>
  <c r="L15" i="5"/>
  <c r="L29" i="5" s="1"/>
  <c r="P14" i="5"/>
  <c r="P28" i="5" s="1"/>
  <c r="O14" i="5"/>
  <c r="O28" i="5" s="1"/>
  <c r="N14" i="5"/>
  <c r="N28" i="5" s="1"/>
  <c r="M14" i="5"/>
  <c r="M28" i="5" s="1"/>
  <c r="L14" i="5"/>
  <c r="P13" i="5"/>
  <c r="O13" i="5"/>
  <c r="N13" i="5"/>
  <c r="M13" i="5"/>
  <c r="L13" i="5"/>
  <c r="P12" i="5"/>
  <c r="O12" i="5"/>
  <c r="N12" i="5"/>
  <c r="M12" i="5"/>
  <c r="L12" i="5"/>
  <c r="P11" i="5"/>
  <c r="P25" i="5" s="1"/>
  <c r="O11" i="5"/>
  <c r="O25" i="5" s="1"/>
  <c r="N11" i="5"/>
  <c r="N25" i="5" s="1"/>
  <c r="M11" i="5"/>
  <c r="M25" i="5" s="1"/>
  <c r="L11" i="5"/>
  <c r="L25" i="5" s="1"/>
  <c r="P10" i="5"/>
  <c r="P24" i="5" s="1"/>
  <c r="O10" i="5"/>
  <c r="N10" i="5"/>
  <c r="N24" i="5" s="1"/>
  <c r="M10" i="5"/>
  <c r="M24" i="5" s="1"/>
  <c r="L10" i="5"/>
  <c r="L24" i="5" s="1"/>
  <c r="P9" i="5"/>
  <c r="P23" i="5" s="1"/>
  <c r="O9" i="5"/>
  <c r="O23" i="5" s="1"/>
  <c r="N9" i="5"/>
  <c r="N23" i="5" s="1"/>
  <c r="M9" i="5"/>
  <c r="L9" i="5"/>
  <c r="P8" i="5"/>
  <c r="O8" i="5"/>
  <c r="N8" i="5"/>
  <c r="M8" i="5"/>
  <c r="L8" i="5"/>
  <c r="P7" i="5"/>
  <c r="O7" i="5"/>
  <c r="N7" i="5"/>
  <c r="M7" i="5"/>
  <c r="L7" i="5"/>
  <c r="L21" i="5" s="1"/>
  <c r="P6" i="5"/>
  <c r="P20" i="5" s="1"/>
  <c r="O6" i="5"/>
  <c r="N6" i="5"/>
  <c r="M6" i="5"/>
  <c r="M20" i="5" s="1"/>
  <c r="L6" i="5"/>
  <c r="L20" i="5" s="1"/>
  <c r="P5" i="5"/>
  <c r="O5" i="5"/>
  <c r="O19" i="5" s="1"/>
  <c r="N5" i="5"/>
  <c r="N19" i="5" s="1"/>
  <c r="M5" i="5"/>
  <c r="M19" i="5" s="1"/>
  <c r="M68" i="5" s="1"/>
  <c r="L5" i="5"/>
  <c r="P4" i="5"/>
  <c r="O4" i="5"/>
  <c r="N4" i="5"/>
  <c r="M4" i="5"/>
  <c r="L4" i="5"/>
  <c r="B70" i="2"/>
  <c r="B69" i="2"/>
  <c r="B68" i="2"/>
  <c r="B67" i="2"/>
  <c r="B16" i="10" s="1"/>
  <c r="B62" i="2"/>
  <c r="B61" i="2"/>
  <c r="B60" i="2"/>
  <c r="B59" i="2"/>
  <c r="B58" i="2"/>
  <c r="B57" i="2"/>
  <c r="B56" i="2"/>
  <c r="B55" i="2"/>
  <c r="B54" i="2"/>
  <c r="B143" i="16" s="1"/>
  <c r="B53" i="2"/>
  <c r="B52" i="2"/>
  <c r="B49" i="2"/>
  <c r="B48" i="2"/>
  <c r="B47" i="2"/>
  <c r="D68" i="19" s="1"/>
  <c r="B45" i="2"/>
  <c r="F54" i="16" s="1"/>
  <c r="B44" i="2"/>
  <c r="B43" i="2"/>
  <c r="B40" i="2"/>
  <c r="B39" i="2"/>
  <c r="A7" i="8" s="1"/>
  <c r="B7" i="8" s="1"/>
  <c r="B38" i="2"/>
  <c r="A6" i="8" s="1"/>
  <c r="B6" i="8" s="1"/>
  <c r="B37" i="2"/>
  <c r="B36" i="2"/>
  <c r="B31" i="2"/>
  <c r="B29" i="2"/>
  <c r="C28" i="2"/>
  <c r="B28" i="2"/>
  <c r="B134" i="16" s="1"/>
  <c r="D25" i="2"/>
  <c r="B25" i="2"/>
  <c r="B35" i="10" s="1"/>
  <c r="F35" i="10" s="1"/>
  <c r="A24" i="2"/>
  <c r="B23" i="2"/>
  <c r="E8" i="2"/>
  <c r="F7" i="2"/>
  <c r="E7" i="2"/>
  <c r="B5" i="2"/>
  <c r="B4" i="2"/>
  <c r="B2" i="2"/>
  <c r="A1" i="2"/>
  <c r="A9" i="1"/>
  <c r="C8" i="1"/>
  <c r="F4" i="23" a="1"/>
  <c r="M2" i="23" a="1"/>
  <c r="K124" i="23" a="1"/>
  <c r="H66" i="23" a="1"/>
  <c r="J94" i="23" a="1"/>
  <c r="C11" i="35" a="1"/>
  <c r="N107" i="23" a="1"/>
  <c r="R141" i="23" a="1"/>
  <c r="Q45" i="23" a="1"/>
  <c r="L140" i="23" a="1"/>
  <c r="E148" i="23" a="1"/>
  <c r="P38" i="23" a="1"/>
  <c r="A43" i="23" a="1"/>
  <c r="E100" i="23" a="1"/>
  <c r="F149" i="23" a="1"/>
  <c r="L18" i="23" a="1"/>
  <c r="I78" i="23" a="1"/>
  <c r="O108" i="23" a="1"/>
  <c r="I80" i="23" a="1"/>
  <c r="J110" i="23" a="1"/>
  <c r="I99" i="23" a="1"/>
  <c r="J49" i="23" a="1"/>
  <c r="M125" i="23" a="1"/>
  <c r="M72" i="23" a="1"/>
  <c r="R73" i="23" a="1"/>
  <c r="L17" i="23" a="1"/>
  <c r="A135" i="23" a="1"/>
  <c r="J19" i="23" a="1"/>
  <c r="M112" i="23" a="1"/>
  <c r="G20" i="23" a="1"/>
  <c r="I93" i="23" a="1"/>
  <c r="P84" i="23" a="1"/>
  <c r="L28" i="23" a="1"/>
  <c r="L8" i="23" a="1"/>
  <c r="K84" i="23" a="1"/>
  <c r="P137" i="23" a="1"/>
  <c r="R98" i="23" a="1"/>
  <c r="L94" i="23" a="1"/>
  <c r="I148" i="23" a="1"/>
  <c r="M124" i="23" a="1"/>
  <c r="E129" i="23" a="1"/>
  <c r="G112" i="23" a="1"/>
  <c r="N46" i="23" a="1"/>
  <c r="E145" i="23" a="1"/>
  <c r="J141" i="23" a="1"/>
  <c r="O87" i="23" a="1"/>
  <c r="O9" i="23" a="1"/>
  <c r="G126" i="23" a="1"/>
  <c r="N16" i="23" a="1"/>
  <c r="N99" i="23" a="1"/>
  <c r="O42" i="23" a="1"/>
  <c r="K25" i="23" a="1"/>
  <c r="Q116" i="23" a="1"/>
  <c r="I21" i="23" a="1"/>
  <c r="F47" i="23" a="1"/>
  <c r="M60" i="23" a="1"/>
  <c r="G269" i="23" a="1"/>
  <c r="E122" i="23" a="1"/>
  <c r="G43" i="23" a="1"/>
  <c r="G260" i="23" a="1"/>
  <c r="F97" i="23" a="1"/>
  <c r="R118" i="23" a="1"/>
  <c r="J143" i="23" a="1"/>
  <c r="N23" i="23" a="1"/>
  <c r="G191" i="23" a="1"/>
  <c r="E4" i="23" a="1"/>
  <c r="A45" i="23" a="1"/>
  <c r="M87" i="23" a="1"/>
  <c r="I5" i="23" a="1"/>
  <c r="G248" i="23" a="1"/>
  <c r="H16" i="23" a="1"/>
  <c r="L120" i="23" a="1"/>
  <c r="K4" i="23" a="1"/>
  <c r="A119" i="23" a="1"/>
  <c r="N88" i="23" a="1"/>
  <c r="K17" i="23" a="1"/>
  <c r="G14" i="25" a="1"/>
  <c r="L78" i="23" a="1"/>
  <c r="Q40" i="23" a="1"/>
  <c r="L22" i="23" a="1"/>
  <c r="K67" i="23" a="1"/>
  <c r="G93" i="23" a="1"/>
  <c r="I52" i="23" a="1"/>
  <c r="R29" i="23" a="1"/>
  <c r="Q144" i="23" a="1"/>
  <c r="I84" i="23" a="1"/>
  <c r="G135" i="23" a="1"/>
  <c r="O55" i="23" a="1"/>
  <c r="P132" i="23" a="1"/>
  <c r="H109" i="23" a="1"/>
  <c r="G47" i="23" a="1"/>
  <c r="A65" i="23" a="1"/>
  <c r="A127" i="23" a="1"/>
  <c r="K36" i="23" a="1"/>
  <c r="O136" i="23" a="1"/>
  <c r="M78" i="23" a="1"/>
  <c r="C10" i="35" a="1"/>
  <c r="I2" i="23" a="1"/>
  <c r="J138" i="23" a="1"/>
  <c r="G148" i="23" a="1"/>
  <c r="L13" i="23" a="1"/>
  <c r="F60" i="23" a="1"/>
  <c r="Q108" i="23" a="1"/>
  <c r="N30" i="23" a="1"/>
  <c r="M39" i="23" a="1"/>
  <c r="H6" i="23" a="1"/>
  <c r="R87" i="23" a="1"/>
  <c r="P53" i="23" a="1"/>
  <c r="H28" i="23" a="1"/>
  <c r="J11" i="23" a="1"/>
  <c r="I136" i="23" a="1"/>
  <c r="G141" i="23" a="1"/>
  <c r="F121" i="23" a="1"/>
  <c r="K80" i="23" a="1"/>
  <c r="A97" i="23" a="1"/>
  <c r="M53" i="23" a="1"/>
  <c r="H147" i="23" a="1"/>
  <c r="N42" i="23" a="1"/>
  <c r="N32" i="23" a="1"/>
  <c r="G179" i="23" a="1"/>
  <c r="N45" i="23" a="1"/>
  <c r="K90" i="23" a="1"/>
  <c r="G133" i="23" a="1"/>
  <c r="G169" i="23" a="1"/>
  <c r="G214" i="23" a="1"/>
  <c r="I40" i="23" a="1"/>
  <c r="H110" i="23" a="1"/>
  <c r="K133" i="23" a="1"/>
  <c r="A88" i="23" a="1"/>
  <c r="E105" i="23" a="1"/>
  <c r="E24" i="23" a="1"/>
  <c r="K105" i="23" a="1"/>
  <c r="M141" i="23" a="1"/>
  <c r="F129" i="23" a="1"/>
  <c r="I22" i="23" a="1"/>
  <c r="I121" i="23" a="1"/>
  <c r="R90" i="23" a="1"/>
  <c r="Q3" i="23" a="1"/>
  <c r="E9" i="23" a="1"/>
  <c r="G37" i="23" a="1"/>
  <c r="L61" i="23" a="1"/>
  <c r="A118" i="23" a="1"/>
  <c r="G107" i="23" a="1"/>
  <c r="E106" i="23" a="1"/>
  <c r="R36" i="23" a="1"/>
  <c r="P69" i="23" a="1"/>
  <c r="L44" i="23" a="1"/>
  <c r="G247" i="23" a="1"/>
  <c r="H14" i="23" a="1"/>
  <c r="P32" i="23" a="1"/>
  <c r="R32" i="23" a="1"/>
  <c r="J97" i="23" a="1"/>
  <c r="E99" i="23" a="1"/>
  <c r="G225" i="23" a="1"/>
  <c r="G130" i="23" a="1"/>
  <c r="P64" i="23" a="1"/>
  <c r="F141" i="23" a="1"/>
  <c r="E12" i="23" a="1"/>
  <c r="O16" i="23" a="1"/>
  <c r="L134" i="23" a="1"/>
  <c r="R54" i="23" a="1"/>
  <c r="J149" i="23" a="1"/>
  <c r="G9" i="23" a="1"/>
  <c r="P27" i="23" a="1"/>
  <c r="Q89" i="23" a="1"/>
  <c r="H73" i="23" a="1"/>
  <c r="G74" i="23" a="1"/>
  <c r="O17" i="23" a="1"/>
  <c r="E125" i="23" a="1"/>
  <c r="M30" i="23" a="1"/>
  <c r="O14" i="23" a="1"/>
  <c r="F110" i="23" a="1"/>
  <c r="J144" i="23" a="1"/>
  <c r="F66" i="23" a="1"/>
  <c r="M113" i="23" a="1"/>
  <c r="M133" i="23" a="1"/>
  <c r="L32" i="23" a="1"/>
  <c r="O49" i="23" a="1"/>
  <c r="F111" i="23" a="1"/>
  <c r="Q115" i="23" a="1"/>
  <c r="E7" i="23" a="1"/>
  <c r="O104" i="23" a="1"/>
  <c r="A82" i="23" a="1"/>
  <c r="H22" i="23" a="1"/>
  <c r="H132" i="23" a="1"/>
  <c r="Q102" i="23" a="1"/>
  <c r="M26" i="23" a="1"/>
  <c r="O7" i="23" a="1"/>
  <c r="G58" i="23" a="1"/>
  <c r="Q80" i="23" a="1"/>
  <c r="P15" i="23" a="1"/>
  <c r="R92" i="23" a="1"/>
  <c r="P41" i="23" a="1"/>
  <c r="F132" i="23" a="1"/>
  <c r="P102" i="23" a="1"/>
  <c r="Q143" i="23" a="1"/>
  <c r="J131" i="23" a="1"/>
  <c r="F69" i="23" a="1"/>
  <c r="P19" i="23" a="1"/>
  <c r="G240" i="23" a="1"/>
  <c r="H144" i="23" a="1"/>
  <c r="F33" i="23" a="1"/>
  <c r="N51" i="23" a="1"/>
  <c r="H117" i="23" a="1"/>
  <c r="M134" i="23" a="1"/>
  <c r="Q35" i="23" a="1"/>
  <c r="M143" i="23" a="1"/>
  <c r="K145" i="23" a="1"/>
  <c r="E78" i="23" a="1"/>
  <c r="A32" i="23" a="1"/>
  <c r="J44" i="23" a="1"/>
  <c r="Q38" i="23" a="1"/>
  <c r="M81" i="23" a="1"/>
  <c r="K103" i="23" a="1"/>
  <c r="H81" i="23" a="1"/>
  <c r="O19" i="23" a="1"/>
  <c r="P65" i="23" a="1"/>
  <c r="H59" i="23" a="1"/>
  <c r="F126" i="23" a="1"/>
  <c r="Q50" i="23" a="1"/>
  <c r="E73" i="23" a="1"/>
  <c r="G199" i="23" a="1"/>
  <c r="A81" i="23" a="1"/>
  <c r="K48" i="23" a="1"/>
  <c r="L79" i="23" a="1"/>
  <c r="Q27" i="23" a="1"/>
  <c r="R37" i="23" a="1"/>
  <c r="P17" i="23" a="1"/>
  <c r="J64" i="23" a="1"/>
  <c r="K40" i="23" a="1"/>
  <c r="P33" i="23" a="1"/>
  <c r="G38" i="23" a="1"/>
  <c r="A142" i="23" a="1"/>
  <c r="K23" i="23" a="1"/>
  <c r="J79" i="23" a="1"/>
  <c r="Q112" i="23" a="1"/>
  <c r="P83" i="23" a="1"/>
  <c r="G110" i="23" a="1"/>
  <c r="P126" i="23" a="1"/>
  <c r="F57" i="23" a="1"/>
  <c r="G106" i="23" a="1"/>
  <c r="L42" i="23" a="1"/>
  <c r="Q67" i="23" a="1"/>
  <c r="H83" i="23" a="1"/>
  <c r="P16" i="23" a="1"/>
  <c r="L56" i="23" a="1"/>
  <c r="G72" i="23" a="1"/>
  <c r="E135" i="23" a="1"/>
  <c r="E109" i="23" a="1"/>
  <c r="N85" i="23" a="1"/>
  <c r="I126" i="23" a="1"/>
  <c r="M13" i="23" a="1"/>
  <c r="R52" i="23" a="1"/>
  <c r="P48" i="23" a="1"/>
  <c r="H31" i="23" a="1"/>
  <c r="J70" i="23" a="1"/>
  <c r="A60" i="23" a="1"/>
  <c r="A19" i="23" a="1"/>
  <c r="O50" i="23" a="1"/>
  <c r="Q65" i="23" a="1"/>
  <c r="F147" i="23" a="1"/>
  <c r="K134" i="23" a="1"/>
  <c r="A108" i="23" a="1"/>
  <c r="K132" i="23" a="1"/>
  <c r="M137" i="23" a="1"/>
  <c r="E118" i="23" a="1"/>
  <c r="F31" i="23" a="1"/>
  <c r="K51" i="23" a="1"/>
  <c r="O5" i="23" a="1"/>
  <c r="M19" i="23" a="1"/>
  <c r="G127" i="23" a="1"/>
  <c r="K86" i="23" a="1"/>
  <c r="L136" i="23" a="1"/>
  <c r="M128" i="23" a="1"/>
  <c r="J87" i="23" a="1"/>
  <c r="A10" i="23" a="1"/>
  <c r="J105" i="23" a="1"/>
  <c r="J73" i="23" a="1"/>
  <c r="K16" i="23" a="1"/>
  <c r="G78" i="23" a="1"/>
  <c r="K138" i="23" a="1"/>
  <c r="G228" i="23" a="1"/>
  <c r="A99" i="23" a="1"/>
  <c r="J135" i="23" a="1"/>
  <c r="G150" i="23" a="1"/>
  <c r="L6" i="23" a="1"/>
  <c r="K13" i="23" a="1"/>
  <c r="R79" i="23" a="1"/>
  <c r="I108" i="23" a="1"/>
  <c r="G177" i="23" a="1"/>
  <c r="N8" i="23" a="1"/>
  <c r="J137" i="23" a="1"/>
  <c r="O92" i="23" a="1"/>
  <c r="P123" i="23" a="1"/>
  <c r="G48" i="23" a="1"/>
  <c r="H126" i="23" a="1"/>
  <c r="K3" i="23" a="1"/>
  <c r="E97" i="23" a="1"/>
  <c r="A31" i="23" a="1"/>
  <c r="J124" i="23" a="1"/>
  <c r="O26" i="23" a="1"/>
  <c r="P127" i="23" a="1"/>
  <c r="K147" i="23" a="1"/>
  <c r="J77" i="23" a="1"/>
  <c r="K118" i="23" a="1"/>
  <c r="O127" i="23" a="1"/>
  <c r="P52" i="23" a="1"/>
  <c r="H142" i="23" a="1"/>
  <c r="K113" i="23" a="1"/>
  <c r="P80" i="23" a="1"/>
  <c r="R104" i="23" a="1"/>
  <c r="G111" i="23" a="1"/>
  <c r="I65" i="23" a="1"/>
  <c r="P97" i="23" a="1"/>
  <c r="P146" i="23" a="1"/>
  <c r="P100" i="23" a="1"/>
  <c r="O123" i="23" a="1"/>
  <c r="N55" i="23" a="1"/>
  <c r="P8" i="23" a="1"/>
  <c r="G230" i="23" a="1"/>
  <c r="F50" i="23" a="1"/>
  <c r="O106" i="23" a="1"/>
  <c r="G22" i="23" a="1"/>
  <c r="G217" i="23" a="1"/>
  <c r="O124" i="23" a="1"/>
  <c r="G208" i="23" a="1"/>
  <c r="H64" i="23" a="1"/>
  <c r="E107" i="23" a="1"/>
  <c r="H49" i="23" a="1"/>
  <c r="P42" i="23" a="1"/>
  <c r="R22" i="23" a="1"/>
  <c r="I56" i="23" a="1"/>
  <c r="J65" i="23" a="1"/>
  <c r="E143" i="23" a="1"/>
  <c r="F113" i="23" a="1"/>
  <c r="O10" i="23" a="1"/>
  <c r="R3" i="23" a="1"/>
  <c r="R46" i="23" a="1"/>
  <c r="R66" i="23" a="1"/>
  <c r="G119" i="23" a="1"/>
  <c r="Q110" i="23" a="1"/>
  <c r="H43" i="23" a="1"/>
  <c r="L19" i="23" a="1"/>
  <c r="L40" i="23" a="1"/>
  <c r="E45" i="23" a="1"/>
  <c r="H123" i="23" a="1"/>
  <c r="H74" i="23" a="1"/>
  <c r="A145" i="23" a="1"/>
  <c r="A110" i="23" a="1"/>
  <c r="J62" i="23" a="1"/>
  <c r="L72" i="23" a="1"/>
  <c r="F54" i="23" a="1"/>
  <c r="L29" i="23" a="1"/>
  <c r="H131" i="23" a="1"/>
  <c r="F45" i="23" a="1"/>
  <c r="E28" i="23" a="1"/>
  <c r="Q2" i="23" a="1"/>
  <c r="A134" i="23" a="1"/>
  <c r="M7" i="23" a="1"/>
  <c r="J85" i="23" a="1"/>
  <c r="F64" i="23" a="1"/>
  <c r="P43" i="23" a="1"/>
  <c r="G271" i="23" a="1"/>
  <c r="Q90" i="23" a="1"/>
  <c r="Q139" i="23" a="1"/>
  <c r="O12" i="23" a="1"/>
  <c r="R68" i="23" a="1"/>
  <c r="M83" i="23" a="1"/>
  <c r="H5" i="23" a="1"/>
  <c r="G249" i="23" a="1"/>
  <c r="M40" i="23" a="1"/>
  <c r="G73" i="23" a="1"/>
  <c r="G218" i="23" a="1"/>
  <c r="N39" i="23" a="1"/>
  <c r="M9" i="23" a="1"/>
  <c r="N96" i="23" a="1"/>
  <c r="P62" i="23" a="1"/>
  <c r="I127" i="23" a="1"/>
  <c r="J3" i="23" a="1"/>
  <c r="M50" i="23" a="1"/>
  <c r="R12" i="23" a="1"/>
  <c r="Q129" i="23" a="1"/>
  <c r="F91" i="23" a="1"/>
  <c r="J20" i="23" a="1"/>
  <c r="R20" i="23" a="1"/>
  <c r="N86" i="23" a="1"/>
  <c r="AK4" i="22" a="1"/>
  <c r="I129" i="23" a="1"/>
  <c r="O71" i="23" a="1"/>
  <c r="L98" i="23" a="1"/>
  <c r="Q72" i="23" a="1"/>
  <c r="G258" i="23" a="1"/>
  <c r="F62" i="23" a="1"/>
  <c r="L66" i="23" a="1"/>
  <c r="F116" i="23" a="1"/>
  <c r="A16" i="23" a="1"/>
  <c r="G95" i="23" a="1"/>
  <c r="I10" i="23" a="1"/>
  <c r="P25" i="23" a="1"/>
  <c r="K18" i="23" a="1"/>
  <c r="G189" i="23" a="1"/>
  <c r="A122" i="23" a="1"/>
  <c r="Q120" i="23" a="1"/>
  <c r="A61" i="23" a="1"/>
  <c r="N61" i="23" a="1"/>
  <c r="L60" i="23" a="1"/>
  <c r="R112" i="23" a="1"/>
  <c r="O94" i="23" a="1"/>
  <c r="H47" i="23" a="1"/>
  <c r="G122" i="23" a="1"/>
  <c r="G149" i="23" a="1"/>
  <c r="F68" i="23" a="1"/>
  <c r="M3" i="23" a="1"/>
  <c r="Q46" i="23" a="1"/>
  <c r="A41" i="23" a="1"/>
  <c r="M43" i="23" a="1"/>
  <c r="M33" i="23" a="1"/>
  <c r="H8" i="23" a="1"/>
  <c r="G139" i="23" a="1"/>
  <c r="J86" i="23" a="1"/>
  <c r="O120" i="23" a="1"/>
  <c r="R134" i="23" a="1"/>
  <c r="J84" i="23" a="1"/>
  <c r="K54" i="23" a="1"/>
  <c r="M24" i="23" a="1"/>
  <c r="G245" i="23" a="1"/>
  <c r="I122" i="23" a="1"/>
  <c r="O105" i="23" a="1"/>
  <c r="I53" i="23" a="1"/>
  <c r="F6" i="23" a="1"/>
  <c r="A22" i="23" a="1"/>
  <c r="G235" i="23" a="1"/>
  <c r="J109" i="23" a="1"/>
  <c r="I77" i="23" a="1"/>
  <c r="J88" i="23" a="1"/>
  <c r="O41" i="23" a="1"/>
  <c r="E38" i="23" a="1"/>
  <c r="O43" i="23" a="1"/>
  <c r="H92" i="23" a="1"/>
  <c r="H53" i="23" a="1"/>
  <c r="G53" i="23" a="1"/>
  <c r="N37" i="23" a="1"/>
  <c r="A3" i="23" a="1"/>
  <c r="L23" i="23" a="1"/>
  <c r="M16" i="23" a="1"/>
  <c r="I9" i="23" a="1"/>
  <c r="I83" i="23" a="1"/>
  <c r="E59" i="23" a="1"/>
  <c r="L101" i="23" a="1"/>
  <c r="O117" i="23" a="1"/>
  <c r="K5" i="23" a="1"/>
  <c r="O32" i="23" a="1"/>
  <c r="O111" i="23" a="1"/>
  <c r="F84" i="23" a="1"/>
  <c r="N93" i="23" a="1"/>
  <c r="K22" i="23" a="1"/>
  <c r="K109" i="23" a="1"/>
  <c r="F86" i="23" a="1"/>
  <c r="N67" i="23" a="1"/>
  <c r="M48" i="23" a="1"/>
  <c r="K53" i="23" a="1"/>
  <c r="O149" i="23" a="1"/>
  <c r="K92" i="23" a="1"/>
  <c r="R62" i="23" a="1"/>
  <c r="E104" i="23" a="1"/>
  <c r="R2" i="23" a="1"/>
  <c r="E26" i="23" a="1"/>
  <c r="E19" i="23" a="1"/>
  <c r="Q18" i="23" a="1"/>
  <c r="M69" i="23" a="1"/>
  <c r="P112" i="23" a="1"/>
  <c r="F123" i="23" a="1"/>
  <c r="L135" i="23" a="1"/>
  <c r="A100" i="23" a="1"/>
  <c r="G36" i="23" a="1"/>
  <c r="E88" i="23" a="1"/>
  <c r="J24" i="23" a="1"/>
  <c r="L62" i="23" a="1"/>
  <c r="P3" i="23" a="1"/>
  <c r="A52" i="23" a="1"/>
  <c r="N91" i="23" a="1"/>
  <c r="G69" i="23" a="1"/>
  <c r="O75" i="23" a="1"/>
  <c r="O147" i="23" a="1"/>
  <c r="I3" i="23" a="1"/>
  <c r="E128" i="23" a="1"/>
  <c r="R6" i="23" a="1"/>
  <c r="H55" i="23" a="1"/>
  <c r="F73" i="23" a="1"/>
  <c r="A58" i="23" a="1"/>
  <c r="F18" i="23" a="1"/>
  <c r="R130" i="23" a="1"/>
  <c r="L46" i="23" a="1"/>
  <c r="J140" i="23" a="1"/>
  <c r="G223" i="23" a="1"/>
  <c r="L82" i="23" a="1"/>
  <c r="O45" i="23" a="1"/>
  <c r="A6" i="23" a="1"/>
  <c r="P150" i="23" a="1"/>
  <c r="O73" i="23" a="1"/>
  <c r="L117" i="23" a="1"/>
  <c r="G17" i="23" a="1"/>
  <c r="G196" i="23" a="1"/>
  <c r="R50" i="23" a="1"/>
  <c r="R88" i="23" a="1"/>
  <c r="G30" i="23" a="1"/>
  <c r="F151" i="23" a="1"/>
  <c r="F61" i="23" a="1"/>
  <c r="F72" i="23" a="1"/>
  <c r="G96" i="23" a="1"/>
  <c r="E87" i="23" a="1"/>
  <c r="K126" i="23" a="1"/>
  <c r="R103" i="23" a="1"/>
  <c r="F19" i="23" a="1"/>
  <c r="A120" i="23" a="1"/>
  <c r="E75" i="23" a="1"/>
  <c r="G183" i="23" a="1"/>
  <c r="K77" i="23" a="1"/>
  <c r="R109" i="23" a="1"/>
  <c r="F124" i="23" a="1"/>
  <c r="M31" i="23" a="1"/>
  <c r="E64" i="23" a="1"/>
  <c r="A109" i="23" a="1"/>
  <c r="I29" i="23" a="1"/>
  <c r="O51" i="23" a="1"/>
  <c r="H10" i="23" a="1"/>
  <c r="H138" i="23" a="1"/>
  <c r="R101" i="23" a="1"/>
  <c r="A123" i="23" a="1"/>
  <c r="A126" i="23" a="1"/>
  <c r="G33" i="23" a="1"/>
  <c r="N65" i="23" a="1"/>
  <c r="I25" i="23" a="1"/>
  <c r="M4" i="23" a="1"/>
  <c r="J114" i="23" a="1"/>
  <c r="Q25" i="23" a="1"/>
  <c r="M57" i="23" a="1"/>
  <c r="K65" i="23" a="1"/>
  <c r="O89" i="23" a="1"/>
  <c r="Q81" i="23" a="1"/>
  <c r="J117" i="23" a="1"/>
  <c r="G193" i="23" a="1"/>
  <c r="J35" i="23" a="1"/>
  <c r="L126" i="23" a="1"/>
  <c r="G7" i="23" a="1"/>
  <c r="Q79" i="23" a="1"/>
  <c r="K6" i="19" a="1"/>
  <c r="H42" i="23" a="1"/>
  <c r="K106" i="23" a="1"/>
  <c r="N144" i="23" a="1"/>
  <c r="H33" i="23" a="1"/>
  <c r="F15" i="23" a="1"/>
  <c r="E39" i="23" a="1"/>
  <c r="L112" i="23" a="1"/>
  <c r="I135" i="23" a="1"/>
  <c r="F99" i="23" a="1"/>
  <c r="N24" i="23" a="1"/>
  <c r="K148" i="23" a="1"/>
  <c r="I66" i="23" a="1"/>
  <c r="J7" i="23" a="1"/>
  <c r="A63" i="23" a="1"/>
  <c r="M145" i="23" a="1"/>
  <c r="J17" i="23" a="1"/>
  <c r="F90" i="23" a="1"/>
  <c r="I118" i="23" a="1"/>
  <c r="A150" i="23" a="1"/>
  <c r="R126" i="23" a="1"/>
  <c r="F78" i="23" a="1"/>
  <c r="Q28" i="23" a="1"/>
  <c r="P28" i="23" a="1"/>
  <c r="P78" i="23" a="1"/>
  <c r="E58" i="23" a="1"/>
  <c r="H34" i="23" a="1"/>
  <c r="N68" i="23" a="1"/>
  <c r="I31" i="23" a="1"/>
  <c r="R144" i="23" a="1"/>
  <c r="I27" i="23" a="1"/>
  <c r="H136" i="23" a="1"/>
  <c r="N125" i="23" a="1"/>
  <c r="P30" i="23" a="1"/>
  <c r="L87" i="23" a="1"/>
  <c r="J61" i="23" a="1"/>
  <c r="G190" i="23" a="1"/>
  <c r="L107" i="23" a="1"/>
  <c r="O65" i="23" a="1"/>
  <c r="J2" i="23" a="1"/>
  <c r="F122" i="23" a="1"/>
  <c r="F16" i="23" a="1"/>
  <c r="J146" i="23" a="1"/>
  <c r="E74" i="23" a="1"/>
  <c r="P96" i="23" a="1"/>
  <c r="N79" i="23" a="1"/>
  <c r="M46" i="23" a="1"/>
  <c r="F93" i="23" a="1"/>
  <c r="E37" i="23" a="1"/>
  <c r="L35" i="23" a="1"/>
  <c r="J25" i="23" a="1"/>
  <c r="I74" i="23" a="1"/>
  <c r="H103" i="23" a="1"/>
  <c r="L93" i="23" a="1"/>
  <c r="G88" i="23" a="1"/>
  <c r="O113" i="23" a="1"/>
  <c r="E127" i="23" a="1"/>
  <c r="I125" i="23" a="1"/>
  <c r="L150" i="23" a="1"/>
  <c r="Q135" i="23" a="1"/>
  <c r="A133" i="23" a="1"/>
  <c r="P54" i="23" a="1"/>
  <c r="P103" i="23" a="1"/>
  <c r="G105" i="23" a="1"/>
  <c r="M75" i="23" a="1"/>
  <c r="M62" i="23" a="1"/>
  <c r="H78" i="23" a="1"/>
  <c r="E130" i="23" a="1"/>
  <c r="J30" i="23" a="1"/>
  <c r="I30" i="23" a="1"/>
  <c r="J36" i="23" a="1"/>
  <c r="L26" i="23" a="1"/>
  <c r="L38" i="23" a="1"/>
  <c r="N126" i="23" a="1"/>
  <c r="G50" i="23" a="1"/>
  <c r="R9" i="23" a="1"/>
  <c r="E15" i="23" a="1"/>
  <c r="P92" i="23" a="1"/>
  <c r="M109" i="23" a="1"/>
  <c r="R63" i="23" a="1"/>
  <c r="F135" i="23" a="1"/>
  <c r="A70" i="23" a="1"/>
  <c r="G212" i="23" a="1"/>
  <c r="I42" i="23" a="1"/>
  <c r="H77" i="23" a="1"/>
  <c r="F96" i="23" a="1"/>
  <c r="O23" i="23" a="1"/>
  <c r="Q22" i="23" a="1"/>
  <c r="H79" i="23" a="1"/>
  <c r="N115" i="23" a="1"/>
  <c r="Q127" i="23" a="1"/>
  <c r="F28" i="23" a="1"/>
  <c r="O70" i="23" a="1"/>
  <c r="A90" i="23" a="1"/>
  <c r="G65" i="23" a="1"/>
  <c r="N97" i="23" a="1"/>
  <c r="Q130" i="23" a="1"/>
  <c r="R125" i="23" a="1"/>
  <c r="E111" i="23" a="1"/>
  <c r="G241" i="23" a="1"/>
  <c r="Q148" i="23" a="1"/>
  <c r="J150" i="23" a="1"/>
  <c r="R35" i="23" a="1"/>
  <c r="J119" i="23" a="1"/>
  <c r="R129" i="23" a="1"/>
  <c r="G97" i="23" a="1"/>
  <c r="F42" i="23" a="1"/>
  <c r="E61" i="23" a="1"/>
  <c r="L123" i="23" a="1"/>
  <c r="I36" i="23" a="1"/>
  <c r="H38" i="23" a="1"/>
  <c r="H115" i="23" a="1"/>
  <c r="E48" i="23" a="1"/>
  <c r="H24" i="23" a="1"/>
  <c r="G28" i="23" a="1"/>
  <c r="R146" i="23" a="1"/>
  <c r="A25" i="23" a="1"/>
  <c r="Q70" i="23" a="1"/>
  <c r="K30" i="23" a="1"/>
  <c r="N147" i="23" a="1"/>
  <c r="R115" i="23" a="1"/>
  <c r="F117" i="23" a="1"/>
  <c r="F133" i="23" a="1"/>
  <c r="G27" i="23" a="1"/>
  <c r="I54" i="23" a="1"/>
  <c r="R94" i="23" a="1"/>
  <c r="L4" i="23" a="1"/>
  <c r="K34" i="23" a="1"/>
  <c r="G90" i="23" a="1"/>
  <c r="K142" i="23" a="1"/>
  <c r="L68" i="23" a="1"/>
  <c r="R57" i="23" a="1"/>
  <c r="G83" i="23" a="1"/>
  <c r="P149" i="23" a="1"/>
  <c r="R44" i="23" a="1"/>
  <c r="R25" i="23" a="1"/>
  <c r="N60" i="23" a="1"/>
  <c r="Q121" i="23" a="1"/>
  <c r="G233" i="23" a="1"/>
  <c r="Q68" i="23" a="1"/>
  <c r="H48" i="23" a="1"/>
  <c r="K111" i="23" a="1"/>
  <c r="R84" i="23" a="1"/>
  <c r="I91" i="23" a="1"/>
  <c r="E68" i="23" a="1"/>
  <c r="Q57" i="23" a="1"/>
  <c r="G259" i="23" a="1"/>
  <c r="Q125" i="23" a="1"/>
  <c r="K59" i="23" a="1"/>
  <c r="M45" i="23" a="1"/>
  <c r="I96" i="23" a="1"/>
  <c r="O62" i="23" a="1"/>
  <c r="P89" i="23" a="1"/>
  <c r="E133" i="23" a="1"/>
  <c r="Q23" i="23" a="1"/>
  <c r="Q140" i="23" a="1"/>
  <c r="A138" i="23" a="1"/>
  <c r="F48" i="23" a="1"/>
  <c r="H12" i="23" a="1"/>
  <c r="G60" i="23" a="1"/>
  <c r="E79" i="23" a="1"/>
  <c r="F103" i="23" a="1"/>
  <c r="H137" i="23" a="1"/>
  <c r="G99" i="23" a="1"/>
  <c r="H116" i="23" a="1"/>
  <c r="H32" i="23" a="1"/>
  <c r="O100" i="23" a="1"/>
  <c r="K75" i="23" a="1"/>
  <c r="L47" i="23" a="1"/>
  <c r="Q19" i="23" a="1"/>
  <c r="E70" i="23" a="1"/>
  <c r="H88" i="23" a="1"/>
  <c r="K68" i="23" a="1"/>
  <c r="E43" i="23" a="1"/>
  <c r="N73" i="23" a="1"/>
  <c r="J21" i="23" a="1"/>
  <c r="H72" i="23" a="1"/>
  <c r="H84" i="23" a="1"/>
  <c r="G265" i="23" a="1"/>
  <c r="L90" i="23" a="1"/>
  <c r="P130" i="23" a="1"/>
  <c r="E112" i="23" a="1"/>
  <c r="J13" i="23" a="1"/>
  <c r="L102" i="23" a="1"/>
  <c r="G201" i="23" a="1"/>
  <c r="N26" i="23" a="1"/>
  <c r="N6" i="23" a="1"/>
  <c r="I24" i="23" a="1"/>
  <c r="H41" i="23" a="1"/>
  <c r="G8" i="23" a="1"/>
  <c r="R74" i="23" a="1"/>
  <c r="P59" i="23" a="1"/>
  <c r="R93" i="23" a="1"/>
  <c r="M100" i="23" a="1"/>
  <c r="J103" i="23" a="1"/>
  <c r="G264" i="23" a="1"/>
  <c r="P107" i="23" a="1"/>
  <c r="L145" i="23" a="1"/>
  <c r="L34" i="23" a="1"/>
  <c r="H104" i="23" a="1"/>
  <c r="K38" i="23" a="1"/>
  <c r="A50" i="23" a="1"/>
  <c r="N135" i="23" a="1"/>
  <c r="G266" i="23" a="1"/>
  <c r="H85" i="23" a="1"/>
  <c r="I105" i="23" a="1"/>
  <c r="K96" i="23" a="1"/>
  <c r="M20" i="23" a="1"/>
  <c r="E131" i="23" a="1"/>
  <c r="A113" i="23" a="1"/>
  <c r="L147" i="23" a="1"/>
  <c r="R33" i="23" a="1"/>
  <c r="N28" i="23" a="1"/>
  <c r="G213" i="23" a="1"/>
  <c r="J57" i="23" a="1"/>
  <c r="G68" i="23" a="1"/>
  <c r="L146" i="23" a="1"/>
  <c r="F14" i="23" a="1"/>
  <c r="O118" i="23" a="1"/>
  <c r="O44" i="23" a="1"/>
  <c r="A130" i="23" a="1"/>
  <c r="M28" i="23" a="1"/>
  <c r="E119" i="23" a="1"/>
  <c r="H89" i="23" a="1"/>
  <c r="Q62" i="23" a="1"/>
  <c r="N139" i="23" a="1"/>
  <c r="G123" i="23" a="1"/>
  <c r="F67" i="23" a="1"/>
  <c r="I48" i="23" a="1"/>
  <c r="G206" i="23" a="1"/>
  <c r="O54" i="23" a="1"/>
  <c r="E137" i="23" a="1"/>
  <c r="E124" i="23" a="1"/>
  <c r="H134" i="23" a="1"/>
  <c r="P143" i="23" a="1"/>
  <c r="E8" i="23" a="1"/>
  <c r="E27" i="23" a="1"/>
  <c r="A53" i="23" a="1"/>
  <c r="F75" i="23" a="1"/>
  <c r="E5" i="23" a="1"/>
  <c r="E44" i="23" a="1"/>
  <c r="R19" i="23" a="1"/>
  <c r="M65" i="23" a="1"/>
  <c r="G173" i="23" a="1"/>
  <c r="R75" i="23" a="1"/>
  <c r="N34" i="23" a="1"/>
  <c r="Q150" i="23" a="1"/>
  <c r="F24" i="23" a="1"/>
  <c r="G67" i="23" a="1"/>
  <c r="G100" i="23" a="1"/>
  <c r="Q8" i="23" a="1"/>
  <c r="A64" i="23" a="1"/>
  <c r="G232" i="23" a="1"/>
  <c r="G117" i="23" a="1"/>
  <c r="O119" i="23" a="1"/>
  <c r="R65" i="23" a="1"/>
  <c r="R42" i="23" a="1"/>
  <c r="J139" i="23" a="1"/>
  <c r="M99" i="23" a="1"/>
  <c r="L33" i="23" a="1"/>
  <c r="K64" i="23" a="1"/>
  <c r="I104" i="23" a="1"/>
  <c r="J53" i="23" a="1"/>
  <c r="H11" i="23" a="1"/>
  <c r="M150" i="23" a="1"/>
  <c r="L100" i="23" a="1"/>
  <c r="I131" i="23" a="1"/>
  <c r="G79" i="23" a="1"/>
  <c r="R142" i="23" a="1"/>
  <c r="M108" i="23" a="1"/>
  <c r="F65" i="23" a="1"/>
  <c r="P88" i="23" a="1"/>
  <c r="R113" i="23" a="1"/>
  <c r="E66" i="23" a="1"/>
  <c r="M89" i="23" a="1"/>
  <c r="G55" i="23" a="1"/>
  <c r="G252" i="23" a="1"/>
  <c r="A71" i="23" a="1"/>
  <c r="O88" i="23" a="1"/>
  <c r="G174" i="23" a="1"/>
  <c r="M22" i="23" a="1"/>
  <c r="G103" i="23" a="1"/>
  <c r="E149" i="23" a="1"/>
  <c r="K21" i="23" a="1"/>
  <c r="E11" i="23" a="1"/>
  <c r="I117" i="23" a="1"/>
  <c r="O148" i="23" a="1"/>
  <c r="M66" i="23" a="1"/>
  <c r="G85" i="23" a="1"/>
  <c r="I145" i="23" a="1"/>
  <c r="M146" i="23" a="1"/>
  <c r="H130" i="23" a="1"/>
  <c r="R21" i="23" a="1"/>
  <c r="Q95" i="23" a="1"/>
  <c r="I124" i="23" a="1"/>
  <c r="N38" i="23" a="1"/>
  <c r="K58" i="23" a="1"/>
  <c r="R95" i="23" a="1"/>
  <c r="I50" i="23" a="1"/>
  <c r="I139" i="23" a="1"/>
  <c r="I113" i="23" a="1"/>
  <c r="J76" i="23" a="1"/>
  <c r="P129" i="23" a="1"/>
  <c r="L127" i="23" a="1"/>
  <c r="L54" i="23" a="1"/>
  <c r="O109" i="23" a="1"/>
  <c r="R145" i="23" a="1"/>
  <c r="I67" i="23" a="1"/>
  <c r="G211" i="23" a="1"/>
  <c r="J22" i="23" a="1"/>
  <c r="G195" i="23" a="1"/>
  <c r="R5" i="23" a="1"/>
  <c r="K108" i="23" a="1"/>
  <c r="AK6" i="22" a="1"/>
  <c r="Q149" i="23" a="1"/>
  <c r="N137" i="23" a="1"/>
  <c r="L142" i="23" a="1"/>
  <c r="I116" i="23" a="1"/>
  <c r="G222" i="23" a="1"/>
  <c r="G26" i="23" a="1"/>
  <c r="P85" i="23" a="1"/>
  <c r="G45" i="23" a="1"/>
  <c r="G251" i="23" a="1"/>
  <c r="L67" i="23" a="1"/>
  <c r="O103" i="23" a="1"/>
  <c r="M5" i="23" a="1"/>
  <c r="P148" i="23" a="1"/>
  <c r="I109" i="23" a="1"/>
  <c r="L132" i="23" a="1"/>
  <c r="N49" i="23" a="1"/>
  <c r="L81" i="23" a="1"/>
  <c r="R86" i="23" a="1"/>
  <c r="O82" i="23" a="1"/>
  <c r="N111" i="23" a="1"/>
  <c r="C1" i="5" a="1"/>
  <c r="F8" i="23" a="1"/>
  <c r="F46" i="23" a="1"/>
  <c r="G21" i="23" a="1"/>
  <c r="L113" i="23" a="1"/>
  <c r="I85" i="23" a="1"/>
  <c r="M42" i="23" a="1"/>
  <c r="K99" i="23" a="1"/>
  <c r="N92" i="23" a="1"/>
  <c r="O112" i="23" a="1"/>
  <c r="O22" i="23" a="1"/>
  <c r="A2" i="23" a="1"/>
  <c r="O107" i="23" a="1"/>
  <c r="I147" i="23" a="1"/>
  <c r="M51" i="23" a="1"/>
  <c r="R58" i="23" a="1"/>
  <c r="K7" i="23" a="1"/>
  <c r="I103" i="23" a="1"/>
  <c r="P5" i="23" a="1"/>
  <c r="Q117" i="23" a="1"/>
  <c r="I86" i="23" a="1"/>
  <c r="J120" i="23" a="1"/>
  <c r="I72" i="23" a="1"/>
  <c r="H44" i="23" a="1"/>
  <c r="A136" i="23" a="1"/>
  <c r="E63" i="23" a="1"/>
  <c r="G172" i="23" a="1"/>
  <c r="I75" i="23" a="1"/>
  <c r="M132" i="23" a="1"/>
  <c r="M27" i="23" a="1"/>
  <c r="H128" i="23" a="1"/>
  <c r="E33" i="23" a="1"/>
  <c r="M12" i="23" a="1"/>
  <c r="K42" i="23" a="1"/>
  <c r="A128" i="23" a="1"/>
  <c r="N40" i="23" a="1"/>
  <c r="G116" i="23" a="1"/>
  <c r="R128" i="23" a="1"/>
  <c r="I149" i="23" a="1"/>
  <c r="G147" i="23" a="1"/>
  <c r="H106" i="23" a="1"/>
  <c r="R114" i="23" a="1"/>
  <c r="H124" i="23" a="1"/>
  <c r="K19" i="23" a="1"/>
  <c r="H70" i="23" a="1"/>
  <c r="N53" i="23" a="1"/>
  <c r="K104" i="23" a="1"/>
  <c r="A36" i="23" a="1"/>
  <c r="G184" i="23" a="1"/>
  <c r="K12" i="23" a="1"/>
  <c r="H87" i="23" a="1"/>
  <c r="J34" i="23" a="1"/>
  <c r="G143" i="23" a="1"/>
  <c r="H120" i="23" a="1"/>
  <c r="G108" i="23" a="1"/>
  <c r="I115" i="23" a="1"/>
  <c r="Q100" i="23" a="1"/>
  <c r="L7" i="23" a="1"/>
  <c r="H71" i="23" a="1"/>
  <c r="P57" i="23" a="1"/>
  <c r="E98" i="23" a="1"/>
  <c r="I28" i="23" a="1"/>
  <c r="G204" i="23" a="1"/>
  <c r="E3" i="23" a="1"/>
  <c r="O63" i="23" a="1"/>
  <c r="G209" i="23" a="1"/>
  <c r="A107" i="23" a="1"/>
  <c r="P98" i="23" a="1"/>
  <c r="Q91" i="23" a="1"/>
  <c r="L125" i="23" a="1"/>
  <c r="N71" i="23" a="1"/>
  <c r="M88" i="23" a="1"/>
  <c r="P11" i="23" a="1"/>
  <c r="J112" i="23" a="1"/>
  <c r="I89" i="23" a="1"/>
  <c r="A21" i="23" a="1"/>
  <c r="G115" i="23" a="1"/>
  <c r="G270" i="23" a="1"/>
  <c r="F76" i="23" a="1"/>
  <c r="Q109" i="23" a="1"/>
  <c r="Q96" i="23" a="1"/>
  <c r="F27" i="23" a="1"/>
  <c r="G94" i="23" a="1"/>
  <c r="J75" i="23" a="1"/>
  <c r="O101" i="23" a="1"/>
  <c r="P91" i="23" a="1"/>
  <c r="Q4" i="23" a="1"/>
  <c r="A28" i="23" a="1"/>
  <c r="Q32" i="23" a="1"/>
  <c r="J133" i="23" a="1"/>
  <c r="L133" i="23" a="1"/>
  <c r="L104" i="23" a="1"/>
  <c r="H86" i="23" a="1"/>
  <c r="P51" i="23" a="1"/>
  <c r="O91" i="23" a="1"/>
  <c r="M93" i="23" a="1"/>
  <c r="K130" i="23" a="1"/>
  <c r="O60" i="23" a="1"/>
  <c r="H68" i="23" a="1"/>
  <c r="O116" i="23" a="1"/>
  <c r="M116" i="23" a="1"/>
  <c r="N102" i="23" a="1"/>
  <c r="N129" i="23" a="1"/>
  <c r="M17" i="23" a="1"/>
  <c r="N41" i="23" a="1"/>
  <c r="K114" i="23" a="1"/>
  <c r="K39" i="23" a="1"/>
  <c r="P116" i="23" a="1"/>
  <c r="N63" i="23" a="1"/>
  <c r="R15" i="23" a="1"/>
  <c r="A1" i="5" a="1"/>
  <c r="L41" i="23" a="1"/>
  <c r="C7" i="35" a="1"/>
  <c r="F112" i="23" a="1"/>
  <c r="Q43" i="23" a="1"/>
  <c r="F26" i="23" a="1"/>
  <c r="F146" i="23" a="1"/>
  <c r="F51" i="23" a="1"/>
  <c r="M54" i="23" a="1"/>
  <c r="N134" i="23" a="1"/>
  <c r="H111" i="23" a="1"/>
  <c r="L97" i="23" a="1"/>
  <c r="G205" i="23" a="1"/>
  <c r="A42" i="23" a="1"/>
  <c r="G216" i="23" a="1"/>
  <c r="A27" i="23" a="1"/>
  <c r="L84" i="23" a="1"/>
  <c r="K61" i="23" a="1"/>
  <c r="G54" i="23" a="1"/>
  <c r="H45" i="23" a="1"/>
  <c r="G221" i="23" a="1"/>
  <c r="B21" i="35" a="1"/>
  <c r="M130" i="23" a="1"/>
  <c r="N108" i="23" a="1"/>
  <c r="M23" i="23" a="1"/>
  <c r="M76" i="23" a="1"/>
  <c r="O28" i="23" a="1"/>
  <c r="H135" i="23" a="1"/>
  <c r="I88" i="23" a="1"/>
  <c r="H114" i="23" a="1"/>
  <c r="E95" i="23" a="1"/>
  <c r="M111" i="23" a="1"/>
  <c r="N18" i="23" a="1"/>
  <c r="A146" i="23" a="1"/>
  <c r="J89" i="23" a="1"/>
  <c r="N117" i="23" a="1"/>
  <c r="E77" i="23" a="1"/>
  <c r="K10" i="23" a="1"/>
  <c r="L109" i="23" a="1"/>
  <c r="E103" i="23" a="1"/>
  <c r="A23" i="23" a="1"/>
  <c r="R140" i="23" a="1"/>
  <c r="Q111" i="23" a="1"/>
  <c r="M36" i="23" a="1"/>
  <c r="I143" i="23" a="1"/>
  <c r="E57" i="23" a="1"/>
  <c r="O144" i="23" a="1"/>
  <c r="E114" i="23" a="1"/>
  <c r="G34" i="23" a="1"/>
  <c r="K44" i="23" a="1"/>
  <c r="A131" i="23" a="1"/>
  <c r="H141" i="23" a="1"/>
  <c r="P79" i="23" a="1"/>
  <c r="I38" i="23" a="1"/>
  <c r="E20" i="23" a="1"/>
  <c r="G239" i="23" a="1"/>
  <c r="F32" i="23" a="1"/>
  <c r="Q9" i="23" a="1"/>
  <c r="O21" i="23" a="1"/>
  <c r="K137" i="23" a="1"/>
  <c r="Q126" i="23" a="1"/>
  <c r="M56" i="23" a="1"/>
  <c r="K141" i="23" a="1"/>
  <c r="J92" i="23" a="1"/>
  <c r="K116" i="23" a="1"/>
  <c r="O20" i="23" a="1"/>
  <c r="I100" i="23" a="1"/>
  <c r="P50" i="23" a="1"/>
  <c r="R69" i="23" a="1"/>
  <c r="N14" i="23" a="1"/>
  <c r="G23" i="23" a="1"/>
  <c r="A95" i="23" a="1"/>
  <c r="G140" i="23" a="1"/>
  <c r="N121" i="23" a="1"/>
  <c r="I51" i="23" a="1"/>
  <c r="H57" i="23" a="1"/>
  <c r="M15" i="23" a="1"/>
  <c r="E60" i="23" a="1"/>
  <c r="I82" i="23" a="1"/>
  <c r="I92" i="23" a="1"/>
  <c r="K2" i="19" a="1"/>
  <c r="E144" i="23" a="1"/>
  <c r="F94" i="23" a="1"/>
  <c r="Q56" i="23" a="1"/>
  <c r="E42" i="23" a="1"/>
  <c r="N123" i="23" a="1"/>
  <c r="G188" i="23" a="1"/>
  <c r="R99" i="23" a="1"/>
  <c r="I106" i="23" a="1"/>
  <c r="L121" i="23" a="1"/>
  <c r="K27" i="23" a="1"/>
  <c r="P46" i="23" a="1"/>
  <c r="K117" i="23" a="1"/>
  <c r="I17" i="23" a="1"/>
  <c r="E82" i="23" a="1"/>
  <c r="L103" i="23" a="1"/>
  <c r="Q82" i="23" a="1"/>
  <c r="J23" i="23" a="1"/>
  <c r="F52" i="23" a="1"/>
  <c r="O4" i="23" a="1"/>
  <c r="F55" i="23" a="1"/>
  <c r="F89" i="23" a="1"/>
  <c r="H3" i="23" a="1"/>
  <c r="E90" i="23" a="1"/>
  <c r="L69" i="23" a="1"/>
  <c r="F63" i="23" a="1"/>
  <c r="I79" i="23" a="1"/>
  <c r="P12" i="23" a="1"/>
  <c r="F74" i="23" a="1"/>
  <c r="Q75" i="23" a="1"/>
  <c r="K94" i="23" a="1"/>
  <c r="N83" i="23" a="1"/>
  <c r="O134" i="23" a="1"/>
  <c r="J125" i="23" a="1"/>
  <c r="G197" i="23" a="1"/>
  <c r="H26" i="23" a="1"/>
  <c r="O131" i="23" a="1"/>
  <c r="L57" i="23" a="1"/>
  <c r="O46" i="23" a="1"/>
  <c r="E52" i="23" a="1"/>
  <c r="R102" i="23" a="1"/>
  <c r="K9" i="23" a="1"/>
  <c r="Q131" i="23" a="1"/>
  <c r="H145" i="23" a="1"/>
  <c r="K136" i="23" a="1"/>
  <c r="F5" i="23" a="1"/>
  <c r="I55" i="23" a="1"/>
  <c r="O150" i="23" a="1"/>
  <c r="Q12" i="23" a="1"/>
  <c r="P7" i="23" a="1"/>
  <c r="K57" i="23" a="1"/>
  <c r="J69" i="23" a="1"/>
  <c r="N56" i="23" a="1"/>
  <c r="N4" i="23" a="1"/>
  <c r="J145" i="23" a="1"/>
  <c r="A73" i="23" a="1"/>
  <c r="O38" i="23" a="1"/>
  <c r="I70" i="23" a="1"/>
  <c r="P63" i="23" a="1"/>
  <c r="E22" i="23" a="1"/>
  <c r="M86" i="23" a="1"/>
  <c r="R24" i="23" a="1"/>
  <c r="F139" i="23" a="1"/>
  <c r="A29" i="23" a="1"/>
  <c r="P60" i="23" a="1"/>
  <c r="R59" i="23" a="1"/>
  <c r="E46" i="23" a="1"/>
  <c r="O8" i="23" a="1"/>
  <c r="F85" i="23" a="1"/>
  <c r="R70" i="23" a="1"/>
  <c r="F80" i="23" a="1"/>
  <c r="H60" i="23" a="1"/>
  <c r="K79" i="23" a="1"/>
  <c r="G227" i="23" a="1"/>
  <c r="G181" i="23" a="1"/>
  <c r="P135" i="23" a="1"/>
  <c r="K14" i="23" a="1"/>
  <c r="G16" i="23" a="1"/>
  <c r="F77" i="23" a="1"/>
  <c r="O126" i="23" a="1"/>
  <c r="A54" i="23" a="1"/>
  <c r="N106" i="23" a="1"/>
  <c r="J115" i="23" a="1"/>
  <c r="E126" i="23" a="1"/>
  <c r="E67" i="23" a="1"/>
  <c r="M118" i="23" a="1"/>
  <c r="F43" i="23" a="1"/>
  <c r="F41" i="23" a="1"/>
  <c r="G59" i="23" a="1"/>
  <c r="G171" i="23" a="1"/>
  <c r="M37" i="23" a="1"/>
  <c r="A44" i="23" a="1"/>
  <c r="E56" i="23" a="1"/>
  <c r="J102" i="23" a="1"/>
  <c r="E41" i="23" a="1"/>
  <c r="O96" i="23" a="1"/>
  <c r="N59" i="23" a="1"/>
  <c r="O98" i="23" a="1"/>
  <c r="A66" i="23" a="1"/>
  <c r="H125" i="23" a="1"/>
  <c r="P105" i="23" a="1"/>
  <c r="I112" i="23" a="1"/>
  <c r="F128" i="23" a="1"/>
  <c r="R56" i="23" a="1"/>
  <c r="N82" i="23" a="1"/>
  <c r="N81" i="23" a="1"/>
  <c r="H107" i="23" a="1"/>
  <c r="J59" i="23" a="1"/>
  <c r="L99" i="23" a="1"/>
  <c r="O31" i="23" a="1"/>
  <c r="M126" i="23" a="1"/>
  <c r="Q98" i="23" a="1"/>
  <c r="L88" i="23" a="1"/>
  <c r="L86" i="23" a="1"/>
  <c r="A77" i="23" a="1"/>
  <c r="F87" i="23" a="1"/>
  <c r="P4" i="23" a="1"/>
  <c r="E141" i="23" a="1"/>
  <c r="P99" i="23" a="1"/>
  <c r="Q92" i="23" a="1"/>
  <c r="I32" i="23" a="1"/>
  <c r="K26" i="23" a="1"/>
  <c r="H133" i="23" a="1"/>
  <c r="F53" i="23" a="1"/>
  <c r="G32" i="23" a="1"/>
  <c r="A116" i="23" a="1"/>
  <c r="K149" i="23" a="1"/>
  <c r="I138" i="23" a="1"/>
  <c r="O84" i="23" a="1"/>
  <c r="L45" i="23" a="1"/>
  <c r="I71" i="23" a="1"/>
  <c r="F83" i="23" a="1"/>
  <c r="G42" i="23" a="1"/>
  <c r="P110" i="23" a="1"/>
  <c r="G5" i="23" a="1"/>
  <c r="J63" i="23" a="1"/>
  <c r="O110" i="23" a="1"/>
  <c r="I37" i="23" a="1"/>
  <c r="G24" i="23" a="1"/>
  <c r="K89" i="23" a="1"/>
  <c r="P29" i="23" a="1"/>
  <c r="P44" i="23" a="1"/>
  <c r="Q5" i="23" a="1"/>
  <c r="J66" i="23" a="1"/>
  <c r="F11" i="23" a="1"/>
  <c r="G129" i="23" a="1"/>
  <c r="F145" i="23" a="1"/>
  <c r="P106" i="23" a="1"/>
  <c r="N58" i="23" a="1"/>
  <c r="G29" i="23" a="1"/>
  <c r="I146" i="23" a="1"/>
  <c r="A144" i="23" a="1"/>
  <c r="P120" i="23" a="1"/>
  <c r="I119" i="23" a="1"/>
  <c r="I114" i="23" a="1"/>
  <c r="A62" i="23" a="1"/>
  <c r="F108" i="23" a="1"/>
  <c r="R13" i="23" a="1"/>
  <c r="J83" i="23" a="1"/>
  <c r="G11" i="23" a="1"/>
  <c r="K74" i="23" a="1"/>
  <c r="P118" i="23" a="1"/>
  <c r="A98" i="23" a="1"/>
  <c r="G4" i="23" a="1"/>
  <c r="J118" i="23" a="1"/>
  <c r="J74" i="23" a="1"/>
  <c r="J54" i="23" a="1"/>
  <c r="O79" i="23" a="1"/>
  <c r="L141" i="23" a="1"/>
  <c r="L129" i="23" a="1"/>
  <c r="Q14" i="23" a="1"/>
  <c r="Q76" i="23" a="1"/>
  <c r="R148" i="23" a="1"/>
  <c r="F23" i="23" a="1"/>
  <c r="P128" i="23" a="1"/>
  <c r="I13" i="23" a="1"/>
  <c r="P111" i="23" a="1"/>
  <c r="L16" i="23" a="1"/>
  <c r="L20" i="23" a="1"/>
  <c r="I34" i="23" a="1"/>
  <c r="A104" i="23" a="1"/>
  <c r="L73" i="23" a="1"/>
  <c r="Q87" i="23" a="1"/>
  <c r="L64" i="23" a="1"/>
  <c r="N149" i="23" a="1"/>
  <c r="K33" i="23" a="1"/>
  <c r="J123" i="23" a="1"/>
  <c r="F13" i="23" a="1"/>
  <c r="J101" i="23" a="1"/>
  <c r="K76" i="23" a="1"/>
  <c r="N112" i="23" a="1"/>
  <c r="Q61" i="23" a="1"/>
  <c r="P101" i="23" a="1"/>
  <c r="L76" i="23" a="1"/>
  <c r="F39" i="23" a="1"/>
  <c r="I44" i="23" a="1"/>
  <c r="G243" i="23" a="1"/>
  <c r="E49" i="23" a="1"/>
  <c r="N132" i="23" a="1"/>
  <c r="L24" i="23" a="1"/>
  <c r="N44" i="23" a="1"/>
  <c r="P36" i="23" a="1"/>
  <c r="I101" i="23" a="1"/>
  <c r="C8" i="35" a="1"/>
  <c r="L30" i="23" a="1"/>
  <c r="R31" i="23" a="1"/>
  <c r="L138" i="23" a="1"/>
  <c r="K88" i="23" a="1"/>
  <c r="K128" i="23" a="1"/>
  <c r="F25" i="23" a="1"/>
  <c r="R38" i="23" a="1"/>
  <c r="O132" i="23" a="1"/>
  <c r="M70" i="23" a="1"/>
  <c r="Q145" i="23" a="1"/>
  <c r="R124" i="23" a="1"/>
  <c r="H17" i="23" a="1"/>
  <c r="F34" i="23" a="1"/>
  <c r="J14" i="23" a="1"/>
  <c r="J100" i="23" a="1"/>
  <c r="L52" i="23" a="1"/>
  <c r="E147" i="23" a="1"/>
  <c r="R89" i="23" a="1"/>
  <c r="M127" i="23" a="1"/>
  <c r="G220" i="23" a="1"/>
  <c r="G255" i="23" a="1"/>
  <c r="Q39" i="23" a="1"/>
  <c r="P93" i="23" a="1"/>
  <c r="M44" i="23" a="1"/>
  <c r="R100" i="23" a="1"/>
  <c r="G39" i="23" a="1"/>
  <c r="Q53" i="23" a="1"/>
  <c r="L59" i="23" a="1"/>
  <c r="R149" i="23" a="1"/>
  <c r="F17" i="23" a="1"/>
  <c r="E65" i="23" a="1"/>
  <c r="A117" i="23" a="1"/>
  <c r="M10" i="23" a="1"/>
  <c r="L43" i="23" a="1"/>
  <c r="A83" i="23" a="1"/>
  <c r="F143" i="23" a="1"/>
  <c r="Q138" i="23" a="1"/>
  <c r="Q55" i="23" a="1"/>
  <c r="E6" i="23" a="1"/>
  <c r="R76" i="23" a="1"/>
  <c r="N36" i="23" a="1"/>
  <c r="L11" i="23" a="1"/>
  <c r="P68" i="23" a="1"/>
  <c r="E17" i="23" a="1"/>
  <c r="P109" i="23" a="1"/>
  <c r="A11" i="23" a="1"/>
  <c r="O61" i="23" a="1"/>
  <c r="A93" i="23" a="1"/>
  <c r="O115" i="23" a="1"/>
  <c r="G132" i="23" a="1"/>
  <c r="J126" i="23" a="1"/>
  <c r="L110" i="23" a="1"/>
  <c r="I12" i="23" a="1"/>
  <c r="N69" i="23" a="1"/>
  <c r="Q128" i="23" a="1"/>
  <c r="K11" i="23" a="1"/>
  <c r="L48" i="23" a="1"/>
  <c r="O6" i="23" a="1"/>
  <c r="Q71" i="23" a="1"/>
  <c r="I16" i="23" a="1"/>
  <c r="O52" i="23" a="1"/>
  <c r="J28" i="23" a="1"/>
  <c r="K24" i="23" a="1"/>
  <c r="F70" i="23" a="1"/>
  <c r="O80" i="23" a="1"/>
  <c r="J26" i="23" a="1"/>
  <c r="I87" i="23" a="1"/>
  <c r="G261" i="23" a="1"/>
  <c r="A26" i="23" a="1"/>
  <c r="M25" i="23" a="1"/>
  <c r="K81" i="23" a="1"/>
  <c r="H93" i="23" a="1"/>
  <c r="P121" i="23" a="1"/>
  <c r="J80" i="23" a="1"/>
  <c r="G136" i="23" a="1"/>
  <c r="R55" i="23" a="1"/>
  <c r="H52" i="23" a="1"/>
  <c r="Q20" i="23" a="1"/>
  <c r="N128" i="23" a="1"/>
  <c r="P70" i="23" a="1"/>
  <c r="L31" i="23" a="1"/>
  <c r="K45" i="23" a="1"/>
  <c r="O47" i="23" a="1"/>
  <c r="Q141" i="23" a="1"/>
  <c r="A39" i="23" a="1"/>
  <c r="J107" i="23" a="1"/>
  <c r="A18" i="23" a="1"/>
  <c r="E140" i="23" a="1"/>
  <c r="H90" i="23" a="1"/>
  <c r="H151" i="23" a="1"/>
  <c r="R28" i="23" a="1"/>
  <c r="P18" i="23" a="1"/>
  <c r="Q63" i="23" a="1"/>
  <c r="E115" i="23" a="1"/>
  <c r="G63" i="23" a="1"/>
  <c r="Q47" i="23" a="1"/>
  <c r="E142" i="23" a="1"/>
  <c r="Q99" i="23" a="1"/>
  <c r="J6" i="23" a="1"/>
  <c r="E23" i="23" a="1"/>
  <c r="M14" i="23" a="1"/>
  <c r="R14" i="23" a="1"/>
  <c r="A4" i="23" a="1"/>
  <c r="N64" i="23" a="1"/>
  <c r="P140" i="23" a="1"/>
  <c r="L21" i="23" a="1"/>
  <c r="Q49" i="23" a="1"/>
  <c r="M147" i="23" a="1"/>
  <c r="P138" i="23" a="1"/>
  <c r="L149" i="23" a="1"/>
  <c r="G229" i="23" a="1"/>
  <c r="K31" i="23" a="1"/>
  <c r="R136" i="23" a="1"/>
  <c r="G89" i="23" a="1"/>
  <c r="G131" i="23" a="1"/>
  <c r="A112" i="23" a="1"/>
  <c r="P22" i="23" a="1"/>
  <c r="R18" i="23" a="1"/>
  <c r="J15" i="23" a="1"/>
  <c r="G118" i="23" a="1"/>
  <c r="G192" i="23" a="1"/>
  <c r="P49" i="23" a="1"/>
  <c r="O86" i="23" a="1"/>
  <c r="F10" i="23" a="1"/>
  <c r="F88" i="23" a="1"/>
  <c r="G61" i="23" a="1"/>
  <c r="G1" i="5" a="1"/>
  <c r="I15" i="23" a="1"/>
  <c r="G114" i="23" a="1"/>
  <c r="G64" i="23" a="1"/>
  <c r="R96" i="23" a="1"/>
  <c r="I60" i="23" a="1"/>
  <c r="G71" i="23" a="1"/>
  <c r="L53" i="23" a="1"/>
  <c r="J134" i="23" a="1"/>
  <c r="H30" i="23" a="1"/>
  <c r="Q88" i="23" a="1"/>
  <c r="O39" i="23" a="1"/>
  <c r="O13" i="23" a="1"/>
  <c r="Q44" i="23" a="1"/>
  <c r="A87" i="23" a="1"/>
  <c r="M68" i="23" a="1"/>
  <c r="A148" i="23" a="1"/>
  <c r="O140" i="23" a="1"/>
  <c r="O25" i="23" a="1"/>
  <c r="P45" i="23" a="1"/>
  <c r="I107" i="23" a="1"/>
  <c r="K110" i="23" a="1"/>
  <c r="I137" i="23" a="1"/>
  <c r="O48" i="23" a="1"/>
  <c r="M101" i="23" a="1"/>
  <c r="P136" i="23" a="1"/>
  <c r="O64" i="23" a="1"/>
  <c r="A49" i="23" a="1"/>
  <c r="L124" i="23" a="1"/>
  <c r="P55" i="23" a="1"/>
  <c r="R78" i="23" a="1"/>
  <c r="R91" i="23" a="1"/>
  <c r="K66" i="23" a="1"/>
  <c r="R82" i="23" a="1"/>
  <c r="K63" i="23" a="1"/>
  <c r="P82" i="23" a="1"/>
  <c r="E13" i="23" a="1"/>
  <c r="E83" i="23" a="1"/>
  <c r="K52" i="23" a="1"/>
  <c r="N140" i="23" a="1"/>
  <c r="F95" i="23" a="1"/>
  <c r="L55" i="23" a="1"/>
  <c r="L91" i="23" a="1"/>
  <c r="Q122" i="23" a="1"/>
  <c r="I57" i="23" a="1"/>
  <c r="J90" i="23" a="1"/>
  <c r="F119" i="23" a="1"/>
  <c r="M120" i="23" a="1"/>
  <c r="F38" i="23" a="1"/>
  <c r="R64" i="23" a="1"/>
  <c r="O57" i="23" a="1"/>
  <c r="A101" i="23" a="1"/>
  <c r="I134" i="23" a="1"/>
  <c r="O56" i="23" a="1"/>
  <c r="G236" i="23" a="1"/>
  <c r="P90" i="23" a="1"/>
  <c r="A92" i="23" a="1"/>
  <c r="P47" i="23" a="1"/>
  <c r="A35" i="23" a="1"/>
  <c r="M59" i="23" a="1"/>
  <c r="I130" i="23" a="1"/>
  <c r="G167" i="23" a="1"/>
  <c r="F2" i="23" a="1"/>
  <c r="R60" i="23" a="1"/>
  <c r="F144" i="23" a="1"/>
  <c r="H80" i="23" a="1"/>
  <c r="Q86" i="23" a="1"/>
  <c r="G109" i="23" a="1"/>
  <c r="Q10" i="23" a="1"/>
  <c r="A139" i="23" a="1"/>
  <c r="L71" i="23" a="1"/>
  <c r="P21" i="23" a="1"/>
  <c r="H149" i="23" a="1"/>
  <c r="L50" i="23" a="1"/>
  <c r="J108" i="23" a="1"/>
  <c r="R139" i="23" a="1"/>
  <c r="J47" i="23" a="1"/>
  <c r="E18" i="23" a="1"/>
  <c r="R138" i="23" a="1"/>
  <c r="G263" i="23" a="1"/>
  <c r="G226" i="23" a="1"/>
  <c r="E10" i="23" a="1"/>
  <c r="M119" i="23" a="1"/>
  <c r="P61" i="23" a="1"/>
  <c r="E31" i="23" a="1"/>
  <c r="L65" i="23" a="1"/>
  <c r="K121" i="23" a="1"/>
  <c r="N33" i="23" a="1"/>
  <c r="Q17" i="23" a="1"/>
  <c r="A38" i="23" a="1"/>
  <c r="O33" i="23" a="1"/>
  <c r="N104" i="23" a="1"/>
  <c r="G194" i="23" a="1"/>
  <c r="L25" i="23" a="1"/>
  <c r="P75" i="23" a="1"/>
  <c r="I11" i="23" a="1"/>
  <c r="I142" i="23" a="1"/>
  <c r="F9" i="23" a="1"/>
  <c r="I68" i="23" a="1"/>
  <c r="I69" i="23" a="1"/>
  <c r="A13" i="23" a="1"/>
  <c r="Q146" i="23" a="1"/>
  <c r="P31" i="23" a="1"/>
  <c r="N10" i="23" a="1"/>
  <c r="O97" i="23" a="1"/>
  <c r="G35" i="23" a="1"/>
  <c r="E81" i="23" a="1"/>
  <c r="G84" i="23" a="1"/>
  <c r="M138" i="23" a="1"/>
  <c r="O135" i="23" a="1"/>
  <c r="J91" i="23" a="1"/>
  <c r="N25" i="23" a="1"/>
  <c r="O68" i="23" a="1"/>
  <c r="P144" i="23" a="1"/>
  <c r="K32" i="23" a="1"/>
  <c r="L37" i="23" a="1"/>
  <c r="J96" i="23" a="1"/>
  <c r="J104" i="23" a="1"/>
  <c r="O29" i="23" a="1"/>
  <c r="G51" i="23" a="1"/>
  <c r="N127" i="23" a="1"/>
  <c r="N120" i="23" a="1"/>
  <c r="H18" i="23" a="1"/>
  <c r="P56" i="23" a="1"/>
  <c r="P119" i="23" a="1"/>
  <c r="H112" i="23" a="1"/>
  <c r="L122" i="23" a="1"/>
  <c r="G66" i="23" a="1"/>
  <c r="L143" i="23" a="1"/>
  <c r="N130" i="23" a="1"/>
  <c r="N17" i="23" a="1"/>
  <c r="G246" i="23" a="1"/>
  <c r="I102" i="23" a="1"/>
  <c r="O2" i="23" a="1"/>
  <c r="R48" i="23" a="1"/>
  <c r="M98" i="23" a="1"/>
  <c r="I98" i="23" a="1"/>
  <c r="K29" i="23" a="1"/>
  <c r="R132" i="23" a="1"/>
  <c r="J71" i="23" a="1"/>
  <c r="H21" i="23" a="1"/>
  <c r="Q16" i="23" a="1"/>
  <c r="M38" i="23" a="1"/>
  <c r="P2" i="23" a="1"/>
  <c r="P117" i="23" a="1"/>
  <c r="J4" i="23" a="1"/>
  <c r="K35" i="23" a="1"/>
  <c r="L74" i="23" a="1"/>
  <c r="H35" i="23" a="1"/>
  <c r="G142" i="23" a="1"/>
  <c r="N113" i="23" a="1"/>
  <c r="R43" i="23" a="1"/>
  <c r="R30" i="23" a="1"/>
  <c r="F125" i="23" a="1"/>
  <c r="R39" i="23" a="1"/>
  <c r="N2" i="23" a="1"/>
  <c r="I46" i="23" a="1"/>
  <c r="J46" i="23" a="1"/>
  <c r="I1" i="5" a="1"/>
  <c r="O74" i="23" a="1"/>
  <c r="A15" i="23" a="1"/>
  <c r="H76" i="23" a="1"/>
  <c r="E101" i="23" a="1"/>
  <c r="E21" i="23" a="1"/>
  <c r="H150" i="23" a="1"/>
  <c r="Q83" i="23" a="1"/>
  <c r="F134" i="23" a="1"/>
  <c r="Q34" i="23" a="1"/>
  <c r="N124" i="23" a="1"/>
  <c r="G234" i="23" a="1"/>
  <c r="A46" i="23" a="1"/>
  <c r="Q85" i="23" a="1"/>
  <c r="H62" i="23" a="1"/>
  <c r="L108" i="23" a="1"/>
  <c r="P94" i="23" a="1"/>
  <c r="G3" i="23" a="1"/>
  <c r="J148" i="23" a="1"/>
  <c r="H99" i="23" a="1"/>
  <c r="G56" i="23" a="1"/>
  <c r="M106" i="23" a="1"/>
  <c r="Q106" i="23" a="1"/>
  <c r="O121" i="23" a="1"/>
  <c r="L49" i="23" a="1"/>
  <c r="J12" i="23" a="1"/>
  <c r="J42" i="23" a="1"/>
  <c r="M63" i="23" a="1"/>
  <c r="L85" i="23" a="1"/>
  <c r="O133" i="23" a="1"/>
  <c r="K8" i="23" a="1"/>
  <c r="G98" i="23" a="1"/>
  <c r="G128" i="23" a="1"/>
  <c r="L128" i="23" a="1"/>
  <c r="M95" i="23" a="1"/>
  <c r="P37" i="23" a="1"/>
  <c r="R143" i="23" a="1"/>
  <c r="G178" i="23" a="1"/>
  <c r="I4" i="23" a="1"/>
  <c r="I41" i="23" a="1"/>
  <c r="H13" i="23" a="1"/>
  <c r="A69" i="23" a="1"/>
  <c r="G91" i="23" a="1"/>
  <c r="H96" i="23" a="1"/>
  <c r="R40" i="23" a="1"/>
  <c r="Q52" i="23" a="1"/>
  <c r="Q37" i="23" a="1"/>
  <c r="K93" i="23" a="1"/>
  <c r="F79" i="23" a="1"/>
  <c r="J32" i="23" a="1"/>
  <c r="G14" i="23" a="1"/>
  <c r="J37" i="23" a="1"/>
  <c r="O3" i="23" a="1"/>
  <c r="R26" i="23" a="1"/>
  <c r="M21" i="23" a="1"/>
  <c r="G200" i="23" a="1"/>
  <c r="R23" i="23" a="1"/>
  <c r="M107" i="23" a="1"/>
  <c r="N77" i="23" a="1"/>
  <c r="A68" i="23" a="1"/>
  <c r="P13" i="23" a="1"/>
  <c r="M41" i="23" a="1"/>
  <c r="G250" i="23" a="1"/>
  <c r="E80" i="23" a="1"/>
  <c r="O27" i="23" a="1"/>
  <c r="R122" i="23" a="1"/>
  <c r="O95" i="23" a="1"/>
  <c r="I45" i="23" a="1"/>
  <c r="G75" i="23" a="1"/>
  <c r="K37" i="23" a="1"/>
  <c r="A75" i="23" a="1"/>
  <c r="O137" i="23" a="1"/>
  <c r="I123" i="23" a="1"/>
  <c r="K47" i="23" a="1"/>
  <c r="O69" i="23" a="1"/>
  <c r="Q7" i="23" a="1"/>
  <c r="F131" i="23" a="1"/>
  <c r="N66" i="23" a="1"/>
  <c r="A102" i="23" a="1"/>
  <c r="L95" i="23" a="1"/>
  <c r="Q93" i="23" a="1"/>
  <c r="H122" i="23" a="1"/>
  <c r="J56" i="23" a="1"/>
  <c r="N118" i="23" a="1"/>
  <c r="E76" i="23" a="1"/>
  <c r="I132" i="23" a="1"/>
  <c r="H23" i="23" a="1"/>
  <c r="G76" i="23" a="1"/>
  <c r="Q58" i="23" a="1"/>
  <c r="H101" i="23" a="1"/>
  <c r="J67" i="23" a="1"/>
  <c r="A106" i="23" a="1"/>
  <c r="H113" i="23" a="1"/>
  <c r="L148" i="23" a="1"/>
  <c r="H100" i="23" a="1"/>
  <c r="J127" i="23" a="1"/>
  <c r="O130" i="23" a="1"/>
  <c r="J68" i="23" a="1"/>
  <c r="J116" i="23" a="1"/>
  <c r="I95" i="23" a="1"/>
  <c r="Q31" i="23" a="1"/>
  <c r="E25" i="23" a="1"/>
  <c r="A56" i="23" a="1"/>
  <c r="K56" i="23" a="1"/>
  <c r="R97" i="23" a="1"/>
  <c r="Q142" i="23" a="1"/>
  <c r="H29" i="23" a="1"/>
  <c r="H15" i="23" a="1"/>
  <c r="E116" i="23" a="1"/>
  <c r="F59" i="23" a="1"/>
  <c r="L116" i="23" a="1"/>
  <c r="A125" i="23" a="1"/>
  <c r="P113" i="23" a="1"/>
  <c r="H129" i="23" a="1"/>
  <c r="G185" i="23" a="1"/>
  <c r="Q26" i="23" a="1"/>
  <c r="K15" i="23" a="1"/>
  <c r="G70" i="23" a="1"/>
  <c r="E110" i="23" a="1"/>
  <c r="L131" i="23" a="1"/>
  <c r="K146" i="23" a="1"/>
  <c r="G12" i="23" a="1"/>
  <c r="O143" i="23" a="1"/>
  <c r="I33" i="23" a="1"/>
  <c r="K82" i="23" a="1"/>
  <c r="A33" i="23" a="1"/>
  <c r="R120" i="23" a="1"/>
  <c r="P87" i="23" a="1"/>
  <c r="N13" i="23" a="1"/>
  <c r="J52" i="23" a="1"/>
  <c r="R41" i="23" a="1"/>
  <c r="P108" i="23" a="1"/>
  <c r="Q13" i="23" a="1"/>
  <c r="A80" i="23" a="1"/>
  <c r="N136" i="23" a="1"/>
  <c r="Q33" i="23" a="1"/>
  <c r="L80" i="23" a="1"/>
  <c r="O139" i="23" a="1"/>
  <c r="E92" i="23" a="1"/>
  <c r="F44" i="23" a="1"/>
  <c r="Q36" i="23" a="1"/>
  <c r="E50" i="23" a="1"/>
  <c r="O78" i="23" a="1"/>
  <c r="H95" i="23" a="1"/>
  <c r="H50" i="23" a="1"/>
  <c r="G244" i="23" a="1"/>
  <c r="F49" i="23" a="1"/>
  <c r="H61" i="23" a="1"/>
  <c r="Q118" i="23" a="1"/>
  <c r="F71" i="23" a="1"/>
  <c r="N105" i="23" a="1"/>
  <c r="E1" i="5" a="1"/>
  <c r="P26" i="23" a="1"/>
  <c r="N100" i="23" a="1"/>
  <c r="H118" i="23" a="1"/>
  <c r="H25" i="23" a="1"/>
  <c r="J72" i="23" a="1"/>
  <c r="J40" i="23" a="1"/>
  <c r="K139" i="23" a="1"/>
  <c r="E89" i="23" a="1"/>
  <c r="P86" i="23" a="1"/>
  <c r="G215" i="23" a="1"/>
  <c r="G77" i="23" a="1"/>
  <c r="Q147" i="23" a="1"/>
  <c r="Q54" i="23" a="1"/>
  <c r="P73" i="23" a="1"/>
  <c r="Q101" i="23" a="1"/>
  <c r="J132" i="23" a="1"/>
  <c r="F22" i="23" a="1"/>
  <c r="O125" i="23" a="1"/>
  <c r="K91" i="23" a="1"/>
  <c r="F30" i="23" a="1"/>
  <c r="O58" i="23" a="1"/>
  <c r="P74" i="23" a="1"/>
  <c r="J106" i="23" a="1"/>
  <c r="N74" i="23" a="1"/>
  <c r="L115" i="23" a="1"/>
  <c r="G145" i="23" a="1"/>
  <c r="H65" i="23" a="1"/>
  <c r="A79" i="23" a="1"/>
  <c r="L119" i="23" a="1"/>
  <c r="O146" i="23" a="1"/>
  <c r="I20" i="23" a="1"/>
  <c r="J29" i="23" a="1"/>
  <c r="E120" i="23" a="1"/>
  <c r="P95" i="23" a="1"/>
  <c r="O76" i="23" a="1"/>
  <c r="O122" i="23" a="1"/>
  <c r="F56" i="23" a="1"/>
  <c r="K120" i="23" a="1"/>
  <c r="M91" i="23" a="1"/>
  <c r="K102" i="23" a="1"/>
  <c r="P81" i="23" a="1"/>
  <c r="N80" i="23" a="1"/>
  <c r="K83" i="23" a="1"/>
  <c r="M64" i="23" a="1"/>
  <c r="M35" i="23" a="1"/>
  <c r="F130" i="23" a="1"/>
  <c r="P23" i="23" a="1"/>
  <c r="M90" i="23" a="1"/>
  <c r="F82" i="23" a="1"/>
  <c r="N43" i="23" a="1"/>
  <c r="J48" i="23" a="1"/>
  <c r="H58" i="23" a="1"/>
  <c r="G198" i="23" a="1"/>
  <c r="A84" i="23" a="1"/>
  <c r="N75" i="23" a="1"/>
  <c r="F58" i="23" a="1"/>
  <c r="O85" i="23" a="1"/>
  <c r="O145" i="23" a="1"/>
  <c r="Q124" i="23" a="1"/>
  <c r="K131" i="23" a="1"/>
  <c r="J98" i="23" a="1"/>
  <c r="A143" i="23" a="1"/>
  <c r="L27" i="23" a="1"/>
  <c r="R49" i="23" a="1"/>
  <c r="R71" i="23" a="1"/>
  <c r="E121" i="23" a="1"/>
  <c r="L63" i="23" a="1"/>
  <c r="K101" i="23" a="1"/>
  <c r="P6" i="23" a="1"/>
  <c r="G102" i="23" a="1"/>
  <c r="A67" i="23" a="1"/>
  <c r="G180" i="23" a="1"/>
  <c r="E94" i="23" a="1"/>
  <c r="Q104" i="23" a="1"/>
  <c r="H82" i="23" a="1"/>
  <c r="P77" i="23" a="1"/>
  <c r="Q42" i="23" a="1"/>
  <c r="E36" i="23" a="1"/>
  <c r="R116" i="23" a="1"/>
  <c r="M94" i="23" a="1"/>
  <c r="H2" i="23" a="1"/>
  <c r="N72" i="23" a="1"/>
  <c r="L83" i="23" a="1"/>
  <c r="K143" i="23" a="1"/>
  <c r="I19" i="23" a="1"/>
  <c r="A115" i="23" a="1"/>
  <c r="I64" i="23" a="1"/>
  <c r="H143" i="23" a="1"/>
  <c r="L9" i="23" a="1"/>
  <c r="J142" i="23" a="1"/>
  <c r="P58" i="23" a="1"/>
  <c r="M79" i="23" a="1"/>
  <c r="Q136" i="23" a="1"/>
  <c r="I49" i="23" a="1"/>
  <c r="N15" i="23" a="1"/>
  <c r="E96" i="23" a="1"/>
  <c r="G253" i="23" a="1"/>
  <c r="A5" i="23" a="1"/>
  <c r="A51" i="23" a="1"/>
  <c r="N20" i="23" a="1"/>
  <c r="I8" i="23" a="1"/>
  <c r="F37" i="23" a="1"/>
  <c r="H19" i="23" a="1"/>
  <c r="F35" i="23" a="1"/>
  <c r="K41" i="23" a="1"/>
  <c r="H39" i="23" a="1"/>
  <c r="A24" i="23" a="1"/>
  <c r="K129" i="23" a="1"/>
  <c r="Q114" i="23" a="1"/>
  <c r="A111" i="23" a="1"/>
  <c r="A86" i="23" a="1"/>
  <c r="E29" i="23" a="1"/>
  <c r="G137" i="23" a="1"/>
  <c r="K112" i="23" a="1"/>
  <c r="G49" i="23" a="1"/>
  <c r="I128" i="23" a="1"/>
  <c r="O99" i="23" a="1"/>
  <c r="H140" i="23" a="1"/>
  <c r="J130" i="23" a="1"/>
  <c r="J31" i="23" a="1"/>
  <c r="G203" i="23" a="1"/>
  <c r="F100" i="23" a="1"/>
  <c r="J147" i="23" a="1"/>
  <c r="N101" i="23" a="1"/>
  <c r="P24" i="23" a="1"/>
  <c r="E91" i="23" a="1"/>
  <c r="G231" i="23" a="1"/>
  <c r="H54" i="23" a="1"/>
  <c r="O15" i="23" a="1"/>
  <c r="H27" i="23" a="1"/>
  <c r="G62" i="23" a="1"/>
  <c r="R53" i="23" a="1"/>
  <c r="O114" i="23" a="1"/>
  <c r="H9" i="23" a="1"/>
  <c r="A48" i="23" a="1"/>
  <c r="R121" i="23" a="1"/>
  <c r="E62" i="23" a="1"/>
  <c r="H105" i="23" a="1"/>
  <c r="F118" i="23" a="1"/>
  <c r="G182" i="23" a="1"/>
  <c r="Q103" i="23" a="1"/>
  <c r="F106" i="23" a="1"/>
  <c r="N27" i="23" a="1"/>
  <c r="A140" i="23" a="1"/>
  <c r="F101" i="23" a="1"/>
  <c r="C9" i="35" a="1"/>
  <c r="K144" i="23" a="1"/>
  <c r="E35" i="23" a="1"/>
  <c r="J78" i="23" a="1"/>
  <c r="R72" i="23" a="1"/>
  <c r="J50" i="23" a="1"/>
  <c r="K97" i="23" a="1"/>
  <c r="J45" i="23" a="1"/>
  <c r="R119" i="23" a="1"/>
  <c r="J8" i="23" a="1"/>
  <c r="M34" i="23" a="1"/>
  <c r="M139" i="23" a="1"/>
  <c r="L105" i="23" a="1"/>
  <c r="Q30" i="23" a="1"/>
  <c r="P147" i="23" a="1"/>
  <c r="J9" i="23" a="1"/>
  <c r="I144" i="23" a="1"/>
  <c r="A96" i="23" a="1"/>
  <c r="K73" i="23" a="1"/>
  <c r="P40" i="23" a="1"/>
  <c r="N122" i="23" a="1"/>
  <c r="R4" i="23" a="1"/>
  <c r="P125" i="23" a="1"/>
  <c r="H20" i="23" a="1"/>
  <c r="Q94" i="23" a="1"/>
  <c r="E30" i="23" a="1"/>
  <c r="M117" i="23" a="1"/>
  <c r="K119" i="23" a="1"/>
  <c r="E54" i="23" a="1"/>
  <c r="O24" i="23" a="1"/>
  <c r="O66" i="23" a="1"/>
  <c r="N119" i="23" a="1"/>
  <c r="G170" i="23" a="1"/>
  <c r="M71" i="23" a="1"/>
  <c r="Q11" i="23" a="1"/>
  <c r="E40" i="23" a="1"/>
  <c r="A103" i="23" a="1"/>
  <c r="G187" i="23" a="1"/>
  <c r="O93" i="23" a="1"/>
  <c r="M67" i="23" a="1"/>
  <c r="O67" i="23" a="1"/>
  <c r="P133" i="23" a="1"/>
  <c r="Q119" i="23" a="1"/>
  <c r="Q24" i="23" a="1"/>
  <c r="F29" i="23" a="1"/>
  <c r="R106" i="23" a="1"/>
  <c r="A37" i="23" a="1"/>
  <c r="M123" i="23" a="1"/>
  <c r="A7" i="23" a="1"/>
  <c r="Q66" i="23" a="1"/>
  <c r="G44" i="23" a="1"/>
  <c r="M140" i="23" a="1"/>
  <c r="E132" i="23" a="1"/>
  <c r="A132" i="23" a="1"/>
  <c r="F12" i="23" a="1"/>
  <c r="Q105" i="23" a="1"/>
  <c r="G168" i="23" a="1"/>
  <c r="K43" i="23" a="1"/>
  <c r="E14" i="23" a="1"/>
  <c r="M11" i="23" a="1"/>
  <c r="N62" i="23" a="1"/>
  <c r="H102" i="23" a="1"/>
  <c r="A34" i="23" a="1"/>
  <c r="I140" i="23" a="1"/>
  <c r="N89" i="23" a="1"/>
  <c r="K3" i="19" a="1"/>
  <c r="G256" i="23" a="1"/>
  <c r="H119" i="23" a="1"/>
  <c r="L3" i="23" a="1"/>
  <c r="L96" i="23" a="1"/>
  <c r="E85" i="23" a="1"/>
  <c r="E136" i="23" a="1"/>
  <c r="J81" i="23" a="1"/>
  <c r="E16" i="23" a="1"/>
  <c r="Q51" i="23" a="1"/>
  <c r="Q133" i="23" a="1"/>
  <c r="G134" i="23" a="1"/>
  <c r="L111" i="23" a="1"/>
  <c r="G242" i="23" a="1"/>
  <c r="F3" i="23" a="1"/>
  <c r="G113" i="23" a="1"/>
  <c r="O77" i="23" a="1"/>
  <c r="K4" i="19" a="1"/>
  <c r="Q41" i="23" a="1"/>
  <c r="J121" i="23" a="1"/>
  <c r="F92" i="23" a="1"/>
  <c r="G219" i="23" a="1"/>
  <c r="J95" i="23" a="1"/>
  <c r="G124" i="23" a="1"/>
  <c r="I73" i="23" a="1"/>
  <c r="O90" i="23" a="1"/>
  <c r="O37" i="23" a="1"/>
  <c r="E71" i="23" a="1"/>
  <c r="A30" i="23" a="1"/>
  <c r="F114" i="23" a="1"/>
  <c r="O18" i="23" a="1"/>
  <c r="F150" i="23" a="1"/>
  <c r="H7" i="23" a="1"/>
  <c r="H67" i="23" a="1"/>
  <c r="I76" i="23" a="1"/>
  <c r="Q60" i="23" a="1"/>
  <c r="K78" i="23" a="1"/>
  <c r="K20" i="23" a="1"/>
  <c r="N70" i="23" a="1"/>
  <c r="H108" i="23" a="1"/>
  <c r="K115" i="23" a="1"/>
  <c r="Q29" i="23" a="1"/>
  <c r="K28" i="23" a="1"/>
  <c r="G31" i="23" a="1"/>
  <c r="M73" i="23" a="1"/>
  <c r="M47" i="23" a="1"/>
  <c r="G224" i="23" a="1"/>
  <c r="O72" i="23" a="1"/>
  <c r="K46" i="23" a="1"/>
  <c r="L77" i="23" a="1"/>
  <c r="P142" i="23" a="1"/>
  <c r="G41" i="23" a="1"/>
  <c r="G104" i="23" a="1"/>
  <c r="J58" i="23" a="1"/>
  <c r="H146" i="23" a="1"/>
  <c r="A20" i="23" a="1"/>
  <c r="J27" i="23" a="1"/>
  <c r="N114" i="23" a="1"/>
  <c r="R81" i="23" a="1"/>
  <c r="E102" i="23" a="1"/>
  <c r="F136" i="23" a="1"/>
  <c r="A8" i="23" a="1"/>
  <c r="M103" i="23" a="1"/>
  <c r="L58" i="23" a="1"/>
  <c r="G254" i="23" a="1"/>
  <c r="K127" i="23" a="1"/>
  <c r="G87" i="23" a="1"/>
  <c r="K62" i="23" a="1"/>
  <c r="L39" i="23" a="1"/>
  <c r="Q113" i="23" a="1"/>
  <c r="O138" i="23" a="1"/>
  <c r="A17" i="23" a="1"/>
  <c r="F127" i="23" a="1"/>
  <c r="M149" i="23" a="1"/>
  <c r="L12" i="23" a="1"/>
  <c r="I111" i="23" a="1"/>
  <c r="I90" i="23" a="1"/>
  <c r="R80" i="23" a="1"/>
  <c r="A149" i="23" a="1"/>
  <c r="M144" i="23" a="1"/>
  <c r="E47" i="23" a="1"/>
  <c r="G101" i="23" a="1"/>
  <c r="L36" i="23" a="1"/>
  <c r="R51" i="23" a="1"/>
  <c r="E150" i="23" a="1"/>
  <c r="A14" i="23" a="1"/>
  <c r="R45" i="23" a="1"/>
  <c r="H69" i="23" a="1"/>
  <c r="G2" i="23" a="1"/>
  <c r="Q78" i="23" a="1"/>
  <c r="L139" i="23" a="1"/>
  <c r="G13" i="23" a="1"/>
  <c r="A141" i="23" a="1"/>
  <c r="J99" i="23" a="1"/>
  <c r="E117" i="23" a="1"/>
  <c r="N84" i="23" a="1"/>
  <c r="N3" i="23" a="1"/>
  <c r="O129" i="23" a="1"/>
  <c r="I26" i="23" a="1"/>
  <c r="G268" i="23" a="1"/>
  <c r="J111" i="23" a="1"/>
  <c r="F115" i="23" a="1"/>
  <c r="O40" i="23" a="1"/>
  <c r="K71" i="23" a="1"/>
  <c r="A72" i="23" a="1"/>
  <c r="R150" i="23" a="1"/>
  <c r="I14" i="23" a="1"/>
  <c r="R83" i="23" a="1"/>
  <c r="K72" i="23" a="1"/>
  <c r="I35" i="23" a="1"/>
  <c r="F142" i="23" a="1"/>
  <c r="R47" i="23" a="1"/>
  <c r="J16" i="23" a="1"/>
  <c r="J39" i="23" a="1"/>
  <c r="N145" i="23" a="1"/>
  <c r="K2" i="23" a="1"/>
  <c r="J128" i="23" a="1"/>
  <c r="O83" i="23" a="1"/>
  <c r="I47" i="23" a="1"/>
  <c r="G10" i="23" a="1"/>
  <c r="L114" i="23" a="1"/>
  <c r="N54" i="23" a="1"/>
  <c r="H63" i="23" a="1"/>
  <c r="E55" i="23" a="1"/>
  <c r="H4" i="23" a="1"/>
  <c r="M129" i="23" a="1"/>
  <c r="N98" i="23" a="1"/>
  <c r="P71" i="23" a="1"/>
  <c r="G57" i="23" a="1"/>
  <c r="G6" i="23" a="1"/>
  <c r="I110" i="23" a="1"/>
  <c r="A85" i="23" a="1"/>
  <c r="P124" i="23" a="1"/>
  <c r="G80" i="23" a="1"/>
  <c r="G151" i="23" a="1"/>
  <c r="P66" i="23" a="1"/>
  <c r="O141" i="23" a="1"/>
  <c r="A105" i="23" a="1"/>
  <c r="Q137" i="23" a="1"/>
  <c r="J5" i="23" a="1"/>
  <c r="P145" i="23" a="1"/>
  <c r="M131" i="23" a="1"/>
  <c r="K6" i="23" a="1"/>
  <c r="M96" i="23" a="1"/>
  <c r="M55" i="23" a="1"/>
  <c r="F20" i="23" a="1"/>
  <c r="A121" i="23" a="1"/>
  <c r="N11" i="23" a="1"/>
  <c r="R7" i="23" a="1"/>
  <c r="M80" i="23" a="1"/>
  <c r="G238" i="23" a="1"/>
  <c r="Q97" i="23" a="1"/>
  <c r="N148" i="23" a="1"/>
  <c r="P139" i="23" a="1"/>
  <c r="J33" i="23" a="1"/>
  <c r="E123" i="23" a="1"/>
  <c r="I7" i="23" a="1"/>
  <c r="M74" i="23" a="1"/>
  <c r="Q84" i="23" a="1"/>
  <c r="E146" i="23" a="1"/>
  <c r="J136" i="23" a="1"/>
  <c r="K150" i="23" a="1"/>
  <c r="J43" i="23" a="1"/>
  <c r="N5" i="23" a="1"/>
  <c r="L70" i="23" a="1"/>
  <c r="P39" i="23" a="1"/>
  <c r="R34" i="23" a="1"/>
  <c r="H37" i="23" a="1"/>
  <c r="K55" i="23" a="1"/>
  <c r="N90" i="23" a="1"/>
  <c r="N138" i="23" a="1"/>
  <c r="H40" i="23" a="1"/>
  <c r="Q64" i="23" a="1"/>
  <c r="Q48" i="23" a="1"/>
  <c r="K122" i="23" a="1"/>
  <c r="P34" i="23" a="1"/>
  <c r="I43" i="23" a="1"/>
  <c r="N7" i="23" a="1"/>
  <c r="M105" i="23" a="1"/>
  <c r="I150" i="23" a="1"/>
  <c r="M121" i="23" a="1"/>
  <c r="F138" i="23" a="1"/>
  <c r="A137" i="23" a="1"/>
  <c r="N131" i="23" a="1"/>
  <c r="N141" i="23" a="1"/>
  <c r="A124" i="23" a="1"/>
  <c r="G175" i="23" a="1"/>
  <c r="M135" i="23" a="1"/>
  <c r="M49" i="23" a="1"/>
  <c r="M136" i="23" a="1"/>
  <c r="Q132" i="23" a="1"/>
  <c r="E86" i="23" a="1"/>
  <c r="H36" i="23" a="1"/>
  <c r="I133" i="23" a="1"/>
  <c r="M97" i="23" a="1"/>
  <c r="G121" i="23" a="1"/>
  <c r="N52" i="23" a="1"/>
  <c r="L106" i="23" a="1"/>
  <c r="A147" i="23" a="1"/>
  <c r="R137" i="23" a="1"/>
  <c r="K125" i="23" a="1"/>
  <c r="M82" i="23" a="1"/>
  <c r="J51" i="23" a="1"/>
  <c r="N95" i="23" a="1"/>
  <c r="H46" i="23" a="1"/>
  <c r="M102" i="23" a="1"/>
  <c r="E108" i="23" a="1"/>
  <c r="P122" i="23" a="1"/>
  <c r="A74" i="23" a="1"/>
  <c r="R10" i="23" a="1"/>
  <c r="L144" i="23" a="1"/>
  <c r="F81" i="23" a="1"/>
  <c r="M148" i="23" a="1"/>
  <c r="F104" i="23" a="1"/>
  <c r="L137" i="23" a="1"/>
  <c r="R110" i="23" a="1"/>
  <c r="M84" i="23" a="1"/>
  <c r="M77" i="23" a="1"/>
  <c r="Q73" i="23" a="1"/>
  <c r="A129" i="23" a="1"/>
  <c r="R131" i="23" a="1"/>
  <c r="H97" i="23" a="1"/>
  <c r="M110" i="23" a="1"/>
  <c r="N35" i="23" a="1"/>
  <c r="O142" i="23" a="1"/>
  <c r="F102" i="23" a="1"/>
  <c r="O59" i="23" a="1"/>
  <c r="L14" i="23" a="1"/>
  <c r="E53" i="23" a="1"/>
  <c r="J82" i="23" a="1"/>
  <c r="K70" i="23" a="1"/>
  <c r="M18" i="23" a="1"/>
  <c r="G207" i="23" a="1"/>
  <c r="H121" i="23" a="1"/>
  <c r="O128" i="23" a="1"/>
  <c r="A78" i="23" a="1"/>
  <c r="J10" i="23" a="1"/>
  <c r="K123" i="23" a="1"/>
  <c r="H75" i="23" a="1"/>
  <c r="P72" i="23" a="1"/>
  <c r="Q74" i="23" a="1"/>
  <c r="N21" i="23" a="1"/>
  <c r="Q59" i="23" a="1"/>
  <c r="A94" i="23" a="1"/>
  <c r="F109" i="23" a="1"/>
  <c r="G144" i="23" a="1"/>
  <c r="E51" i="23" a="1"/>
  <c r="E93" i="23" a="1"/>
  <c r="I97" i="23" a="1"/>
  <c r="O53" i="23" a="1"/>
  <c r="K85" i="23" a="1"/>
  <c r="M85" i="23" a="1"/>
  <c r="K50" i="23" a="1"/>
  <c r="P20" i="23" a="1"/>
  <c r="A47" i="23" a="1"/>
  <c r="N22" i="23" a="1"/>
  <c r="R127" i="23" a="1"/>
  <c r="H91" i="23" a="1"/>
  <c r="O11" i="23" a="1"/>
  <c r="I23" i="23" a="1"/>
  <c r="G81" i="23" a="1"/>
  <c r="L51" i="23" a="1"/>
  <c r="A91" i="23" a="1"/>
  <c r="M104" i="23" a="1"/>
  <c r="M61" i="23" a="1"/>
  <c r="P35" i="23" a="1"/>
  <c r="K98" i="23" a="1"/>
  <c r="L130" i="23" a="1"/>
  <c r="A9" i="23" a="1"/>
  <c r="P104" i="23" a="1"/>
  <c r="G202" i="23" a="1"/>
  <c r="N109" i="23" a="1"/>
  <c r="N146" i="23" a="1"/>
  <c r="R133" i="23" a="1"/>
  <c r="N31" i="23" a="1"/>
  <c r="P115" i="23" a="1"/>
  <c r="R11" i="23" a="1"/>
  <c r="R111" i="23" a="1"/>
  <c r="F36" i="23" a="1"/>
  <c r="R123" i="23" a="1"/>
  <c r="I39" i="23" a="1"/>
  <c r="N57" i="23" a="1"/>
  <c r="K60" i="23" a="1"/>
  <c r="O36" i="23" a="1"/>
  <c r="R27" i="23" a="1"/>
  <c r="F137" i="23" a="1"/>
  <c r="G257" i="23" a="1"/>
  <c r="F21" i="23" a="1"/>
  <c r="P141" i="23" a="1"/>
  <c r="K87" i="23" a="1"/>
  <c r="E113" i="23" a="1"/>
  <c r="G120" i="23" a="1"/>
  <c r="N47" i="23" a="1"/>
  <c r="J38" i="23" a="1"/>
  <c r="F140" i="23" a="1"/>
  <c r="O34" i="23" a="1"/>
  <c r="J93" i="23" a="1"/>
  <c r="G82" i="23" a="1"/>
  <c r="P131" i="23" a="1"/>
  <c r="P76" i="23" a="1"/>
  <c r="G267" i="23" a="1"/>
  <c r="N76" i="23" a="1"/>
  <c r="Q15" i="23" a="1"/>
  <c r="E72" i="23" a="1"/>
  <c r="H139" i="23" a="1"/>
  <c r="E32" i="23" a="1"/>
  <c r="N150" i="23" a="1"/>
  <c r="A114" i="23" a="1"/>
  <c r="G186" i="23" a="1"/>
  <c r="M114" i="23" a="1"/>
  <c r="E84" i="23" a="1"/>
  <c r="I94" i="23" a="1"/>
  <c r="L118" i="23" a="1"/>
  <c r="N87" i="23" a="1"/>
  <c r="N143" i="23" a="1"/>
  <c r="R61" i="23" a="1"/>
  <c r="R77" i="23" a="1"/>
  <c r="Q69" i="23" a="1"/>
  <c r="I59" i="23" a="1"/>
  <c r="F7" i="23" a="1"/>
  <c r="H51" i="23" a="1"/>
  <c r="P10" i="23" a="1"/>
  <c r="L2" i="23" a="1"/>
  <c r="J60" i="23" a="1"/>
  <c r="G138" i="23" a="1"/>
  <c r="J41" i="23" a="1"/>
  <c r="R105" i="23" a="1"/>
  <c r="K107" i="23" a="1"/>
  <c r="R147" i="23" a="1"/>
  <c r="R135" i="23" a="1"/>
  <c r="M32" i="23" a="1"/>
  <c r="N78" i="23" a="1"/>
  <c r="M29" i="23" a="1"/>
  <c r="G176" i="23" a="1"/>
  <c r="K95" i="23" a="1"/>
  <c r="H94" i="23" a="1"/>
  <c r="J55" i="23" a="1"/>
  <c r="G40" i="23" a="1"/>
  <c r="G86" i="23" a="1"/>
  <c r="Q77" i="23" a="1"/>
  <c r="K49" i="23" a="1"/>
  <c r="P134" i="23" a="1"/>
  <c r="O35" i="23" a="1"/>
  <c r="Q123" i="23" a="1"/>
  <c r="R85" i="23" a="1"/>
  <c r="I6" i="23" a="1"/>
  <c r="O102" i="23" a="1"/>
  <c r="K135" i="23" a="1"/>
  <c r="R17" i="23" a="1"/>
  <c r="G210" i="23" a="1"/>
  <c r="G237" i="23" a="1"/>
  <c r="K100" i="23" a="1"/>
  <c r="J122" i="23" a="1"/>
  <c r="M142" i="23" a="1"/>
  <c r="Q134" i="23" a="1"/>
  <c r="I58" i="23" a="1"/>
  <c r="A12" i="23" a="1"/>
  <c r="A89" i="23" a="1"/>
  <c r="G125" i="23" a="1"/>
  <c r="E139" i="23" a="1"/>
  <c r="N133" i="23" a="1"/>
  <c r="N12" i="23" a="1"/>
  <c r="I62" i="23" a="1"/>
  <c r="M52" i="23" a="1"/>
  <c r="Q21" i="23" a="1"/>
  <c r="O81" i="23" a="1"/>
  <c r="R8" i="23" a="1"/>
  <c r="N142" i="23" a="1"/>
  <c r="F98" i="23" a="1"/>
  <c r="N29" i="23" a="1"/>
  <c r="I63" i="23" a="1"/>
  <c r="L15" i="23" a="1"/>
  <c r="Q107" i="23" a="1"/>
  <c r="E34" i="23" a="1"/>
  <c r="G19" i="23" a="1"/>
  <c r="G146" i="23" a="1"/>
  <c r="M122" i="23" a="1"/>
  <c r="E138" i="23" a="1"/>
  <c r="F148" i="23" a="1"/>
  <c r="O30" i="23" a="1"/>
  <c r="J113" i="23" a="1"/>
  <c r="K140" i="23" a="1"/>
  <c r="P114" i="23" a="1"/>
  <c r="I18" i="23" a="1"/>
  <c r="H98" i="23" a="1"/>
  <c r="E134" i="23" a="1"/>
  <c r="G92" i="23" a="1"/>
  <c r="R108" i="23" a="1"/>
  <c r="F120" i="23" a="1"/>
  <c r="A76" i="23" a="1"/>
  <c r="N9" i="23" a="1"/>
  <c r="H56" i="23" a="1"/>
  <c r="A57" i="23" a="1"/>
  <c r="J129" i="23" a="1"/>
  <c r="Q6" i="23" a="1"/>
  <c r="M92" i="23" a="1"/>
  <c r="G25" i="23" a="1"/>
  <c r="F105" i="23" a="1"/>
  <c r="J18" i="23" a="1"/>
  <c r="R16" i="23" a="1"/>
  <c r="A40" i="23" a="1"/>
  <c r="L10" i="23" a="1"/>
  <c r="L92" i="23" a="1"/>
  <c r="F107" i="23" a="1"/>
  <c r="E2" i="23" a="1"/>
  <c r="G18" i="23" a="1"/>
  <c r="E69" i="23" a="1"/>
  <c r="H127" i="23" a="1"/>
  <c r="M58" i="23" a="1"/>
  <c r="N94" i="23" a="1"/>
  <c r="G52" i="23" a="1"/>
  <c r="N50" i="23" a="1"/>
  <c r="M8" i="23" a="1"/>
  <c r="R107" i="23" a="1"/>
  <c r="P67" i="23" a="1"/>
  <c r="G15" i="23" a="1"/>
  <c r="A59" i="23" a="1"/>
  <c r="H148" i="23" a="1"/>
  <c r="I81" i="23" a="1"/>
  <c r="L75" i="23" a="1"/>
  <c r="I120" i="23" a="1"/>
  <c r="M6" i="23" a="1"/>
  <c r="F40" i="23" a="1"/>
  <c r="N110" i="23" a="1"/>
  <c r="M115" i="23" a="1"/>
  <c r="G46" i="23" a="1"/>
  <c r="R117" i="23" a="1"/>
  <c r="N116" i="23" a="1"/>
  <c r="P9" i="23" a="1"/>
  <c r="N103" i="23" a="1"/>
  <c r="G262" i="23" a="1"/>
  <c r="R67" i="23" a="1"/>
  <c r="N48" i="23" a="1"/>
  <c r="K69" i="23" a="1"/>
  <c r="A55" i="23" a="1"/>
  <c r="N19" i="23" a="1"/>
  <c r="L89" i="23" a="1"/>
  <c r="I141" i="23" a="1"/>
  <c r="P14" i="23" a="1"/>
  <c r="K5" i="19" a="1"/>
  <c r="I61" i="23" a="1"/>
  <c r="L5" i="23" a="1"/>
  <c r="M2" i="23" l="1"/>
  <c r="BR2" i="23" s="1"/>
  <c r="F4" i="23"/>
  <c r="F155" i="23" s="1"/>
  <c r="F306" i="23" s="1"/>
  <c r="F2" i="10"/>
  <c r="R3" i="23"/>
  <c r="A19" i="23"/>
  <c r="H5" i="23"/>
  <c r="P19" i="23"/>
  <c r="Q22" i="23"/>
  <c r="J24" i="23"/>
  <c r="K41" i="23"/>
  <c r="R127" i="23"/>
  <c r="G6" i="23"/>
  <c r="A7" i="23"/>
  <c r="K24" i="23"/>
  <c r="G42" i="23"/>
  <c r="E78" i="23"/>
  <c r="R5" i="23"/>
  <c r="E18" i="23"/>
  <c r="K34" i="23"/>
  <c r="G38" i="23"/>
  <c r="I52" i="23"/>
  <c r="H6" i="23"/>
  <c r="A8" i="23"/>
  <c r="E17" i="23"/>
  <c r="R19" i="23"/>
  <c r="L24" i="23"/>
  <c r="H42" i="23"/>
  <c r="I78" i="23"/>
  <c r="I6" i="23"/>
  <c r="E7" i="23"/>
  <c r="F18" i="23"/>
  <c r="F169" i="23" s="1"/>
  <c r="F320" i="23" s="1"/>
  <c r="A21" i="23"/>
  <c r="H38" i="23"/>
  <c r="H4" i="23"/>
  <c r="N22" i="23"/>
  <c r="L29" i="23"/>
  <c r="E37" i="23"/>
  <c r="H7" i="23"/>
  <c r="F17" i="23"/>
  <c r="F168" i="23" s="1"/>
  <c r="F319" i="23" s="1"/>
  <c r="I26" i="23"/>
  <c r="Q7" i="23"/>
  <c r="H10" i="23"/>
  <c r="E13" i="23"/>
  <c r="E15" i="23"/>
  <c r="L21" i="23"/>
  <c r="F65" i="23"/>
  <c r="F216" i="23" s="1"/>
  <c r="F367" i="23" s="1"/>
  <c r="G32" i="23"/>
  <c r="P24" i="23"/>
  <c r="R7" i="23"/>
  <c r="H8" i="23"/>
  <c r="I9" i="23"/>
  <c r="G15" i="23"/>
  <c r="O21" i="23"/>
  <c r="Q28" i="23"/>
  <c r="K35" i="23"/>
  <c r="O19" i="23"/>
  <c r="I10" i="23"/>
  <c r="I11" i="23"/>
  <c r="F13" i="23"/>
  <c r="F164" i="23" s="1"/>
  <c r="F315" i="23" s="1"/>
  <c r="O16" i="23"/>
  <c r="E2" i="23"/>
  <c r="A3" i="23"/>
  <c r="J9" i="23"/>
  <c r="A12" i="23"/>
  <c r="H15" i="23"/>
  <c r="O55" i="23"/>
  <c r="J26" i="23"/>
  <c r="F9" i="23"/>
  <c r="F160" i="23" s="1"/>
  <c r="F311" i="23" s="1"/>
  <c r="J11" i="23"/>
  <c r="H13" i="23"/>
  <c r="Q16" i="23"/>
  <c r="P67" i="23"/>
  <c r="G17" i="23"/>
  <c r="I2" i="23"/>
  <c r="L10" i="23"/>
  <c r="N14" i="23"/>
  <c r="R16" i="23"/>
  <c r="A24" i="23"/>
  <c r="A4" i="23"/>
  <c r="K11" i="23"/>
  <c r="O12" i="23"/>
  <c r="J13" i="23"/>
  <c r="A20" i="23"/>
  <c r="J44" i="23"/>
  <c r="CD44" i="23" s="1"/>
  <c r="Q67" i="23"/>
  <c r="K21" i="23"/>
  <c r="E1" i="5"/>
  <c r="J2" i="23"/>
  <c r="M10" i="23"/>
  <c r="BR10" i="23" s="1"/>
  <c r="O11" i="23"/>
  <c r="P14" i="23"/>
  <c r="K49" i="23"/>
  <c r="R27" i="23"/>
  <c r="I47" i="23"/>
  <c r="K3" i="19"/>
  <c r="F3" i="23"/>
  <c r="F154" i="23" s="1"/>
  <c r="F305" i="23" s="1"/>
  <c r="A5" i="23"/>
  <c r="P12" i="23"/>
  <c r="P25" i="23"/>
  <c r="G50" i="23"/>
  <c r="J41" i="23"/>
  <c r="CD41" i="23" s="1"/>
  <c r="R2" i="23"/>
  <c r="E4" i="23"/>
  <c r="P11" i="23"/>
  <c r="Q14" i="23"/>
  <c r="K27" i="23"/>
  <c r="G31" i="23"/>
  <c r="R50" i="23"/>
  <c r="P109" i="23"/>
  <c r="AK4" i="22"/>
  <c r="G3" i="23"/>
  <c r="Q25" i="23"/>
  <c r="H58" i="23"/>
  <c r="F71" i="23"/>
  <c r="F222" i="23" s="1"/>
  <c r="F373" i="23" s="1"/>
  <c r="G5" i="23"/>
  <c r="R4" i="23"/>
  <c r="A6" i="23"/>
  <c r="O24" i="23"/>
  <c r="H47" i="23"/>
  <c r="L38" i="23"/>
  <c r="I62" i="23"/>
  <c r="I7" i="23"/>
  <c r="E9" i="23"/>
  <c r="F63" i="23"/>
  <c r="F214" i="23" s="1"/>
  <c r="F365" i="23" s="1"/>
  <c r="G8" i="23"/>
  <c r="I17" i="23"/>
  <c r="H63" i="23"/>
  <c r="G1" i="5"/>
  <c r="Q3" i="23"/>
  <c r="G4" i="23"/>
  <c r="A29" i="23"/>
  <c r="I58" i="23"/>
  <c r="H71" i="23"/>
  <c r="K4" i="19"/>
  <c r="E5" i="23"/>
  <c r="O27" i="23"/>
  <c r="I41" i="23"/>
  <c r="R25" i="23"/>
  <c r="J29" i="23"/>
  <c r="E32" i="23"/>
  <c r="I38" i="23"/>
  <c r="I42" i="23"/>
  <c r="J58" i="23"/>
  <c r="CD58" i="23" s="1"/>
  <c r="E80" i="23"/>
  <c r="I1" i="5"/>
  <c r="AK6" i="22"/>
  <c r="F6" i="23"/>
  <c r="F157" i="23" s="1"/>
  <c r="F308" i="23" s="1"/>
  <c r="H9" i="23"/>
  <c r="J10" i="23"/>
  <c r="N11" i="23"/>
  <c r="Q12" i="23"/>
  <c r="G13" i="23"/>
  <c r="O14" i="23"/>
  <c r="F15" i="23"/>
  <c r="F166" i="23" s="1"/>
  <c r="F317" i="23" s="1"/>
  <c r="P16" i="23"/>
  <c r="A18" i="23"/>
  <c r="J21" i="23"/>
  <c r="A26" i="23"/>
  <c r="N27" i="23"/>
  <c r="P31" i="23"/>
  <c r="G47" i="23"/>
  <c r="E62" i="23"/>
  <c r="F2" i="23"/>
  <c r="E3" i="23"/>
  <c r="E8" i="23"/>
  <c r="H17" i="23"/>
  <c r="R22" i="23"/>
  <c r="K29" i="23"/>
  <c r="F32" i="23"/>
  <c r="F183" i="23" s="1"/>
  <c r="F334" i="23" s="1"/>
  <c r="K38" i="23"/>
  <c r="Q55" i="23"/>
  <c r="I5" i="23"/>
  <c r="K23" i="23"/>
  <c r="O29" i="23"/>
  <c r="F37" i="23"/>
  <c r="F188" i="23" s="1"/>
  <c r="F339" i="23" s="1"/>
  <c r="I53" i="23"/>
  <c r="K2" i="23"/>
  <c r="J3" i="23"/>
  <c r="I4" i="23"/>
  <c r="J6" i="23"/>
  <c r="J7" i="23"/>
  <c r="K8" i="23"/>
  <c r="N10" i="23"/>
  <c r="R11" i="23"/>
  <c r="K15" i="23"/>
  <c r="A16" i="23"/>
  <c r="M17" i="23"/>
  <c r="BR17" i="23" s="1"/>
  <c r="G18" i="23"/>
  <c r="P21" i="23"/>
  <c r="Q24" i="23"/>
  <c r="L26" i="23"/>
  <c r="L32" i="23"/>
  <c r="L41" i="23"/>
  <c r="L49" i="23"/>
  <c r="J53" i="23"/>
  <c r="CD53" i="23" s="1"/>
  <c r="E74" i="23"/>
  <c r="K9" i="23"/>
  <c r="K13" i="23"/>
  <c r="R14" i="23"/>
  <c r="I15" i="23"/>
  <c r="K26" i="23"/>
  <c r="K44" i="23"/>
  <c r="I63" i="23"/>
  <c r="L2" i="23"/>
  <c r="J5" i="23"/>
  <c r="L9" i="23"/>
  <c r="G12" i="23"/>
  <c r="O13" i="23"/>
  <c r="A14" i="23"/>
  <c r="J20" i="23"/>
  <c r="L23" i="23"/>
  <c r="O26" i="23"/>
  <c r="P29" i="23"/>
  <c r="A30" i="23"/>
  <c r="M44" i="23"/>
  <c r="BR44" i="23" s="1"/>
  <c r="M49" i="23"/>
  <c r="BR49" i="23" s="1"/>
  <c r="J51" i="23"/>
  <c r="CD51" i="23" s="1"/>
  <c r="J63" i="23"/>
  <c r="CD63" i="23" s="1"/>
  <c r="K3" i="23"/>
  <c r="J4" i="23"/>
  <c r="K6" i="23"/>
  <c r="L8" i="23"/>
  <c r="O10" i="23"/>
  <c r="A11" i="23"/>
  <c r="L15" i="23"/>
  <c r="N17" i="23"/>
  <c r="E19" i="23"/>
  <c r="Q21" i="23"/>
  <c r="J28" i="23"/>
  <c r="M32" i="23"/>
  <c r="BR32" i="23" s="1"/>
  <c r="F40" i="23"/>
  <c r="F191" i="23" s="1"/>
  <c r="F342" i="23" s="1"/>
  <c r="M51" i="23"/>
  <c r="BR51" i="23" s="1"/>
  <c r="G74" i="23"/>
  <c r="K5" i="23"/>
  <c r="L7" i="23"/>
  <c r="M9" i="23"/>
  <c r="BR9" i="23" s="1"/>
  <c r="I12" i="23"/>
  <c r="P13" i="23"/>
  <c r="I18" i="23"/>
  <c r="M20" i="23"/>
  <c r="BR20" i="23" s="1"/>
  <c r="R21" i="23"/>
  <c r="M23" i="23"/>
  <c r="BR23" i="23" s="1"/>
  <c r="A25" i="23"/>
  <c r="P26" i="23"/>
  <c r="K28" i="23"/>
  <c r="N32" i="23"/>
  <c r="G40" i="23"/>
  <c r="K5" i="19"/>
  <c r="L3" i="23"/>
  <c r="M4" i="23"/>
  <c r="BR4" i="23" s="1"/>
  <c r="L6" i="23"/>
  <c r="M8" i="23"/>
  <c r="BR8" i="23" s="1"/>
  <c r="P10" i="23"/>
  <c r="P15" i="23"/>
  <c r="E16" i="23"/>
  <c r="R17" i="23"/>
  <c r="F19" i="23"/>
  <c r="F170" i="23" s="1"/>
  <c r="F321" i="23" s="1"/>
  <c r="N23" i="23"/>
  <c r="J30" i="23"/>
  <c r="I36" i="23"/>
  <c r="J46" i="23"/>
  <c r="CD46" i="23" s="1"/>
  <c r="O51" i="23"/>
  <c r="N2" i="23"/>
  <c r="M3" i="23"/>
  <c r="BR3" i="23" s="1"/>
  <c r="L5" i="23"/>
  <c r="M7" i="23"/>
  <c r="BR7" i="23" s="1"/>
  <c r="P9" i="23"/>
  <c r="J12" i="23"/>
  <c r="Q13" i="23"/>
  <c r="L18" i="23"/>
  <c r="G19" i="23"/>
  <c r="N20" i="23"/>
  <c r="I25" i="23"/>
  <c r="Q26" i="23"/>
  <c r="L28" i="23"/>
  <c r="K33" i="23"/>
  <c r="H40" i="23"/>
  <c r="M60" i="23"/>
  <c r="BR60" i="23" s="1"/>
  <c r="N4" i="23"/>
  <c r="M6" i="23"/>
  <c r="BR6" i="23" s="1"/>
  <c r="Q10" i="23"/>
  <c r="E11" i="23"/>
  <c r="E14" i="23"/>
  <c r="Q15" i="23"/>
  <c r="F16" i="23"/>
  <c r="F167" i="23" s="1"/>
  <c r="F318" i="23" s="1"/>
  <c r="O23" i="23"/>
  <c r="M28" i="23"/>
  <c r="BR28" i="23" s="1"/>
  <c r="A34" i="23"/>
  <c r="E35" i="23"/>
  <c r="J36" i="23"/>
  <c r="CD36" i="23" s="1"/>
  <c r="I40" i="23"/>
  <c r="M43" i="23"/>
  <c r="BR43" i="23" s="1"/>
  <c r="G100" i="23"/>
  <c r="O2" i="23"/>
  <c r="N3" i="23"/>
  <c r="O5" i="23"/>
  <c r="N7" i="23"/>
  <c r="O8" i="23"/>
  <c r="Q9" i="23"/>
  <c r="H14" i="23"/>
  <c r="I16" i="23"/>
  <c r="P18" i="23"/>
  <c r="H19" i="23"/>
  <c r="J22" i="23"/>
  <c r="N28" i="23"/>
  <c r="O30" i="23"/>
  <c r="L33" i="23"/>
  <c r="O4" i="23"/>
  <c r="N6" i="23"/>
  <c r="A10" i="23"/>
  <c r="F11" i="23"/>
  <c r="F162" i="23" s="1"/>
  <c r="F313" i="23" s="1"/>
  <c r="R15" i="23"/>
  <c r="P23" i="23"/>
  <c r="M25" i="23"/>
  <c r="BR25" i="23" s="1"/>
  <c r="F35" i="23"/>
  <c r="F186" i="23" s="1"/>
  <c r="F337" i="23" s="1"/>
  <c r="L57" i="23"/>
  <c r="O60" i="23"/>
  <c r="A1" i="5"/>
  <c r="P2" i="23"/>
  <c r="P5" i="23"/>
  <c r="O7" i="23"/>
  <c r="P8" i="23"/>
  <c r="A9" i="23"/>
  <c r="R9" i="23"/>
  <c r="M12" i="23"/>
  <c r="BR12" i="23" s="1"/>
  <c r="A13" i="23"/>
  <c r="J14" i="23"/>
  <c r="K16" i="23"/>
  <c r="Q18" i="23"/>
  <c r="Q20" i="23"/>
  <c r="K22" i="23"/>
  <c r="O28" i="23"/>
  <c r="P30" i="23"/>
  <c r="M33" i="23"/>
  <c r="BR33" i="23" s="1"/>
  <c r="O43" i="23"/>
  <c r="Q48" i="23"/>
  <c r="Q54" i="23"/>
  <c r="A65" i="23"/>
  <c r="P86" i="23"/>
  <c r="P100" i="23"/>
  <c r="K2" i="19"/>
  <c r="K6" i="19"/>
  <c r="P3" i="23"/>
  <c r="Q4" i="23"/>
  <c r="Q5" i="23"/>
  <c r="O6" i="23"/>
  <c r="G11" i="23"/>
  <c r="N19" i="23"/>
  <c r="Q23" i="23"/>
  <c r="Q30" i="23"/>
  <c r="N33" i="23"/>
  <c r="G34" i="23"/>
  <c r="H35" i="23"/>
  <c r="E50" i="23"/>
  <c r="M57" i="23"/>
  <c r="BR57" i="23" s="1"/>
  <c r="E65" i="23"/>
  <c r="H77" i="23"/>
  <c r="C1" i="5"/>
  <c r="A2" i="23"/>
  <c r="Q2" i="23"/>
  <c r="R6" i="23"/>
  <c r="P7" i="23"/>
  <c r="Q8" i="23"/>
  <c r="N12" i="23"/>
  <c r="K14" i="23"/>
  <c r="A15" i="23"/>
  <c r="L16" i="23"/>
  <c r="R18" i="23"/>
  <c r="R20" i="23"/>
  <c r="L22" i="23"/>
  <c r="O25" i="23"/>
  <c r="J27" i="23"/>
  <c r="P28" i="23"/>
  <c r="R30" i="23"/>
  <c r="F31" i="23"/>
  <c r="F182" i="23" s="1"/>
  <c r="F333" i="23" s="1"/>
  <c r="R33" i="23"/>
  <c r="J34" i="23"/>
  <c r="CD34" i="23" s="1"/>
  <c r="F50" i="23"/>
  <c r="F201" i="23" s="1"/>
  <c r="F352" i="23" s="1"/>
  <c r="P57" i="23"/>
  <c r="P61" i="23"/>
  <c r="R86" i="23"/>
  <c r="F5" i="23"/>
  <c r="F156" i="23" s="1"/>
  <c r="F307" i="23" s="1"/>
  <c r="K7" i="23"/>
  <c r="N8" i="23"/>
  <c r="K10" i="23"/>
  <c r="Q11" i="23"/>
  <c r="K12" i="23"/>
  <c r="R13" i="23"/>
  <c r="L14" i="23"/>
  <c r="M16" i="23"/>
  <c r="BR16" i="23" s="1"/>
  <c r="Q19" i="23"/>
  <c r="O20" i="23"/>
  <c r="M22" i="23"/>
  <c r="BR22" i="23" s="1"/>
  <c r="N24" i="23"/>
  <c r="N25" i="23"/>
  <c r="M27" i="23"/>
  <c r="BR27" i="23" s="1"/>
  <c r="N29" i="23"/>
  <c r="H32" i="23"/>
  <c r="G35" i="23"/>
  <c r="M41" i="23"/>
  <c r="BR41" i="23" s="1"/>
  <c r="P43" i="23"/>
  <c r="N49" i="23"/>
  <c r="H50" i="23"/>
  <c r="I54" i="23"/>
  <c r="L58" i="23"/>
  <c r="I86" i="23"/>
  <c r="Q29" i="23"/>
  <c r="H31" i="23"/>
  <c r="L34" i="23"/>
  <c r="L35" i="23"/>
  <c r="J40" i="23"/>
  <c r="CD40" i="23" s="1"/>
  <c r="L52" i="23"/>
  <c r="L53" i="23"/>
  <c r="P60" i="23"/>
  <c r="J71" i="23"/>
  <c r="CD71" i="23" s="1"/>
  <c r="J78" i="23"/>
  <c r="CD78" i="23" s="1"/>
  <c r="E87" i="23"/>
  <c r="K42" i="23"/>
  <c r="M52" i="23"/>
  <c r="BR52" i="23" s="1"/>
  <c r="R57" i="23"/>
  <c r="K62" i="23"/>
  <c r="A64" i="23"/>
  <c r="G66" i="23"/>
  <c r="L17" i="23"/>
  <c r="H18" i="23"/>
  <c r="E20" i="23"/>
  <c r="A23" i="23"/>
  <c r="R24" i="23"/>
  <c r="A28" i="23"/>
  <c r="R29" i="23"/>
  <c r="E30" i="23"/>
  <c r="O32" i="23"/>
  <c r="I37" i="23"/>
  <c r="E39" i="23"/>
  <c r="M40" i="23"/>
  <c r="BR40" i="23" s="1"/>
  <c r="Q44" i="23"/>
  <c r="M47" i="23"/>
  <c r="BR47" i="23" s="1"/>
  <c r="R51" i="23"/>
  <c r="Q52" i="23"/>
  <c r="M78" i="23"/>
  <c r="BR78" i="23" s="1"/>
  <c r="H87" i="23"/>
  <c r="A27" i="23"/>
  <c r="J31" i="23"/>
  <c r="CD31" i="23" s="1"/>
  <c r="N34" i="23"/>
  <c r="L42" i="23"/>
  <c r="L62" i="23"/>
  <c r="E72" i="23"/>
  <c r="K146" i="23"/>
  <c r="F20" i="23"/>
  <c r="F171" i="23" s="1"/>
  <c r="F322" i="23" s="1"/>
  <c r="E22" i="23"/>
  <c r="E27" i="23"/>
  <c r="F30" i="23"/>
  <c r="F181" i="23" s="1"/>
  <c r="F332" i="23" s="1"/>
  <c r="Q32" i="23"/>
  <c r="F33" i="23"/>
  <c r="F184" i="23" s="1"/>
  <c r="F335" i="23" s="1"/>
  <c r="J37" i="23"/>
  <c r="CD37" i="23" s="1"/>
  <c r="F39" i="23"/>
  <c r="F190" i="23" s="1"/>
  <c r="F341" i="23" s="1"/>
  <c r="N40" i="23"/>
  <c r="R44" i="23"/>
  <c r="E45" i="23"/>
  <c r="O47" i="23"/>
  <c r="R52" i="23"/>
  <c r="O62" i="23"/>
  <c r="F64" i="23"/>
  <c r="F215" i="23" s="1"/>
  <c r="F366" i="23" s="1"/>
  <c r="E75" i="23"/>
  <c r="M104" i="23"/>
  <c r="BR104" i="23" s="1"/>
  <c r="R120" i="23"/>
  <c r="E25" i="23"/>
  <c r="E26" i="23"/>
  <c r="K31" i="23"/>
  <c r="O34" i="23"/>
  <c r="M42" i="23"/>
  <c r="BR42" i="23" s="1"/>
  <c r="A48" i="23"/>
  <c r="F72" i="23"/>
  <c r="F223" i="23" s="1"/>
  <c r="F374" i="23" s="1"/>
  <c r="N104" i="23"/>
  <c r="G20" i="23"/>
  <c r="F21" i="23"/>
  <c r="F172" i="23" s="1"/>
  <c r="F323" i="23" s="1"/>
  <c r="F22" i="23"/>
  <c r="F173" i="23" s="1"/>
  <c r="F324" i="23" s="1"/>
  <c r="E24" i="23"/>
  <c r="F26" i="23"/>
  <c r="F177" i="23" s="1"/>
  <c r="F328" i="23" s="1"/>
  <c r="F27" i="23"/>
  <c r="F178" i="23" s="1"/>
  <c r="F329" i="23" s="1"/>
  <c r="E29" i="23"/>
  <c r="G30" i="23"/>
  <c r="R32" i="23"/>
  <c r="G33" i="23"/>
  <c r="E36" i="23"/>
  <c r="K37" i="23"/>
  <c r="G39" i="23"/>
  <c r="N42" i="23"/>
  <c r="Q47" i="23"/>
  <c r="F56" i="23"/>
  <c r="F207" i="23" s="1"/>
  <c r="F358" i="23" s="1"/>
  <c r="R69" i="23"/>
  <c r="G72" i="23"/>
  <c r="R12" i="23"/>
  <c r="L13" i="23"/>
  <c r="M15" i="23"/>
  <c r="BR15" i="23" s="1"/>
  <c r="O17" i="23"/>
  <c r="I19" i="23"/>
  <c r="G23" i="23"/>
  <c r="F25" i="23"/>
  <c r="F176" i="23" s="1"/>
  <c r="F327" i="23" s="1"/>
  <c r="E28" i="23"/>
  <c r="L31" i="23"/>
  <c r="P34" i="23"/>
  <c r="J39" i="23"/>
  <c r="CD39" i="23" s="1"/>
  <c r="F41" i="23"/>
  <c r="F192" i="23" s="1"/>
  <c r="F343" i="23" s="1"/>
  <c r="F43" i="23"/>
  <c r="F194" i="23" s="1"/>
  <c r="F345" i="23" s="1"/>
  <c r="N48" i="23"/>
  <c r="F49" i="23"/>
  <c r="F200" i="23" s="1"/>
  <c r="F351" i="23" s="1"/>
  <c r="M5" i="23"/>
  <c r="BR5" i="23" s="1"/>
  <c r="F7" i="23"/>
  <c r="F158" i="23" s="1"/>
  <c r="F309" i="23" s="1"/>
  <c r="I8" i="23"/>
  <c r="E10" i="23"/>
  <c r="R10" i="23"/>
  <c r="L11" i="23"/>
  <c r="E12" i="23"/>
  <c r="M13" i="23"/>
  <c r="BR13" i="23" s="1"/>
  <c r="F14" i="23"/>
  <c r="F165" i="23" s="1"/>
  <c r="F316" i="23" s="1"/>
  <c r="N15" i="23"/>
  <c r="G16" i="23"/>
  <c r="M18" i="23"/>
  <c r="BR18" i="23" s="1"/>
  <c r="H20" i="23"/>
  <c r="G21" i="23"/>
  <c r="G22" i="23"/>
  <c r="F24" i="23"/>
  <c r="F175" i="23" s="1"/>
  <c r="F326" i="23" s="1"/>
  <c r="G26" i="23"/>
  <c r="G27" i="23"/>
  <c r="F29" i="23"/>
  <c r="F180" i="23" s="1"/>
  <c r="F331" i="23" s="1"/>
  <c r="H30" i="23"/>
  <c r="F36" i="23"/>
  <c r="F187" i="23" s="1"/>
  <c r="F338" i="23" s="1"/>
  <c r="G43" i="23"/>
  <c r="P45" i="23"/>
  <c r="G121" i="23"/>
  <c r="G2" i="23"/>
  <c r="H3" i="23"/>
  <c r="K4" i="23"/>
  <c r="P6" i="23"/>
  <c r="N9" i="23"/>
  <c r="P17" i="23"/>
  <c r="J19" i="23"/>
  <c r="H22" i="23"/>
  <c r="H23" i="23"/>
  <c r="G25" i="23"/>
  <c r="H28" i="23"/>
  <c r="M31" i="23"/>
  <c r="BR31" i="23" s="1"/>
  <c r="A32" i="23"/>
  <c r="I33" i="23"/>
  <c r="K39" i="23"/>
  <c r="E46" i="23"/>
  <c r="O48" i="23"/>
  <c r="E55" i="23"/>
  <c r="K61" i="23"/>
  <c r="N5" i="23"/>
  <c r="G7" i="23"/>
  <c r="J8" i="23"/>
  <c r="F10" i="23"/>
  <c r="F161" i="23" s="1"/>
  <c r="F312" i="23" s="1"/>
  <c r="M11" i="23"/>
  <c r="BR11" i="23" s="1"/>
  <c r="F12" i="23"/>
  <c r="F163" i="23" s="1"/>
  <c r="F314" i="23" s="1"/>
  <c r="N13" i="23"/>
  <c r="G14" i="23"/>
  <c r="O15" i="23"/>
  <c r="H16" i="23"/>
  <c r="N18" i="23"/>
  <c r="I20" i="23"/>
  <c r="H21" i="23"/>
  <c r="G24" i="23"/>
  <c r="H26" i="23"/>
  <c r="G29" i="23"/>
  <c r="I30" i="23"/>
  <c r="H41" i="23"/>
  <c r="H43" i="23"/>
  <c r="P48" i="23"/>
  <c r="E63" i="23"/>
  <c r="I126" i="23"/>
  <c r="H2" i="23"/>
  <c r="I3" i="23"/>
  <c r="L4" i="23"/>
  <c r="O9" i="23"/>
  <c r="Q17" i="23"/>
  <c r="M19" i="23"/>
  <c r="BR19" i="23" s="1"/>
  <c r="I22" i="23"/>
  <c r="I23" i="23"/>
  <c r="H25" i="23"/>
  <c r="I27" i="23"/>
  <c r="I28" i="23"/>
  <c r="O31" i="23"/>
  <c r="J33" i="23"/>
  <c r="CD33" i="23" s="1"/>
  <c r="H36" i="23"/>
  <c r="L39" i="23"/>
  <c r="K43" i="23"/>
  <c r="R45" i="23"/>
  <c r="F46" i="23"/>
  <c r="F197" i="23" s="1"/>
  <c r="F348" i="23" s="1"/>
  <c r="I49" i="23"/>
  <c r="F55" i="23"/>
  <c r="F206" i="23" s="1"/>
  <c r="F357" i="23" s="1"/>
  <c r="F58" i="23"/>
  <c r="F209" i="23" s="1"/>
  <c r="F360" i="23" s="1"/>
  <c r="M61" i="23"/>
  <c r="BR61" i="23" s="1"/>
  <c r="I84" i="23"/>
  <c r="L12" i="23"/>
  <c r="M14" i="23"/>
  <c r="BR14" i="23" s="1"/>
  <c r="N16" i="23"/>
  <c r="A17" i="23"/>
  <c r="O18" i="23"/>
  <c r="P20" i="23"/>
  <c r="E21" i="23"/>
  <c r="M24" i="23"/>
  <c r="BR24" i="23" s="1"/>
  <c r="R26" i="23"/>
  <c r="H27" i="23"/>
  <c r="I31" i="23"/>
  <c r="H33" i="23"/>
  <c r="M34" i="23"/>
  <c r="BR34" i="23" s="1"/>
  <c r="G36" i="23"/>
  <c r="H37" i="23"/>
  <c r="L43" i="23"/>
  <c r="N44" i="23"/>
  <c r="A45" i="23"/>
  <c r="G46" i="23"/>
  <c r="L47" i="23"/>
  <c r="R48" i="23"/>
  <c r="J49" i="23"/>
  <c r="CD49" i="23" s="1"/>
  <c r="A50" i="23"/>
  <c r="P51" i="23"/>
  <c r="Q57" i="23"/>
  <c r="G58" i="23"/>
  <c r="Q60" i="23"/>
  <c r="N61" i="23"/>
  <c r="K68" i="23"/>
  <c r="N78" i="23"/>
  <c r="G80" i="23"/>
  <c r="H82" i="23"/>
  <c r="N84" i="23"/>
  <c r="R128" i="23"/>
  <c r="F45" i="23"/>
  <c r="F196" i="23" s="1"/>
  <c r="F347" i="23" s="1"/>
  <c r="K46" i="23"/>
  <c r="Q62" i="23"/>
  <c r="K63" i="23"/>
  <c r="H65" i="23"/>
  <c r="K66" i="23"/>
  <c r="R67" i="23"/>
  <c r="N96" i="23"/>
  <c r="N121" i="23"/>
  <c r="N66" i="23"/>
  <c r="M74" i="23"/>
  <c r="BR74" i="23" s="1"/>
  <c r="Q96" i="23"/>
  <c r="N113" i="23"/>
  <c r="N132" i="23"/>
  <c r="Q34" i="23"/>
  <c r="M35" i="23"/>
  <c r="BR35" i="23" s="1"/>
  <c r="G45" i="23"/>
  <c r="L46" i="23"/>
  <c r="R49" i="23"/>
  <c r="A51" i="23"/>
  <c r="N63" i="23"/>
  <c r="K64" i="23"/>
  <c r="I65" i="23"/>
  <c r="Q71" i="23"/>
  <c r="R77" i="23"/>
  <c r="H79" i="23"/>
  <c r="N85" i="23"/>
  <c r="E90" i="23"/>
  <c r="R96" i="23"/>
  <c r="H101" i="23"/>
  <c r="K106" i="23"/>
  <c r="N35" i="23"/>
  <c r="N36" i="23"/>
  <c r="M37" i="23"/>
  <c r="BR37" i="23" s="1"/>
  <c r="N38" i="23"/>
  <c r="O39" i="23"/>
  <c r="O42" i="23"/>
  <c r="Q43" i="23"/>
  <c r="R47" i="23"/>
  <c r="I50" i="23"/>
  <c r="J54" i="23"/>
  <c r="CD54" i="23" s="1"/>
  <c r="E59" i="23"/>
  <c r="L64" i="23"/>
  <c r="J65" i="23"/>
  <c r="CD65" i="23" s="1"/>
  <c r="O74" i="23"/>
  <c r="F90" i="23"/>
  <c r="F241" i="23" s="1"/>
  <c r="F392" i="23" s="1"/>
  <c r="E34" i="23"/>
  <c r="P40" i="23"/>
  <c r="Q41" i="23"/>
  <c r="E44" i="23"/>
  <c r="H45" i="23"/>
  <c r="M46" i="23"/>
  <c r="BR46" i="23" s="1"/>
  <c r="I48" i="23"/>
  <c r="F59" i="23"/>
  <c r="F210" i="23" s="1"/>
  <c r="F361" i="23" s="1"/>
  <c r="E70" i="23"/>
  <c r="I79" i="23"/>
  <c r="F81" i="23"/>
  <c r="F232" i="23" s="1"/>
  <c r="F383" i="23" s="1"/>
  <c r="H83" i="23"/>
  <c r="K101" i="23"/>
  <c r="O106" i="23"/>
  <c r="O35" i="23"/>
  <c r="O36" i="23"/>
  <c r="N37" i="23"/>
  <c r="O38" i="23"/>
  <c r="P39" i="23"/>
  <c r="Q40" i="23"/>
  <c r="P42" i="23"/>
  <c r="A43" i="23"/>
  <c r="R43" i="23"/>
  <c r="N46" i="23"/>
  <c r="J48" i="23"/>
  <c r="CD48" i="23" s="1"/>
  <c r="J50" i="23"/>
  <c r="CD50" i="23" s="1"/>
  <c r="L54" i="23"/>
  <c r="I56" i="23"/>
  <c r="G59" i="23"/>
  <c r="L65" i="23"/>
  <c r="J79" i="23"/>
  <c r="CD79" i="23" s="1"/>
  <c r="H81" i="23"/>
  <c r="I83" i="23"/>
  <c r="P85" i="23"/>
  <c r="I90" i="23"/>
  <c r="R41" i="23"/>
  <c r="F44" i="23"/>
  <c r="F195" i="23" s="1"/>
  <c r="F346" i="23" s="1"/>
  <c r="K45" i="23"/>
  <c r="N59" i="23"/>
  <c r="N65" i="23"/>
  <c r="G70" i="23"/>
  <c r="K81" i="23"/>
  <c r="M83" i="23"/>
  <c r="BR83" i="23" s="1"/>
  <c r="Q85" i="23"/>
  <c r="R90" i="23"/>
  <c r="G134" i="23"/>
  <c r="K30" i="23"/>
  <c r="I32" i="23"/>
  <c r="P35" i="23"/>
  <c r="P36" i="23"/>
  <c r="Q37" i="23"/>
  <c r="P38" i="23"/>
  <c r="Q39" i="23"/>
  <c r="R40" i="23"/>
  <c r="G44" i="23"/>
  <c r="O46" i="23"/>
  <c r="K48" i="23"/>
  <c r="L50" i="23"/>
  <c r="E51" i="23"/>
  <c r="E53" i="23"/>
  <c r="N54" i="23"/>
  <c r="J56" i="23"/>
  <c r="CD56" i="23" s="1"/>
  <c r="K73" i="23"/>
  <c r="A91" i="23"/>
  <c r="F116" i="23"/>
  <c r="F267" i="23" s="1"/>
  <c r="F418" i="23" s="1"/>
  <c r="J138" i="23"/>
  <c r="CD138" i="23" s="1"/>
  <c r="J18" i="23"/>
  <c r="K20" i="23"/>
  <c r="A22" i="23"/>
  <c r="O22" i="23"/>
  <c r="E23" i="23"/>
  <c r="J25" i="23"/>
  <c r="M26" i="23"/>
  <c r="BR26" i="23" s="1"/>
  <c r="R28" i="23"/>
  <c r="H29" i="23"/>
  <c r="Q31" i="23"/>
  <c r="O33" i="23"/>
  <c r="H34" i="23"/>
  <c r="A35" i="23"/>
  <c r="Q36" i="23"/>
  <c r="A39" i="23"/>
  <c r="A40" i="23"/>
  <c r="A42" i="23"/>
  <c r="L45" i="23"/>
  <c r="L48" i="23"/>
  <c r="O50" i="23"/>
  <c r="F51" i="23"/>
  <c r="F202" i="23" s="1"/>
  <c r="F353" i="23" s="1"/>
  <c r="O59" i="23"/>
  <c r="I60" i="23"/>
  <c r="G69" i="23"/>
  <c r="N73" i="23"/>
  <c r="O138" i="23"/>
  <c r="J17" i="23"/>
  <c r="K19" i="23"/>
  <c r="M21" i="23"/>
  <c r="BR21" i="23" s="1"/>
  <c r="R23" i="23"/>
  <c r="H24" i="23"/>
  <c r="P27" i="23"/>
  <c r="F28" i="23"/>
  <c r="F179" i="23" s="1"/>
  <c r="F330" i="23" s="1"/>
  <c r="L30" i="23"/>
  <c r="J32" i="23"/>
  <c r="CD32" i="23" s="1"/>
  <c r="A33" i="23"/>
  <c r="Q35" i="23"/>
  <c r="R37" i="23"/>
  <c r="Q38" i="23"/>
  <c r="R39" i="23"/>
  <c r="H44" i="23"/>
  <c r="E47" i="23"/>
  <c r="P50" i="23"/>
  <c r="F52" i="23"/>
  <c r="F203" i="23" s="1"/>
  <c r="F354" i="23" s="1"/>
  <c r="F53" i="23"/>
  <c r="F204" i="23" s="1"/>
  <c r="F355" i="23" s="1"/>
  <c r="L56" i="23"/>
  <c r="R59" i="23"/>
  <c r="R76" i="23"/>
  <c r="E86" i="23"/>
  <c r="F91" i="23"/>
  <c r="F242" i="23" s="1"/>
  <c r="F393" i="23" s="1"/>
  <c r="Q94" i="23"/>
  <c r="H116" i="23"/>
  <c r="O3" i="23"/>
  <c r="P4" i="23"/>
  <c r="E6" i="23"/>
  <c r="Q6" i="23"/>
  <c r="F8" i="23"/>
  <c r="F159" i="23" s="1"/>
  <c r="F310" i="23" s="1"/>
  <c r="R8" i="23"/>
  <c r="G10" i="23"/>
  <c r="H12" i="23"/>
  <c r="I14" i="23"/>
  <c r="J16" i="23"/>
  <c r="K18" i="23"/>
  <c r="L20" i="23"/>
  <c r="P22" i="23"/>
  <c r="F23" i="23"/>
  <c r="F174" i="23" s="1"/>
  <c r="F325" i="23" s="1"/>
  <c r="N26" i="23"/>
  <c r="I29" i="23"/>
  <c r="E31" i="23"/>
  <c r="R31" i="23"/>
  <c r="P33" i="23"/>
  <c r="I34" i="23"/>
  <c r="A36" i="23"/>
  <c r="R36" i="23"/>
  <c r="A38" i="23"/>
  <c r="E41" i="23"/>
  <c r="E43" i="23"/>
  <c r="N45" i="23"/>
  <c r="M48" i="23"/>
  <c r="BR48" i="23" s="1"/>
  <c r="E49" i="23"/>
  <c r="G53" i="23"/>
  <c r="P54" i="23"/>
  <c r="A55" i="23"/>
  <c r="F61" i="23"/>
  <c r="F212" i="23" s="1"/>
  <c r="F363" i="23" s="1"/>
  <c r="N69" i="23"/>
  <c r="G9" i="23"/>
  <c r="H11" i="23"/>
  <c r="I13" i="23"/>
  <c r="J15" i="23"/>
  <c r="K17" i="23"/>
  <c r="L19" i="23"/>
  <c r="N21" i="23"/>
  <c r="I24" i="23"/>
  <c r="L25" i="23"/>
  <c r="Q27" i="23"/>
  <c r="G28" i="23"/>
  <c r="M30" i="23"/>
  <c r="BR30" i="23" s="1"/>
  <c r="K32" i="23"/>
  <c r="R35" i="23"/>
  <c r="E40" i="23"/>
  <c r="I44" i="23"/>
  <c r="O45" i="23"/>
  <c r="F47" i="23"/>
  <c r="F198" i="23" s="1"/>
  <c r="F349" i="23" s="1"/>
  <c r="Q50" i="23"/>
  <c r="I51" i="23"/>
  <c r="G52" i="23"/>
  <c r="L60" i="23"/>
  <c r="F86" i="23"/>
  <c r="F237" i="23" s="1"/>
  <c r="F388" i="23" s="1"/>
  <c r="R94" i="23"/>
  <c r="O116" i="23"/>
  <c r="G37" i="23"/>
  <c r="J38" i="23"/>
  <c r="CD38" i="23" s="1"/>
  <c r="M39" i="23"/>
  <c r="BR39" i="23" s="1"/>
  <c r="G41" i="23"/>
  <c r="J42" i="23"/>
  <c r="CD42" i="23" s="1"/>
  <c r="N43" i="23"/>
  <c r="H46" i="23"/>
  <c r="P47" i="23"/>
  <c r="G49" i="23"/>
  <c r="Q51" i="23"/>
  <c r="E52" i="23"/>
  <c r="H53" i="23"/>
  <c r="M54" i="23"/>
  <c r="BR54" i="23" s="1"/>
  <c r="R55" i="23"/>
  <c r="H56" i="23"/>
  <c r="N60" i="23"/>
  <c r="J62" i="23"/>
  <c r="CD62" i="23" s="1"/>
  <c r="G65" i="23"/>
  <c r="L66" i="23"/>
  <c r="A68" i="23"/>
  <c r="P69" i="23"/>
  <c r="K74" i="23"/>
  <c r="Q77" i="23"/>
  <c r="H78" i="23"/>
  <c r="G86" i="23"/>
  <c r="A90" i="23"/>
  <c r="O91" i="23"/>
  <c r="K103" i="23"/>
  <c r="M113" i="23"/>
  <c r="BR113" i="23" s="1"/>
  <c r="I149" i="23"/>
  <c r="H75" i="23"/>
  <c r="I81" i="23"/>
  <c r="L83" i="23"/>
  <c r="F89" i="23"/>
  <c r="F240" i="23" s="1"/>
  <c r="F391" i="23" s="1"/>
  <c r="I107" i="23"/>
  <c r="F134" i="23"/>
  <c r="F285" i="23" s="1"/>
  <c r="E57" i="23"/>
  <c r="H59" i="23"/>
  <c r="M64" i="23"/>
  <c r="BR64" i="23" s="1"/>
  <c r="A67" i="23"/>
  <c r="J72" i="23"/>
  <c r="CD72" i="23" s="1"/>
  <c r="I75" i="23"/>
  <c r="O78" i="23"/>
  <c r="M79" i="23"/>
  <c r="BR79" i="23" s="1"/>
  <c r="L81" i="23"/>
  <c r="P83" i="23"/>
  <c r="R85" i="23"/>
  <c r="M107" i="23"/>
  <c r="BR107" i="23" s="1"/>
  <c r="H134" i="23"/>
  <c r="N53" i="23"/>
  <c r="A54" i="23"/>
  <c r="R54" i="23"/>
  <c r="G55" i="23"/>
  <c r="O56" i="23"/>
  <c r="R62" i="23"/>
  <c r="O63" i="23"/>
  <c r="O65" i="23"/>
  <c r="N68" i="23"/>
  <c r="H70" i="23"/>
  <c r="Q79" i="23"/>
  <c r="N81" i="23"/>
  <c r="O84" i="23"/>
  <c r="J89" i="23"/>
  <c r="CD89" i="23" s="1"/>
  <c r="L95" i="23"/>
  <c r="Q104" i="23"/>
  <c r="N134" i="23"/>
  <c r="O53" i="23"/>
  <c r="F57" i="23"/>
  <c r="F208" i="23" s="1"/>
  <c r="F359" i="23" s="1"/>
  <c r="R58" i="23"/>
  <c r="I59" i="23"/>
  <c r="N64" i="23"/>
  <c r="E67" i="23"/>
  <c r="K75" i="23"/>
  <c r="R83" i="23"/>
  <c r="A92" i="23"/>
  <c r="M95" i="23"/>
  <c r="BR95" i="23" s="1"/>
  <c r="R107" i="23"/>
  <c r="G115" i="23"/>
  <c r="P53" i="23"/>
  <c r="H55" i="23"/>
  <c r="J59" i="23"/>
  <c r="CD59" i="23" s="1"/>
  <c r="R65" i="23"/>
  <c r="O68" i="23"/>
  <c r="O72" i="23"/>
  <c r="N75" i="23"/>
  <c r="E76" i="23"/>
  <c r="P81" i="23"/>
  <c r="N97" i="23"/>
  <c r="M99" i="23"/>
  <c r="BR99" i="23" s="1"/>
  <c r="E60" i="23"/>
  <c r="Q63" i="23"/>
  <c r="F67" i="23"/>
  <c r="F218" i="23" s="1"/>
  <c r="F369" i="23" s="1"/>
  <c r="P70" i="23"/>
  <c r="P72" i="23"/>
  <c r="F73" i="23"/>
  <c r="F224" i="23" s="1"/>
  <c r="F375" i="23" s="1"/>
  <c r="R89" i="23"/>
  <c r="O99" i="23"/>
  <c r="A111" i="23"/>
  <c r="I115" i="23"/>
  <c r="Q53" i="23"/>
  <c r="I55" i="23"/>
  <c r="R56" i="23"/>
  <c r="H57" i="23"/>
  <c r="A58" i="23"/>
  <c r="K59" i="23"/>
  <c r="A66" i="23"/>
  <c r="G67" i="23"/>
  <c r="P68" i="23"/>
  <c r="P75" i="23"/>
  <c r="R81" i="23"/>
  <c r="F92" i="23"/>
  <c r="F243" i="23" s="1"/>
  <c r="F394" i="23" s="1"/>
  <c r="K111" i="23"/>
  <c r="J115" i="23"/>
  <c r="CD115" i="23" s="1"/>
  <c r="E38" i="23"/>
  <c r="H39" i="23"/>
  <c r="K40" i="23"/>
  <c r="N41" i="23"/>
  <c r="O44" i="23"/>
  <c r="A46" i="23"/>
  <c r="J47" i="23"/>
  <c r="CD47" i="23" s="1"/>
  <c r="O49" i="23"/>
  <c r="M50" i="23"/>
  <c r="BR50" i="23" s="1"/>
  <c r="K51" i="23"/>
  <c r="E54" i="23"/>
  <c r="I57" i="23"/>
  <c r="F60" i="23"/>
  <c r="F211" i="23" s="1"/>
  <c r="F362" i="23" s="1"/>
  <c r="R64" i="23"/>
  <c r="Q70" i="23"/>
  <c r="R72" i="23"/>
  <c r="G73" i="23"/>
  <c r="G76" i="23"/>
  <c r="H92" i="23"/>
  <c r="K115" i="23"/>
  <c r="L125" i="23"/>
  <c r="L36" i="23"/>
  <c r="A37" i="23"/>
  <c r="O37" i="23"/>
  <c r="R38" i="23"/>
  <c r="R42" i="23"/>
  <c r="I43" i="23"/>
  <c r="I45" i="23"/>
  <c r="Q46" i="23"/>
  <c r="F48" i="23"/>
  <c r="F199" i="23" s="1"/>
  <c r="F350" i="23" s="1"/>
  <c r="P49" i="23"/>
  <c r="O52" i="23"/>
  <c r="R53" i="23"/>
  <c r="J55" i="23"/>
  <c r="CD55" i="23" s="1"/>
  <c r="J57" i="23"/>
  <c r="CD57" i="23" s="1"/>
  <c r="A71" i="23"/>
  <c r="I73" i="23"/>
  <c r="O88" i="23"/>
  <c r="L120" i="23"/>
  <c r="I21" i="23"/>
  <c r="J23" i="23"/>
  <c r="K25" i="23"/>
  <c r="L27" i="23"/>
  <c r="M29" i="23"/>
  <c r="BR29" i="23" s="1"/>
  <c r="N31" i="23"/>
  <c r="E33" i="23"/>
  <c r="Q33" i="23"/>
  <c r="F34" i="23"/>
  <c r="F185" i="23" s="1"/>
  <c r="F336" i="23" s="1"/>
  <c r="R34" i="23"/>
  <c r="I35" i="23"/>
  <c r="F38" i="23"/>
  <c r="F189" i="23" s="1"/>
  <c r="F340" i="23" s="1"/>
  <c r="I39" i="23"/>
  <c r="L40" i="23"/>
  <c r="A41" i="23"/>
  <c r="O41" i="23"/>
  <c r="F42" i="23"/>
  <c r="F193" i="23" s="1"/>
  <c r="F344" i="23" s="1"/>
  <c r="A44" i="23"/>
  <c r="P44" i="23"/>
  <c r="K47" i="23"/>
  <c r="A49" i="23"/>
  <c r="Q49" i="23"/>
  <c r="N50" i="23"/>
  <c r="L51" i="23"/>
  <c r="P52" i="23"/>
  <c r="F54" i="23"/>
  <c r="F205" i="23" s="1"/>
  <c r="F356" i="23" s="1"/>
  <c r="K55" i="23"/>
  <c r="A56" i="23"/>
  <c r="M59" i="23"/>
  <c r="BR59" i="23" s="1"/>
  <c r="G60" i="23"/>
  <c r="E61" i="23"/>
  <c r="J73" i="23"/>
  <c r="CD73" i="23" s="1"/>
  <c r="Q88" i="23"/>
  <c r="E105" i="23"/>
  <c r="P125" i="23"/>
  <c r="N30" i="23"/>
  <c r="A31" i="23"/>
  <c r="P32" i="23"/>
  <c r="M36" i="23"/>
  <c r="BR36" i="23" s="1"/>
  <c r="P37" i="23"/>
  <c r="J43" i="23"/>
  <c r="CD43" i="23" s="1"/>
  <c r="J45" i="23"/>
  <c r="CD45" i="23" s="1"/>
  <c r="R46" i="23"/>
  <c r="G48" i="23"/>
  <c r="N55" i="23"/>
  <c r="E58" i="23"/>
  <c r="H60" i="23"/>
  <c r="E66" i="23"/>
  <c r="O67" i="23"/>
  <c r="J76" i="23"/>
  <c r="CD76" i="23" s="1"/>
  <c r="R88" i="23"/>
  <c r="R61" i="23"/>
  <c r="F62" i="23"/>
  <c r="F213" i="23" s="1"/>
  <c r="F364" i="23" s="1"/>
  <c r="M63" i="23"/>
  <c r="BR63" i="23" s="1"/>
  <c r="F66" i="23"/>
  <c r="F217" i="23" s="1"/>
  <c r="F368" i="23" s="1"/>
  <c r="R73" i="23"/>
  <c r="G84" i="23"/>
  <c r="Q86" i="23"/>
  <c r="O90" i="23"/>
  <c r="G91" i="23"/>
  <c r="R132" i="23"/>
  <c r="H150" i="23"/>
  <c r="G108" i="23"/>
  <c r="P116" i="23"/>
  <c r="F136" i="23"/>
  <c r="F287" i="23" s="1"/>
  <c r="M87" i="23"/>
  <c r="BR87" i="23" s="1"/>
  <c r="N91" i="23"/>
  <c r="G92" i="23"/>
  <c r="E93" i="23"/>
  <c r="P99" i="23"/>
  <c r="H105" i="23"/>
  <c r="H108" i="23"/>
  <c r="I108" i="23"/>
  <c r="M136" i="23"/>
  <c r="BR136" i="23" s="1"/>
  <c r="N87" i="23"/>
  <c r="P91" i="23"/>
  <c r="L93" i="23"/>
  <c r="R99" i="23"/>
  <c r="I105" i="23"/>
  <c r="E110" i="23"/>
  <c r="E124" i="23"/>
  <c r="A127" i="23"/>
  <c r="E130" i="23"/>
  <c r="P136" i="23"/>
  <c r="J141" i="23"/>
  <c r="CD141" i="23" s="1"/>
  <c r="M82" i="23"/>
  <c r="BR82" i="23" s="1"/>
  <c r="P84" i="23"/>
  <c r="A88" i="23"/>
  <c r="Q91" i="23"/>
  <c r="L92" i="23"/>
  <c r="O108" i="23"/>
  <c r="G110" i="23"/>
  <c r="K112" i="23"/>
  <c r="N80" i="23"/>
  <c r="R84" i="23"/>
  <c r="Q87" i="23"/>
  <c r="E88" i="23"/>
  <c r="R91" i="23"/>
  <c r="F94" i="23"/>
  <c r="F245" i="23" s="1"/>
  <c r="F396" i="23" s="1"/>
  <c r="I98" i="23"/>
  <c r="Q108" i="23"/>
  <c r="L117" i="23"/>
  <c r="M127" i="23"/>
  <c r="BR127" i="23" s="1"/>
  <c r="L130" i="23"/>
  <c r="P141" i="23"/>
  <c r="O58" i="23"/>
  <c r="R60" i="23"/>
  <c r="G61" i="23"/>
  <c r="A63" i="23"/>
  <c r="R63" i="23"/>
  <c r="O66" i="23"/>
  <c r="J67" i="23"/>
  <c r="CD67" i="23" s="1"/>
  <c r="H68" i="23"/>
  <c r="I69" i="23"/>
  <c r="M71" i="23"/>
  <c r="BR71" i="23" s="1"/>
  <c r="I74" i="23"/>
  <c r="Q75" i="23"/>
  <c r="I77" i="23"/>
  <c r="E79" i="23"/>
  <c r="H85" i="23"/>
  <c r="P93" i="23"/>
  <c r="E97" i="23"/>
  <c r="N98" i="23"/>
  <c r="K105" i="23"/>
  <c r="A107" i="23"/>
  <c r="M110" i="23"/>
  <c r="BR110" i="23" s="1"/>
  <c r="R112" i="23"/>
  <c r="M117" i="23"/>
  <c r="BR117" i="23" s="1"/>
  <c r="M130" i="23"/>
  <c r="BR130" i="23" s="1"/>
  <c r="P147" i="23"/>
  <c r="M56" i="23"/>
  <c r="BR56" i="23" s="1"/>
  <c r="N57" i="23"/>
  <c r="P59" i="23"/>
  <c r="A60" i="23"/>
  <c r="H61" i="23"/>
  <c r="M62" i="23"/>
  <c r="BR62" i="23" s="1"/>
  <c r="I64" i="23"/>
  <c r="P66" i="23"/>
  <c r="K69" i="23"/>
  <c r="O80" i="23"/>
  <c r="P82" i="23"/>
  <c r="A83" i="23"/>
  <c r="K85" i="23"/>
  <c r="R87" i="23"/>
  <c r="I88" i="23"/>
  <c r="J96" i="23"/>
  <c r="CD96" i="23" s="1"/>
  <c r="L97" i="23"/>
  <c r="N117" i="23"/>
  <c r="N127" i="23"/>
  <c r="Q147" i="23"/>
  <c r="L44" i="23"/>
  <c r="Q45" i="23"/>
  <c r="I46" i="23"/>
  <c r="N47" i="23"/>
  <c r="H48" i="23"/>
  <c r="H51" i="23"/>
  <c r="H52" i="23"/>
  <c r="K54" i="23"/>
  <c r="M55" i="23"/>
  <c r="BR55" i="23" s="1"/>
  <c r="P58" i="23"/>
  <c r="K67" i="23"/>
  <c r="I68" i="23"/>
  <c r="M70" i="23"/>
  <c r="BR70" i="23" s="1"/>
  <c r="J74" i="23"/>
  <c r="CD74" i="23" s="1"/>
  <c r="R75" i="23"/>
  <c r="G79" i="23"/>
  <c r="M94" i="23"/>
  <c r="BR94" i="23" s="1"/>
  <c r="F95" i="23"/>
  <c r="F246" i="23" s="1"/>
  <c r="F397" i="23" s="1"/>
  <c r="K96" i="23"/>
  <c r="M97" i="23"/>
  <c r="BR97" i="23" s="1"/>
  <c r="E101" i="23"/>
  <c r="F107" i="23"/>
  <c r="F258" i="23" s="1"/>
  <c r="F409" i="23" s="1"/>
  <c r="R110" i="23"/>
  <c r="O117" i="23"/>
  <c r="L143" i="23"/>
  <c r="R147" i="23"/>
  <c r="N56" i="23"/>
  <c r="O57" i="23"/>
  <c r="Q58" i="23"/>
  <c r="A59" i="23"/>
  <c r="Q59" i="23"/>
  <c r="I61" i="23"/>
  <c r="N62" i="23"/>
  <c r="J64" i="23"/>
  <c r="CD64" i="23" s="1"/>
  <c r="Q66" i="23"/>
  <c r="J68" i="23"/>
  <c r="CD68" i="23" s="1"/>
  <c r="O71" i="23"/>
  <c r="L77" i="23"/>
  <c r="P80" i="23"/>
  <c r="R82" i="23"/>
  <c r="R93" i="23"/>
  <c r="N94" i="23"/>
  <c r="J95" i="23"/>
  <c r="CD95" i="23" s="1"/>
  <c r="L96" i="23"/>
  <c r="I104" i="23"/>
  <c r="O105" i="23"/>
  <c r="Q127" i="23"/>
  <c r="N143" i="23"/>
  <c r="P71" i="23"/>
  <c r="L74" i="23"/>
  <c r="L76" i="23"/>
  <c r="M77" i="23"/>
  <c r="BR77" i="23" s="1"/>
  <c r="R79" i="23"/>
  <c r="L101" i="23"/>
  <c r="Q109" i="23"/>
  <c r="J123" i="23"/>
  <c r="CD123" i="23" s="1"/>
  <c r="A126" i="23"/>
  <c r="O134" i="23"/>
  <c r="M76" i="23"/>
  <c r="BR76" i="23" s="1"/>
  <c r="P78" i="23"/>
  <c r="E82" i="23"/>
  <c r="J88" i="23"/>
  <c r="CD88" i="23" s="1"/>
  <c r="O92" i="23"/>
  <c r="Q97" i="23"/>
  <c r="A98" i="23"/>
  <c r="M101" i="23"/>
  <c r="BR101" i="23" s="1"/>
  <c r="I102" i="23"/>
  <c r="N119" i="23"/>
  <c r="J129" i="23"/>
  <c r="CD129" i="23" s="1"/>
  <c r="H139" i="23"/>
  <c r="O150" i="23"/>
  <c r="R71" i="23"/>
  <c r="Q72" i="23"/>
  <c r="Q73" i="23"/>
  <c r="N74" i="23"/>
  <c r="O75" i="23"/>
  <c r="P76" i="23"/>
  <c r="O77" i="23"/>
  <c r="A81" i="23"/>
  <c r="L86" i="23"/>
  <c r="K88" i="23"/>
  <c r="L90" i="23"/>
  <c r="Q92" i="23"/>
  <c r="K95" i="23"/>
  <c r="L115" i="23"/>
  <c r="R123" i="23"/>
  <c r="J126" i="23"/>
  <c r="CD126" i="23" s="1"/>
  <c r="A103" i="23"/>
  <c r="G114" i="23"/>
  <c r="Q115" i="23"/>
  <c r="L126" i="23"/>
  <c r="G131" i="23"/>
  <c r="A137" i="23"/>
  <c r="H145" i="23"/>
  <c r="G200" i="23"/>
  <c r="E118" i="23"/>
  <c r="P119" i="23"/>
  <c r="M131" i="23"/>
  <c r="BR131" i="23" s="1"/>
  <c r="F137" i="23"/>
  <c r="F288" i="23" s="1"/>
  <c r="J145" i="23"/>
  <c r="CD145" i="23" s="1"/>
  <c r="E91" i="23"/>
  <c r="F96" i="23"/>
  <c r="F247" i="23" s="1"/>
  <c r="F398" i="23" s="1"/>
  <c r="N102" i="23"/>
  <c r="E103" i="23"/>
  <c r="N126" i="23"/>
  <c r="E128" i="23"/>
  <c r="G190" i="23"/>
  <c r="K98" i="23"/>
  <c r="A113" i="23"/>
  <c r="N131" i="23"/>
  <c r="G137" i="23"/>
  <c r="O145" i="23"/>
  <c r="H151" i="23"/>
  <c r="Q102" i="23"/>
  <c r="G113" i="23"/>
  <c r="Q118" i="23"/>
  <c r="N122" i="23"/>
  <c r="A125" i="23"/>
  <c r="H133" i="23"/>
  <c r="F135" i="23"/>
  <c r="F286" i="23" s="1"/>
  <c r="J137" i="23"/>
  <c r="CD137" i="23" s="1"/>
  <c r="G229" i="23"/>
  <c r="I96" i="23"/>
  <c r="J103" i="23"/>
  <c r="CD103" i="23" s="1"/>
  <c r="A112" i="23"/>
  <c r="M137" i="23"/>
  <c r="BR137" i="23" s="1"/>
  <c r="F99" i="23"/>
  <c r="F250" i="23" s="1"/>
  <c r="F401" i="23" s="1"/>
  <c r="K113" i="23"/>
  <c r="R118" i="23"/>
  <c r="Q122" i="23"/>
  <c r="J125" i="23"/>
  <c r="CD125" i="23" s="1"/>
  <c r="L128" i="23"/>
  <c r="P133" i="23"/>
  <c r="J140" i="23"/>
  <c r="CD140" i="23" s="1"/>
  <c r="N51" i="23"/>
  <c r="N52" i="23"/>
  <c r="M53" i="23"/>
  <c r="BR53" i="23" s="1"/>
  <c r="L55" i="23"/>
  <c r="K56" i="23"/>
  <c r="K57" i="23"/>
  <c r="L61" i="23"/>
  <c r="H64" i="23"/>
  <c r="Q65" i="23"/>
  <c r="J66" i="23"/>
  <c r="CD66" i="23" s="1"/>
  <c r="O69" i="23"/>
  <c r="I70" i="23"/>
  <c r="A73" i="23"/>
  <c r="A75" i="23"/>
  <c r="A78" i="23"/>
  <c r="F80" i="23"/>
  <c r="F231" i="23" s="1"/>
  <c r="F382" i="23" s="1"/>
  <c r="F84" i="23"/>
  <c r="F235" i="23" s="1"/>
  <c r="F386" i="23" s="1"/>
  <c r="O85" i="23"/>
  <c r="G89" i="23"/>
  <c r="I91" i="23"/>
  <c r="Q93" i="23"/>
  <c r="O103" i="23"/>
  <c r="G112" i="23"/>
  <c r="K117" i="23"/>
  <c r="M125" i="23"/>
  <c r="BR125" i="23" s="1"/>
  <c r="P128" i="23"/>
  <c r="G201" i="23"/>
  <c r="E48" i="23"/>
  <c r="H49" i="23"/>
  <c r="K50" i="23"/>
  <c r="O54" i="23"/>
  <c r="G56" i="23"/>
  <c r="A57" i="23"/>
  <c r="K58" i="23"/>
  <c r="Q61" i="23"/>
  <c r="P62" i="23"/>
  <c r="P63" i="23"/>
  <c r="O64" i="23"/>
  <c r="A69" i="23"/>
  <c r="J70" i="23"/>
  <c r="CD70" i="23" s="1"/>
  <c r="K72" i="23"/>
  <c r="E73" i="23"/>
  <c r="L75" i="23"/>
  <c r="F76" i="23"/>
  <c r="F227" i="23" s="1"/>
  <c r="F378" i="23" s="1"/>
  <c r="A77" i="23"/>
  <c r="J80" i="23"/>
  <c r="CD80" i="23" s="1"/>
  <c r="A82" i="23"/>
  <c r="A84" i="23"/>
  <c r="K90" i="23"/>
  <c r="E98" i="23"/>
  <c r="Q99" i="23"/>
  <c r="A100" i="23"/>
  <c r="R101" i="23"/>
  <c r="A106" i="23"/>
  <c r="K130" i="23"/>
  <c r="Q134" i="23"/>
  <c r="E150" i="23"/>
  <c r="L80" i="23"/>
  <c r="A85" i="23"/>
  <c r="H88" i="23"/>
  <c r="I89" i="23"/>
  <c r="L94" i="23"/>
  <c r="N95" i="23"/>
  <c r="F102" i="23"/>
  <c r="F253" i="23" s="1"/>
  <c r="F404" i="23" s="1"/>
  <c r="P103" i="23"/>
  <c r="A104" i="23"/>
  <c r="O109" i="23"/>
  <c r="N125" i="23"/>
  <c r="G133" i="23"/>
  <c r="I136" i="23"/>
  <c r="E148" i="23"/>
  <c r="G202" i="23"/>
  <c r="F87" i="23"/>
  <c r="F238" i="23" s="1"/>
  <c r="F389" i="23" s="1"/>
  <c r="L89" i="23"/>
  <c r="F93" i="23"/>
  <c r="F244" i="23" s="1"/>
  <c r="F395" i="23" s="1"/>
  <c r="R95" i="23"/>
  <c r="I100" i="23"/>
  <c r="H102" i="23"/>
  <c r="L106" i="23"/>
  <c r="K123" i="23"/>
  <c r="E129" i="23"/>
  <c r="N136" i="23"/>
  <c r="I138" i="23"/>
  <c r="N140" i="23"/>
  <c r="L144" i="23"/>
  <c r="G256" i="23"/>
  <c r="J35" i="23"/>
  <c r="CD35" i="23" s="1"/>
  <c r="K36" i="23"/>
  <c r="L37" i="23"/>
  <c r="M38" i="23"/>
  <c r="BR38" i="23" s="1"/>
  <c r="N39" i="23"/>
  <c r="O40" i="23"/>
  <c r="P41" i="23"/>
  <c r="E42" i="23"/>
  <c r="Q42" i="23"/>
  <c r="M45" i="23"/>
  <c r="BR45" i="23" s="1"/>
  <c r="P46" i="23"/>
  <c r="G51" i="23"/>
  <c r="A52" i="23"/>
  <c r="K53" i="23"/>
  <c r="P55" i="23"/>
  <c r="G57" i="23"/>
  <c r="L59" i="23"/>
  <c r="G64" i="23"/>
  <c r="R66" i="23"/>
  <c r="I67" i="23"/>
  <c r="H69" i="23"/>
  <c r="J77" i="23"/>
  <c r="CD77" i="23" s="1"/>
  <c r="K82" i="23"/>
  <c r="K83" i="23"/>
  <c r="H86" i="23"/>
  <c r="I87" i="23"/>
  <c r="N89" i="23"/>
  <c r="K93" i="23"/>
  <c r="P94" i="23"/>
  <c r="R98" i="23"/>
  <c r="J102" i="23"/>
  <c r="CD102" i="23" s="1"/>
  <c r="J104" i="23"/>
  <c r="CD104" i="23" s="1"/>
  <c r="L110" i="23"/>
  <c r="R70" i="23"/>
  <c r="I71" i="23"/>
  <c r="A72" i="23"/>
  <c r="L73" i="23"/>
  <c r="H74" i="23"/>
  <c r="K77" i="23"/>
  <c r="A79" i="23"/>
  <c r="O81" i="23"/>
  <c r="L82" i="23"/>
  <c r="L88" i="23"/>
  <c r="E92" i="23"/>
  <c r="H97" i="23"/>
  <c r="K102" i="23"/>
  <c r="Q106" i="23"/>
  <c r="F111" i="23"/>
  <c r="F262" i="23" s="1"/>
  <c r="F413" i="23" s="1"/>
  <c r="F112" i="23"/>
  <c r="F263" i="23" s="1"/>
  <c r="F414" i="23" s="1"/>
  <c r="E117" i="23"/>
  <c r="G119" i="23"/>
  <c r="H121" i="23"/>
  <c r="P122" i="23"/>
  <c r="H128" i="23"/>
  <c r="J61" i="23"/>
  <c r="CD61" i="23" s="1"/>
  <c r="A62" i="23"/>
  <c r="G63" i="23"/>
  <c r="G68" i="23"/>
  <c r="F69" i="23"/>
  <c r="F220" i="23" s="1"/>
  <c r="F371" i="23" s="1"/>
  <c r="F70" i="23"/>
  <c r="F221" i="23" s="1"/>
  <c r="F372" i="23" s="1"/>
  <c r="E71" i="23"/>
  <c r="F79" i="23"/>
  <c r="F230" i="23" s="1"/>
  <c r="F381" i="23" s="1"/>
  <c r="K80" i="23"/>
  <c r="Q81" i="23"/>
  <c r="Q83" i="23"/>
  <c r="H84" i="23"/>
  <c r="K86" i="23"/>
  <c r="N88" i="23"/>
  <c r="Q95" i="23"/>
  <c r="G97" i="23"/>
  <c r="A99" i="23"/>
  <c r="N105" i="23"/>
  <c r="E107" i="23"/>
  <c r="P108" i="23"/>
  <c r="J110" i="23"/>
  <c r="CD110" i="23" s="1"/>
  <c r="G117" i="23"/>
  <c r="K121" i="23"/>
  <c r="E122" i="23"/>
  <c r="A134" i="23"/>
  <c r="I135" i="23"/>
  <c r="G189" i="23"/>
  <c r="G265" i="23"/>
  <c r="G87" i="23"/>
  <c r="M92" i="23"/>
  <c r="BR92" i="23" s="1"/>
  <c r="I93" i="23"/>
  <c r="E99" i="23"/>
  <c r="I101" i="23"/>
  <c r="N103" i="23"/>
  <c r="O104" i="23"/>
  <c r="H107" i="23"/>
  <c r="L113" i="23"/>
  <c r="R116" i="23"/>
  <c r="P121" i="23"/>
  <c r="O122" i="23"/>
  <c r="A124" i="23"/>
  <c r="E133" i="23"/>
  <c r="H138" i="23"/>
  <c r="J52" i="23"/>
  <c r="CD52" i="23" s="1"/>
  <c r="A53" i="23"/>
  <c r="G54" i="23"/>
  <c r="P56" i="23"/>
  <c r="M58" i="23"/>
  <c r="BR58" i="23" s="1"/>
  <c r="J60" i="23"/>
  <c r="CD60" i="23" s="1"/>
  <c r="A61" i="23"/>
  <c r="G62" i="23"/>
  <c r="P64" i="23"/>
  <c r="L69" i="23"/>
  <c r="K70" i="23"/>
  <c r="K71" i="23"/>
  <c r="L72" i="23"/>
  <c r="O73" i="23"/>
  <c r="F75" i="23"/>
  <c r="F226" i="23" s="1"/>
  <c r="F377" i="23" s="1"/>
  <c r="F78" i="23"/>
  <c r="F229" i="23" s="1"/>
  <c r="F380" i="23" s="1"/>
  <c r="K79" i="23"/>
  <c r="Q80" i="23"/>
  <c r="N82" i="23"/>
  <c r="F83" i="23"/>
  <c r="F234" i="23" s="1"/>
  <c r="F385" i="23" s="1"/>
  <c r="I85" i="23"/>
  <c r="R92" i="23"/>
  <c r="M93" i="23"/>
  <c r="BR93" i="23" s="1"/>
  <c r="O97" i="23"/>
  <c r="L100" i="23"/>
  <c r="I109" i="23"/>
  <c r="M118" i="23"/>
  <c r="BR118" i="23" s="1"/>
  <c r="R122" i="23"/>
  <c r="N123" i="23"/>
  <c r="H124" i="23"/>
  <c r="K133" i="23"/>
  <c r="P138" i="23"/>
  <c r="G191" i="23"/>
  <c r="G196" i="23"/>
  <c r="O61" i="23"/>
  <c r="L63" i="23"/>
  <c r="M65" i="23"/>
  <c r="BR65" i="23" s="1"/>
  <c r="M66" i="23"/>
  <c r="BR66" i="23" s="1"/>
  <c r="L67" i="23"/>
  <c r="L68" i="23"/>
  <c r="A74" i="23"/>
  <c r="K76" i="23"/>
  <c r="P77" i="23"/>
  <c r="G81" i="23"/>
  <c r="Q84" i="23"/>
  <c r="L87" i="23"/>
  <c r="O89" i="23"/>
  <c r="J90" i="23"/>
  <c r="CD90" i="23" s="1"/>
  <c r="H94" i="23"/>
  <c r="L98" i="23"/>
  <c r="N99" i="23"/>
  <c r="N100" i="23"/>
  <c r="N101" i="23"/>
  <c r="Q103" i="23"/>
  <c r="E106" i="23"/>
  <c r="Q107" i="23"/>
  <c r="H111" i="23"/>
  <c r="E115" i="23"/>
  <c r="N118" i="23"/>
  <c r="O123" i="23"/>
  <c r="J124" i="23"/>
  <c r="CD124" i="23" s="1"/>
  <c r="I125" i="23"/>
  <c r="L132" i="23"/>
  <c r="N133" i="23"/>
  <c r="Q138" i="23"/>
  <c r="A47" i="23"/>
  <c r="K52" i="23"/>
  <c r="H54" i="23"/>
  <c r="E56" i="23"/>
  <c r="Q56" i="23"/>
  <c r="N58" i="23"/>
  <c r="K60" i="23"/>
  <c r="H62" i="23"/>
  <c r="E64" i="23"/>
  <c r="Q64" i="23"/>
  <c r="N67" i="23"/>
  <c r="M68" i="23"/>
  <c r="BR68" i="23" s="1"/>
  <c r="M69" i="23"/>
  <c r="BR69" i="23" s="1"/>
  <c r="L70" i="23"/>
  <c r="L71" i="23"/>
  <c r="G78" i="23"/>
  <c r="L79" i="23"/>
  <c r="A80" i="23"/>
  <c r="R80" i="23"/>
  <c r="O82" i="23"/>
  <c r="G83" i="23"/>
  <c r="J85" i="23"/>
  <c r="CD85" i="23" s="1"/>
  <c r="O93" i="23"/>
  <c r="E95" i="23"/>
  <c r="P97" i="23"/>
  <c r="O100" i="23"/>
  <c r="P102" i="23"/>
  <c r="J111" i="23"/>
  <c r="CD111" i="23" s="1"/>
  <c r="I114" i="23"/>
  <c r="F115" i="23"/>
  <c r="F266" i="23" s="1"/>
  <c r="F417" i="23" s="1"/>
  <c r="F119" i="23"/>
  <c r="F270" i="23" s="1"/>
  <c r="F421" i="23" s="1"/>
  <c r="P123" i="23"/>
  <c r="O133" i="23"/>
  <c r="A145" i="23"/>
  <c r="G232" i="23"/>
  <c r="K65" i="23"/>
  <c r="H67" i="23"/>
  <c r="E69" i="23"/>
  <c r="Q69" i="23"/>
  <c r="N71" i="23"/>
  <c r="H72" i="23"/>
  <c r="P73" i="23"/>
  <c r="G75" i="23"/>
  <c r="Q76" i="23"/>
  <c r="N77" i="23"/>
  <c r="E81" i="23"/>
  <c r="Q82" i="23"/>
  <c r="E84" i="23"/>
  <c r="M89" i="23"/>
  <c r="BR89" i="23" s="1"/>
  <c r="Q90" i="23"/>
  <c r="N93" i="23"/>
  <c r="A97" i="23"/>
  <c r="R97" i="23"/>
  <c r="J98" i="23"/>
  <c r="CD98" i="23" s="1"/>
  <c r="K100" i="23"/>
  <c r="M102" i="23"/>
  <c r="BR102" i="23" s="1"/>
  <c r="P104" i="23"/>
  <c r="J105" i="23"/>
  <c r="CD105" i="23" s="1"/>
  <c r="A110" i="23"/>
  <c r="F114" i="23"/>
  <c r="F265" i="23" s="1"/>
  <c r="F416" i="23" s="1"/>
  <c r="M115" i="23"/>
  <c r="BR115" i="23" s="1"/>
  <c r="L123" i="23"/>
  <c r="O125" i="23"/>
  <c r="I129" i="23"/>
  <c r="L145" i="23"/>
  <c r="G101" i="23"/>
  <c r="O102" i="23"/>
  <c r="I103" i="23"/>
  <c r="M105" i="23"/>
  <c r="BR105" i="23" s="1"/>
  <c r="J106" i="23"/>
  <c r="CD106" i="23" s="1"/>
  <c r="E108" i="23"/>
  <c r="H114" i="23"/>
  <c r="P117" i="23"/>
  <c r="O119" i="23"/>
  <c r="O121" i="23"/>
  <c r="G130" i="23"/>
  <c r="Q145" i="23"/>
  <c r="H66" i="23"/>
  <c r="E68" i="23"/>
  <c r="Q68" i="23"/>
  <c r="N70" i="23"/>
  <c r="M72" i="23"/>
  <c r="BR72" i="23" s="1"/>
  <c r="P74" i="23"/>
  <c r="H76" i="23"/>
  <c r="E77" i="23"/>
  <c r="Q78" i="23"/>
  <c r="N79" i="23"/>
  <c r="I82" i="23"/>
  <c r="K84" i="23"/>
  <c r="L85" i="23"/>
  <c r="M86" i="23"/>
  <c r="BR86" i="23" s="1"/>
  <c r="O87" i="23"/>
  <c r="G90" i="23"/>
  <c r="J94" i="23"/>
  <c r="CD94" i="23" s="1"/>
  <c r="I97" i="23"/>
  <c r="O98" i="23"/>
  <c r="Q100" i="23"/>
  <c r="L103" i="23"/>
  <c r="M106" i="23"/>
  <c r="BR106" i="23" s="1"/>
  <c r="J107" i="23"/>
  <c r="CD107" i="23" s="1"/>
  <c r="J109" i="23"/>
  <c r="CD109" i="23" s="1"/>
  <c r="M111" i="23"/>
  <c r="BR111" i="23" s="1"/>
  <c r="K116" i="23"/>
  <c r="J118" i="23"/>
  <c r="CD118" i="23" s="1"/>
  <c r="F122" i="23"/>
  <c r="F273" i="23" s="1"/>
  <c r="F424" i="23" s="1"/>
  <c r="N130" i="23"/>
  <c r="A133" i="23"/>
  <c r="I139" i="23"/>
  <c r="F143" i="23"/>
  <c r="F294" i="23" s="1"/>
  <c r="R144" i="23"/>
  <c r="R148" i="23"/>
  <c r="P65" i="23"/>
  <c r="M67" i="23"/>
  <c r="BR67" i="23" s="1"/>
  <c r="J69" i="23"/>
  <c r="CD69" i="23" s="1"/>
  <c r="A70" i="23"/>
  <c r="G71" i="23"/>
  <c r="H73" i="23"/>
  <c r="M75" i="23"/>
  <c r="BR75" i="23" s="1"/>
  <c r="M80" i="23"/>
  <c r="BR80" i="23" s="1"/>
  <c r="J81" i="23"/>
  <c r="CD81" i="23" s="1"/>
  <c r="J83" i="23"/>
  <c r="CD83" i="23" s="1"/>
  <c r="L84" i="23"/>
  <c r="P88" i="23"/>
  <c r="J91" i="23"/>
  <c r="CD91" i="23" s="1"/>
  <c r="P92" i="23"/>
  <c r="O95" i="23"/>
  <c r="H99" i="23"/>
  <c r="R100" i="23"/>
  <c r="J101" i="23"/>
  <c r="CD101" i="23" s="1"/>
  <c r="M103" i="23"/>
  <c r="BR103" i="23" s="1"/>
  <c r="K110" i="23"/>
  <c r="K124" i="23"/>
  <c r="Q130" i="23"/>
  <c r="K131" i="23"/>
  <c r="K143" i="23"/>
  <c r="G181" i="23"/>
  <c r="I66" i="23"/>
  <c r="F68" i="23"/>
  <c r="F219" i="23" s="1"/>
  <c r="F370" i="23" s="1"/>
  <c r="R68" i="23"/>
  <c r="O70" i="23"/>
  <c r="N72" i="23"/>
  <c r="Q74" i="23"/>
  <c r="I76" i="23"/>
  <c r="F77" i="23"/>
  <c r="F228" i="23" s="1"/>
  <c r="F379" i="23" s="1"/>
  <c r="R78" i="23"/>
  <c r="O79" i="23"/>
  <c r="J82" i="23"/>
  <c r="CD82" i="23" s="1"/>
  <c r="M85" i="23"/>
  <c r="BR85" i="23" s="1"/>
  <c r="N86" i="23"/>
  <c r="P87" i="23"/>
  <c r="E89" i="23"/>
  <c r="H90" i="23"/>
  <c r="K94" i="23"/>
  <c r="E96" i="23"/>
  <c r="K97" i="23"/>
  <c r="G104" i="23"/>
  <c r="N106" i="23"/>
  <c r="K107" i="23"/>
  <c r="K108" i="23"/>
  <c r="K109" i="23"/>
  <c r="N111" i="23"/>
  <c r="E113" i="23"/>
  <c r="L118" i="23"/>
  <c r="I122" i="23"/>
  <c r="H127" i="23"/>
  <c r="E132" i="23"/>
  <c r="J139" i="23"/>
  <c r="CD139" i="23" s="1"/>
  <c r="G207" i="23"/>
  <c r="O140" i="23"/>
  <c r="O141" i="23"/>
  <c r="Q110" i="23"/>
  <c r="L111" i="23"/>
  <c r="J112" i="23"/>
  <c r="CD112" i="23" s="1"/>
  <c r="L114" i="23"/>
  <c r="Q116" i="23"/>
  <c r="G120" i="23"/>
  <c r="I127" i="23"/>
  <c r="F129" i="23"/>
  <c r="F280" i="23" s="1"/>
  <c r="L131" i="23"/>
  <c r="N76" i="23"/>
  <c r="K78" i="23"/>
  <c r="H80" i="23"/>
  <c r="F82" i="23"/>
  <c r="F233" i="23" s="1"/>
  <c r="F384" i="23" s="1"/>
  <c r="N83" i="23"/>
  <c r="E85" i="23"/>
  <c r="J87" i="23"/>
  <c r="CD87" i="23" s="1"/>
  <c r="A89" i="23"/>
  <c r="P89" i="23"/>
  <c r="M90" i="23"/>
  <c r="BR90" i="23" s="1"/>
  <c r="K91" i="23"/>
  <c r="I92" i="23"/>
  <c r="G95" i="23"/>
  <c r="G96" i="23"/>
  <c r="F98" i="23"/>
  <c r="F249" i="23" s="1"/>
  <c r="F400" i="23" s="1"/>
  <c r="I99" i="23"/>
  <c r="O101" i="23"/>
  <c r="A102" i="23"/>
  <c r="F103" i="23"/>
  <c r="F254" i="23" s="1"/>
  <c r="F405" i="23" s="1"/>
  <c r="K104" i="23"/>
  <c r="G106" i="23"/>
  <c r="E109" i="23"/>
  <c r="O112" i="23"/>
  <c r="P114" i="23"/>
  <c r="A117" i="23"/>
  <c r="E123" i="23"/>
  <c r="L124" i="23"/>
  <c r="F132" i="23"/>
  <c r="F283" i="23" s="1"/>
  <c r="J135" i="23"/>
  <c r="CD135" i="23" s="1"/>
  <c r="J149" i="23"/>
  <c r="CD149" i="23" s="1"/>
  <c r="M73" i="23"/>
  <c r="BR73" i="23" s="1"/>
  <c r="J75" i="23"/>
  <c r="CD75" i="23" s="1"/>
  <c r="A76" i="23"/>
  <c r="G77" i="23"/>
  <c r="P79" i="23"/>
  <c r="M81" i="23"/>
  <c r="BR81" i="23" s="1"/>
  <c r="J84" i="23"/>
  <c r="CD84" i="23" s="1"/>
  <c r="O86" i="23"/>
  <c r="F88" i="23"/>
  <c r="F239" i="23" s="1"/>
  <c r="F390" i="23" s="1"/>
  <c r="J93" i="23"/>
  <c r="CD93" i="23" s="1"/>
  <c r="I94" i="23"/>
  <c r="F97" i="23"/>
  <c r="F248" i="23" s="1"/>
  <c r="F399" i="23" s="1"/>
  <c r="M100" i="23"/>
  <c r="BR100" i="23" s="1"/>
  <c r="L108" i="23"/>
  <c r="O111" i="23"/>
  <c r="O113" i="23"/>
  <c r="H118" i="23"/>
  <c r="K119" i="23"/>
  <c r="N120" i="23"/>
  <c r="O127" i="23"/>
  <c r="M129" i="23"/>
  <c r="BR129" i="23" s="1"/>
  <c r="I132" i="23"/>
  <c r="F145" i="23"/>
  <c r="F296" i="23" s="1"/>
  <c r="E146" i="23"/>
  <c r="K150" i="23"/>
  <c r="G221" i="23"/>
  <c r="I72" i="23"/>
  <c r="F74" i="23"/>
  <c r="F225" i="23" s="1"/>
  <c r="F376" i="23" s="1"/>
  <c r="R74" i="23"/>
  <c r="O76" i="23"/>
  <c r="L78" i="23"/>
  <c r="I80" i="23"/>
  <c r="G82" i="23"/>
  <c r="O83" i="23"/>
  <c r="G85" i="23"/>
  <c r="A86" i="23"/>
  <c r="K87" i="23"/>
  <c r="Q89" i="23"/>
  <c r="N90" i="23"/>
  <c r="L91" i="23"/>
  <c r="K92" i="23"/>
  <c r="H95" i="23"/>
  <c r="H96" i="23"/>
  <c r="G98" i="23"/>
  <c r="J99" i="23"/>
  <c r="CD99" i="23" s="1"/>
  <c r="P101" i="23"/>
  <c r="G103" i="23"/>
  <c r="L104" i="23"/>
  <c r="H106" i="23"/>
  <c r="M108" i="23"/>
  <c r="BR108" i="23" s="1"/>
  <c r="F109" i="23"/>
  <c r="F260" i="23" s="1"/>
  <c r="F411" i="23" s="1"/>
  <c r="R111" i="23"/>
  <c r="Q112" i="23"/>
  <c r="P113" i="23"/>
  <c r="I118" i="23"/>
  <c r="L119" i="23"/>
  <c r="Q120" i="23"/>
  <c r="O124" i="23"/>
  <c r="F126" i="23"/>
  <c r="F277" i="23" s="1"/>
  <c r="P127" i="23"/>
  <c r="O129" i="23"/>
  <c r="A141" i="23"/>
  <c r="J147" i="23"/>
  <c r="CD147" i="23" s="1"/>
  <c r="J148" i="23"/>
  <c r="CD148" i="23" s="1"/>
  <c r="K149" i="23"/>
  <c r="H112" i="23"/>
  <c r="M114" i="23"/>
  <c r="BR114" i="23" s="1"/>
  <c r="H115" i="23"/>
  <c r="A116" i="23"/>
  <c r="R117" i="23"/>
  <c r="E120" i="23"/>
  <c r="A121" i="23"/>
  <c r="R124" i="23"/>
  <c r="R126" i="23"/>
  <c r="L133" i="23"/>
  <c r="K135" i="23"/>
  <c r="N137" i="23"/>
  <c r="F138" i="23"/>
  <c r="F289" i="23" s="1"/>
  <c r="I142" i="23"/>
  <c r="R145" i="23"/>
  <c r="G107" i="23"/>
  <c r="A109" i="23"/>
  <c r="R109" i="23"/>
  <c r="I112" i="23"/>
  <c r="N114" i="23"/>
  <c r="F120" i="23"/>
  <c r="F271" i="23" s="1"/>
  <c r="F422" i="23" s="1"/>
  <c r="A122" i="23"/>
  <c r="A128" i="23"/>
  <c r="M135" i="23"/>
  <c r="BR135" i="23" s="1"/>
  <c r="R137" i="23"/>
  <c r="J142" i="23"/>
  <c r="CD142" i="23" s="1"/>
  <c r="N146" i="23"/>
  <c r="G172" i="23"/>
  <c r="G184" i="23"/>
  <c r="G204" i="23"/>
  <c r="G260" i="23"/>
  <c r="P142" i="23"/>
  <c r="H98" i="23"/>
  <c r="G99" i="23"/>
  <c r="F100" i="23"/>
  <c r="F251" i="23" s="1"/>
  <c r="F402" i="23" s="1"/>
  <c r="F101" i="23"/>
  <c r="F252" i="23" s="1"/>
  <c r="F403" i="23" s="1"/>
  <c r="R103" i="23"/>
  <c r="I106" i="23"/>
  <c r="A108" i="23"/>
  <c r="R108" i="23"/>
  <c r="H109" i="23"/>
  <c r="O110" i="23"/>
  <c r="P112" i="23"/>
  <c r="J113" i="23"/>
  <c r="CD113" i="23" s="1"/>
  <c r="L116" i="23"/>
  <c r="A118" i="23"/>
  <c r="L121" i="23"/>
  <c r="H122" i="23"/>
  <c r="G123" i="23"/>
  <c r="F125" i="23"/>
  <c r="F276" i="23" s="1"/>
  <c r="E126" i="23"/>
  <c r="F127" i="23"/>
  <c r="F278" i="23" s="1"/>
  <c r="J128" i="23"/>
  <c r="CD128" i="23" s="1"/>
  <c r="E131" i="23"/>
  <c r="M132" i="23"/>
  <c r="BR132" i="23" s="1"/>
  <c r="J134" i="23"/>
  <c r="CD134" i="23" s="1"/>
  <c r="K139" i="23"/>
  <c r="G140" i="23"/>
  <c r="R143" i="23"/>
  <c r="O148" i="23"/>
  <c r="F149" i="23"/>
  <c r="F300" i="23" s="1"/>
  <c r="G271" i="23"/>
  <c r="E83" i="23"/>
  <c r="F85" i="23"/>
  <c r="F236" i="23" s="1"/>
  <c r="F387" i="23" s="1"/>
  <c r="M88" i="23"/>
  <c r="BR88" i="23" s="1"/>
  <c r="H89" i="23"/>
  <c r="M91" i="23"/>
  <c r="BR91" i="23" s="1"/>
  <c r="G93" i="23"/>
  <c r="E94" i="23"/>
  <c r="A95" i="23"/>
  <c r="P95" i="23"/>
  <c r="M96" i="23"/>
  <c r="BR96" i="23" s="1"/>
  <c r="E102" i="23"/>
  <c r="F104" i="23"/>
  <c r="F255" i="23" s="1"/>
  <c r="F406" i="23" s="1"/>
  <c r="G105" i="23"/>
  <c r="N107" i="23"/>
  <c r="G111" i="23"/>
  <c r="R115" i="23"/>
  <c r="H117" i="23"/>
  <c r="R119" i="23"/>
  <c r="H125" i="23"/>
  <c r="N129" i="23"/>
  <c r="K134" i="23"/>
  <c r="K136" i="23"/>
  <c r="K144" i="23"/>
  <c r="E145" i="23"/>
  <c r="P148" i="23"/>
  <c r="G206" i="23"/>
  <c r="O114" i="23"/>
  <c r="I116" i="23"/>
  <c r="J119" i="23"/>
  <c r="CD119" i="23" s="1"/>
  <c r="O120" i="23"/>
  <c r="N124" i="23"/>
  <c r="J127" i="23"/>
  <c r="CD127" i="23" s="1"/>
  <c r="F128" i="23"/>
  <c r="F279" i="23" s="1"/>
  <c r="K140" i="23"/>
  <c r="O142" i="23"/>
  <c r="Q144" i="23"/>
  <c r="E147" i="23"/>
  <c r="H110" i="23"/>
  <c r="L112" i="23"/>
  <c r="N116" i="23"/>
  <c r="M119" i="23"/>
  <c r="BR119" i="23" s="1"/>
  <c r="I121" i="23"/>
  <c r="H123" i="23"/>
  <c r="K125" i="23"/>
  <c r="K128" i="23"/>
  <c r="F131" i="23"/>
  <c r="F282" i="23" s="1"/>
  <c r="P135" i="23"/>
  <c r="E137" i="23"/>
  <c r="E141" i="23"/>
  <c r="I145" i="23"/>
  <c r="L147" i="23"/>
  <c r="Q149" i="23"/>
  <c r="G219" i="23"/>
  <c r="G176" i="23"/>
  <c r="G254" i="23"/>
  <c r="K89" i="23"/>
  <c r="H91" i="23"/>
  <c r="N92" i="23"/>
  <c r="H93" i="23"/>
  <c r="A96" i="23"/>
  <c r="O96" i="23"/>
  <c r="P98" i="23"/>
  <c r="L99" i="23"/>
  <c r="L102" i="23"/>
  <c r="P105" i="23"/>
  <c r="N108" i="23"/>
  <c r="N109" i="23"/>
  <c r="N110" i="23"/>
  <c r="K114" i="23"/>
  <c r="I117" i="23"/>
  <c r="A119" i="23"/>
  <c r="O131" i="23"/>
  <c r="Q133" i="23"/>
  <c r="O139" i="23"/>
  <c r="E142" i="23"/>
  <c r="J146" i="23"/>
  <c r="CD146" i="23" s="1"/>
  <c r="L150" i="23"/>
  <c r="G170" i="23"/>
  <c r="G173" i="23"/>
  <c r="G233" i="23"/>
  <c r="G263" i="23"/>
  <c r="C10" i="35"/>
  <c r="M84" i="23"/>
  <c r="BR84" i="23" s="1"/>
  <c r="J86" i="23"/>
  <c r="CD86" i="23" s="1"/>
  <c r="A87" i="23"/>
  <c r="G88" i="23"/>
  <c r="P90" i="23"/>
  <c r="A94" i="23"/>
  <c r="O94" i="23"/>
  <c r="I95" i="23"/>
  <c r="J97" i="23"/>
  <c r="CD97" i="23" s="1"/>
  <c r="H100" i="23"/>
  <c r="Q101" i="23"/>
  <c r="H103" i="23"/>
  <c r="E104" i="23"/>
  <c r="A105" i="23"/>
  <c r="P106" i="23"/>
  <c r="P107" i="23"/>
  <c r="P111" i="23"/>
  <c r="H113" i="23"/>
  <c r="E116" i="23"/>
  <c r="O118" i="23"/>
  <c r="J120" i="23"/>
  <c r="CD120" i="23" s="1"/>
  <c r="Q121" i="23"/>
  <c r="G122" i="23"/>
  <c r="Q123" i="23"/>
  <c r="I124" i="23"/>
  <c r="R125" i="23"/>
  <c r="K126" i="23"/>
  <c r="P129" i="23"/>
  <c r="P132" i="23"/>
  <c r="A135" i="23"/>
  <c r="G136" i="23"/>
  <c r="P137" i="23"/>
  <c r="Q139" i="23"/>
  <c r="A140" i="23"/>
  <c r="H144" i="23"/>
  <c r="M148" i="23"/>
  <c r="BR148" i="23" s="1"/>
  <c r="G177" i="23"/>
  <c r="G243" i="23"/>
  <c r="Q126" i="23"/>
  <c r="G128" i="23"/>
  <c r="K129" i="23"/>
  <c r="R130" i="23"/>
  <c r="H131" i="23"/>
  <c r="Q132" i="23"/>
  <c r="J133" i="23"/>
  <c r="CD133" i="23" s="1"/>
  <c r="Q135" i="23"/>
  <c r="L136" i="23"/>
  <c r="L137" i="23"/>
  <c r="N139" i="23"/>
  <c r="Q140" i="23"/>
  <c r="E143" i="23"/>
  <c r="I144" i="23"/>
  <c r="Q146" i="23"/>
  <c r="G222" i="23"/>
  <c r="G247" i="23"/>
  <c r="G250" i="23"/>
  <c r="G264" i="23"/>
  <c r="M145" i="23"/>
  <c r="BR145" i="23" s="1"/>
  <c r="R146" i="23"/>
  <c r="E149" i="23"/>
  <c r="G248" i="23"/>
  <c r="G262" i="23"/>
  <c r="H120" i="23"/>
  <c r="P124" i="23"/>
  <c r="G126" i="23"/>
  <c r="Q129" i="23"/>
  <c r="L134" i="23"/>
  <c r="O143" i="23"/>
  <c r="F147" i="23"/>
  <c r="F298" i="23" s="1"/>
  <c r="G175" i="23"/>
  <c r="G178" i="23"/>
  <c r="E111" i="23"/>
  <c r="Q113" i="23"/>
  <c r="A114" i="23"/>
  <c r="F118" i="23"/>
  <c r="F269" i="23" s="1"/>
  <c r="F420" i="23" s="1"/>
  <c r="H119" i="23"/>
  <c r="J121" i="23"/>
  <c r="CD121" i="23" s="1"/>
  <c r="M123" i="23"/>
  <c r="BR123" i="23" s="1"/>
  <c r="K127" i="23"/>
  <c r="O128" i="23"/>
  <c r="R129" i="23"/>
  <c r="Q131" i="23"/>
  <c r="H132" i="23"/>
  <c r="M134" i="23"/>
  <c r="BR134" i="23" s="1"/>
  <c r="G135" i="23"/>
  <c r="E140" i="23"/>
  <c r="I141" i="23"/>
  <c r="L142" i="23"/>
  <c r="G147" i="23"/>
  <c r="K148" i="23"/>
  <c r="P149" i="23"/>
  <c r="Q150" i="23"/>
  <c r="G185" i="23"/>
  <c r="G198" i="23"/>
  <c r="G212" i="23"/>
  <c r="G266" i="23"/>
  <c r="Q98" i="23"/>
  <c r="K99" i="23"/>
  <c r="E100" i="23"/>
  <c r="R102" i="23"/>
  <c r="H104" i="23"/>
  <c r="Q105" i="23"/>
  <c r="J108" i="23"/>
  <c r="CD108" i="23" s="1"/>
  <c r="G109" i="23"/>
  <c r="F110" i="23"/>
  <c r="F261" i="23" s="1"/>
  <c r="F412" i="23" s="1"/>
  <c r="E112" i="23"/>
  <c r="Q114" i="23"/>
  <c r="F117" i="23"/>
  <c r="F268" i="23" s="1"/>
  <c r="F419" i="23" s="1"/>
  <c r="I119" i="23"/>
  <c r="I120" i="23"/>
  <c r="M122" i="23"/>
  <c r="BR122" i="23" s="1"/>
  <c r="Q124" i="23"/>
  <c r="E125" i="23"/>
  <c r="A129" i="23"/>
  <c r="R131" i="23"/>
  <c r="A136" i="23"/>
  <c r="A139" i="23"/>
  <c r="N142" i="23"/>
  <c r="P143" i="23"/>
  <c r="G188" i="23"/>
  <c r="G195" i="23"/>
  <c r="G216" i="23"/>
  <c r="H126" i="23"/>
  <c r="E127" i="23"/>
  <c r="Q128" i="23"/>
  <c r="P130" i="23"/>
  <c r="L135" i="23"/>
  <c r="Q136" i="23"/>
  <c r="H137" i="23"/>
  <c r="H141" i="23"/>
  <c r="A147" i="23"/>
  <c r="Q148" i="23"/>
  <c r="L149" i="23"/>
  <c r="G246" i="23"/>
  <c r="G249" i="23"/>
  <c r="F133" i="23"/>
  <c r="F284" i="23" s="1"/>
  <c r="R136" i="23"/>
  <c r="P139" i="23"/>
  <c r="K145" i="23"/>
  <c r="F146" i="23"/>
  <c r="F297" i="23" s="1"/>
  <c r="J150" i="23"/>
  <c r="CD150" i="23" s="1"/>
  <c r="G182" i="23"/>
  <c r="G217" i="23"/>
  <c r="R106" i="23"/>
  <c r="L107" i="23"/>
  <c r="F108" i="23"/>
  <c r="F259" i="23" s="1"/>
  <c r="F410" i="23" s="1"/>
  <c r="M109" i="23"/>
  <c r="BR109" i="23" s="1"/>
  <c r="Q111" i="23"/>
  <c r="I113" i="23"/>
  <c r="N115" i="23"/>
  <c r="G118" i="23"/>
  <c r="A120" i="23"/>
  <c r="P120" i="23"/>
  <c r="M121" i="23"/>
  <c r="BR121" i="23" s="1"/>
  <c r="L127" i="23"/>
  <c r="I128" i="23"/>
  <c r="K132" i="23"/>
  <c r="Q137" i="23"/>
  <c r="F139" i="23"/>
  <c r="F290" i="23" s="1"/>
  <c r="P146" i="23"/>
  <c r="F148" i="23"/>
  <c r="F299" i="23" s="1"/>
  <c r="G186" i="23"/>
  <c r="G205" i="23"/>
  <c r="G227" i="23"/>
  <c r="J92" i="23"/>
  <c r="CD92" i="23" s="1"/>
  <c r="A93" i="23"/>
  <c r="G94" i="23"/>
  <c r="P96" i="23"/>
  <c r="M98" i="23"/>
  <c r="BR98" i="23" s="1"/>
  <c r="J100" i="23"/>
  <c r="CD100" i="23" s="1"/>
  <c r="A101" i="23"/>
  <c r="G102" i="23"/>
  <c r="R104" i="23"/>
  <c r="L105" i="23"/>
  <c r="F106" i="23"/>
  <c r="F257" i="23" s="1"/>
  <c r="F408" i="23" s="1"/>
  <c r="I110" i="23"/>
  <c r="N112" i="23"/>
  <c r="E114" i="23"/>
  <c r="R114" i="23"/>
  <c r="O115" i="23"/>
  <c r="M116" i="23"/>
  <c r="BR116" i="23" s="1"/>
  <c r="J117" i="23"/>
  <c r="CD117" i="23" s="1"/>
  <c r="K122" i="23"/>
  <c r="I123" i="23"/>
  <c r="F124" i="23"/>
  <c r="F275" i="23" s="1"/>
  <c r="F426" i="23" s="1"/>
  <c r="Q125" i="23"/>
  <c r="O126" i="23"/>
  <c r="G129" i="23"/>
  <c r="H130" i="23"/>
  <c r="J131" i="23"/>
  <c r="CD131" i="23" s="1"/>
  <c r="M133" i="23"/>
  <c r="BR133" i="23" s="1"/>
  <c r="K138" i="23"/>
  <c r="G139" i="23"/>
  <c r="Q141" i="23"/>
  <c r="M142" i="23"/>
  <c r="BR142" i="23" s="1"/>
  <c r="I143" i="23"/>
  <c r="E144" i="23"/>
  <c r="K147" i="23"/>
  <c r="G208" i="23"/>
  <c r="G240" i="23"/>
  <c r="G244" i="23"/>
  <c r="G268" i="23"/>
  <c r="L129" i="23"/>
  <c r="F130" i="23"/>
  <c r="F281" i="23" s="1"/>
  <c r="I134" i="23"/>
  <c r="E135" i="23"/>
  <c r="R135" i="23"/>
  <c r="O137" i="23"/>
  <c r="A138" i="23"/>
  <c r="H142" i="23"/>
  <c r="A144" i="23"/>
  <c r="G145" i="23"/>
  <c r="M146" i="23"/>
  <c r="BR146" i="23" s="1"/>
  <c r="N149" i="23"/>
  <c r="A150" i="23"/>
  <c r="G225" i="23"/>
  <c r="G228" i="23"/>
  <c r="G253" i="23"/>
  <c r="I130" i="23"/>
  <c r="P131" i="23"/>
  <c r="J132" i="23"/>
  <c r="CD132" i="23" s="1"/>
  <c r="H135" i="23"/>
  <c r="P140" i="23"/>
  <c r="F141" i="23"/>
  <c r="F292" i="23" s="1"/>
  <c r="F144" i="23"/>
  <c r="F295" i="23" s="1"/>
  <c r="L148" i="23"/>
  <c r="R149" i="23"/>
  <c r="G150" i="23"/>
  <c r="G167" i="23"/>
  <c r="G203" i="23"/>
  <c r="G218" i="23"/>
  <c r="G241" i="23"/>
  <c r="P110" i="23"/>
  <c r="M112" i="23"/>
  <c r="BR112" i="23" s="1"/>
  <c r="J114" i="23"/>
  <c r="CD114" i="23" s="1"/>
  <c r="P115" i="23"/>
  <c r="J116" i="23"/>
  <c r="CD116" i="23" s="1"/>
  <c r="Q119" i="23"/>
  <c r="K120" i="23"/>
  <c r="E121" i="23"/>
  <c r="R121" i="23"/>
  <c r="L122" i="23"/>
  <c r="F123" i="23"/>
  <c r="F274" i="23" s="1"/>
  <c r="F425" i="23" s="1"/>
  <c r="M126" i="23"/>
  <c r="BR126" i="23" s="1"/>
  <c r="G127" i="23"/>
  <c r="N128" i="23"/>
  <c r="H129" i="23"/>
  <c r="A132" i="23"/>
  <c r="O132" i="23"/>
  <c r="I133" i="23"/>
  <c r="E134" i="23"/>
  <c r="R134" i="23"/>
  <c r="J136" i="23"/>
  <c r="CD136" i="23" s="1"/>
  <c r="M138" i="23"/>
  <c r="BR138" i="23" s="1"/>
  <c r="M141" i="23"/>
  <c r="BR141" i="23" s="1"/>
  <c r="G143" i="23"/>
  <c r="G146" i="23"/>
  <c r="A148" i="23"/>
  <c r="H149" i="23"/>
  <c r="N150" i="23"/>
  <c r="F151" i="23"/>
  <c r="F302" i="23" s="1"/>
  <c r="G171" i="23"/>
  <c r="G180" i="23"/>
  <c r="F105" i="23"/>
  <c r="F256" i="23" s="1"/>
  <c r="F407" i="23" s="1"/>
  <c r="R105" i="23"/>
  <c r="O107" i="23"/>
  <c r="L109" i="23"/>
  <c r="I111" i="23"/>
  <c r="F113" i="23"/>
  <c r="F264" i="23" s="1"/>
  <c r="F415" i="23" s="1"/>
  <c r="R113" i="23"/>
  <c r="Q117" i="23"/>
  <c r="K118" i="23"/>
  <c r="E119" i="23"/>
  <c r="F121" i="23"/>
  <c r="F272" i="23" s="1"/>
  <c r="F423" i="23" s="1"/>
  <c r="M124" i="23"/>
  <c r="BR124" i="23" s="1"/>
  <c r="G125" i="23"/>
  <c r="A130" i="23"/>
  <c r="O130" i="23"/>
  <c r="I131" i="23"/>
  <c r="N135" i="23"/>
  <c r="K137" i="23"/>
  <c r="R139" i="23"/>
  <c r="H140" i="23"/>
  <c r="N141" i="23"/>
  <c r="H143" i="23"/>
  <c r="M144" i="23"/>
  <c r="BR144" i="23" s="1"/>
  <c r="M147" i="23"/>
  <c r="BR147" i="23" s="1"/>
  <c r="G224" i="23"/>
  <c r="G255" i="23"/>
  <c r="G168" i="23"/>
  <c r="G187" i="23"/>
  <c r="R133" i="23"/>
  <c r="O135" i="23"/>
  <c r="H136" i="23"/>
  <c r="N138" i="23"/>
  <c r="M139" i="23"/>
  <c r="BR139" i="23" s="1"/>
  <c r="L140" i="23"/>
  <c r="K141" i="23"/>
  <c r="K142" i="23"/>
  <c r="J143" i="23"/>
  <c r="CD143" i="23" s="1"/>
  <c r="J144" i="23"/>
  <c r="CD144" i="23" s="1"/>
  <c r="I146" i="23"/>
  <c r="H147" i="23"/>
  <c r="G148" i="23"/>
  <c r="G149" i="23"/>
  <c r="G192" i="23"/>
  <c r="G230" i="23"/>
  <c r="G238" i="23"/>
  <c r="G257" i="23"/>
  <c r="I137" i="23"/>
  <c r="A142" i="23"/>
  <c r="A143" i="23"/>
  <c r="P144" i="23"/>
  <c r="G169" i="23"/>
  <c r="G193" i="23"/>
  <c r="G223" i="23"/>
  <c r="G231" i="23"/>
  <c r="G239" i="23"/>
  <c r="C7" i="35"/>
  <c r="B21" i="35"/>
  <c r="A115" i="23"/>
  <c r="G116" i="23"/>
  <c r="P118" i="23"/>
  <c r="M120" i="23"/>
  <c r="BR120" i="23" s="1"/>
  <c r="J122" i="23"/>
  <c r="CD122" i="23" s="1"/>
  <c r="A123" i="23"/>
  <c r="G124" i="23"/>
  <c r="P126" i="23"/>
  <c r="M128" i="23"/>
  <c r="BR128" i="23" s="1"/>
  <c r="J130" i="23"/>
  <c r="CD130" i="23" s="1"/>
  <c r="A131" i="23"/>
  <c r="G132" i="23"/>
  <c r="P134" i="23"/>
  <c r="G138" i="23"/>
  <c r="E139" i="23"/>
  <c r="R141" i="23"/>
  <c r="Q142" i="23"/>
  <c r="Q143" i="23"/>
  <c r="P145" i="23"/>
  <c r="O147" i="23"/>
  <c r="N148" i="23"/>
  <c r="M149" i="23"/>
  <c r="BR149" i="23" s="1"/>
  <c r="M150" i="23"/>
  <c r="BR150" i="23" s="1"/>
  <c r="G179" i="23"/>
  <c r="G245" i="23"/>
  <c r="C9" i="35"/>
  <c r="G183" i="23"/>
  <c r="G226" i="23"/>
  <c r="M140" i="23"/>
  <c r="BR140" i="23" s="1"/>
  <c r="G141" i="23"/>
  <c r="N144" i="23"/>
  <c r="A146" i="23"/>
  <c r="O146" i="23"/>
  <c r="I147" i="23"/>
  <c r="P150" i="23"/>
  <c r="G194" i="23"/>
  <c r="G209" i="23"/>
  <c r="G214" i="23"/>
  <c r="G236" i="23"/>
  <c r="G251" i="23"/>
  <c r="E138" i="23"/>
  <c r="R140" i="23"/>
  <c r="L141" i="23"/>
  <c r="M143" i="23"/>
  <c r="BR143" i="23" s="1"/>
  <c r="G144" i="23"/>
  <c r="N147" i="23"/>
  <c r="H148" i="23"/>
  <c r="A149" i="23"/>
  <c r="O149" i="23"/>
  <c r="I150" i="23"/>
  <c r="G199" i="23"/>
  <c r="G215" i="23"/>
  <c r="G220" i="23"/>
  <c r="C11" i="35"/>
  <c r="E136" i="23"/>
  <c r="R138" i="23"/>
  <c r="L139" i="23"/>
  <c r="F140" i="23"/>
  <c r="F291" i="23" s="1"/>
  <c r="G142" i="23"/>
  <c r="N145" i="23"/>
  <c r="H146" i="23"/>
  <c r="G151" i="23"/>
  <c r="G174" i="23"/>
  <c r="G197" i="23"/>
  <c r="G242" i="23"/>
  <c r="G252" i="23"/>
  <c r="G210" i="23"/>
  <c r="G234" i="23"/>
  <c r="G258" i="23"/>
  <c r="G269" i="23"/>
  <c r="G267" i="23"/>
  <c r="G213" i="23"/>
  <c r="G237" i="23"/>
  <c r="G261" i="23"/>
  <c r="G270" i="23"/>
  <c r="G14" i="25"/>
  <c r="C8" i="35"/>
  <c r="O136" i="23"/>
  <c r="L138" i="23"/>
  <c r="I140" i="23"/>
  <c r="F142" i="23"/>
  <c r="F293" i="23" s="1"/>
  <c r="R142" i="23"/>
  <c r="O144" i="23"/>
  <c r="L146" i="23"/>
  <c r="I148" i="23"/>
  <c r="F150" i="23"/>
  <c r="F301" i="23" s="1"/>
  <c r="R150" i="23"/>
  <c r="G211" i="23"/>
  <c r="G235" i="23"/>
  <c r="G259" i="23"/>
  <c r="F33" i="10"/>
  <c r="F26" i="19"/>
  <c r="I1" i="14"/>
  <c r="J1" i="14" s="1"/>
  <c r="B117" i="10" s="1"/>
  <c r="F117" i="10" s="1"/>
  <c r="N68" i="5"/>
  <c r="Q61" i="5"/>
  <c r="Q63" i="5" s="1"/>
  <c r="B51" i="19"/>
  <c r="F108" i="10"/>
  <c r="C17" i="19"/>
  <c r="B17" i="19"/>
  <c r="B43" i="19"/>
  <c r="M19" i="22"/>
  <c r="L19" i="22" s="1"/>
  <c r="H19" i="22"/>
  <c r="B5" i="24"/>
  <c r="B20" i="32"/>
  <c r="B11" i="32"/>
  <c r="B5" i="32"/>
  <c r="B16" i="32"/>
  <c r="B2" i="24"/>
  <c r="B13" i="32"/>
  <c r="B9" i="32"/>
  <c r="B3" i="32"/>
  <c r="B7" i="32"/>
  <c r="C13" i="9"/>
  <c r="E13" i="9" s="1"/>
  <c r="B133" i="16"/>
  <c r="B8" i="42" s="1"/>
  <c r="P18" i="5"/>
  <c r="P34" i="5" s="1"/>
  <c r="B100" i="10"/>
  <c r="B12" i="10"/>
  <c r="B13" i="10"/>
  <c r="F13" i="10" s="1"/>
  <c r="C43" i="19"/>
  <c r="H69" i="22"/>
  <c r="L19" i="5"/>
  <c r="L68" i="5" s="1"/>
  <c r="L70" i="5" s="1"/>
  <c r="B113" i="10" s="1"/>
  <c r="F113" i="10" s="1"/>
  <c r="B96" i="10"/>
  <c r="F96" i="10" s="1"/>
  <c r="B63" i="19"/>
  <c r="M36" i="22"/>
  <c r="L36" i="22" s="1"/>
  <c r="H36" i="22"/>
  <c r="B97" i="10"/>
  <c r="F97" i="10" s="1"/>
  <c r="C11" i="19"/>
  <c r="B11" i="19"/>
  <c r="H9" i="22"/>
  <c r="C40" i="22"/>
  <c r="D11" i="19"/>
  <c r="M33" i="22"/>
  <c r="L33" i="22" s="1"/>
  <c r="M43" i="22"/>
  <c r="L43" i="22" s="1"/>
  <c r="H43" i="22"/>
  <c r="M59" i="22"/>
  <c r="L59" i="22" s="1"/>
  <c r="M76" i="22"/>
  <c r="L76" i="22" s="1"/>
  <c r="H134" i="22"/>
  <c r="F52" i="10"/>
  <c r="M12" i="22"/>
  <c r="L12" i="22" s="1"/>
  <c r="H12" i="22"/>
  <c r="D8" i="36"/>
  <c r="C8" i="36"/>
  <c r="E8" i="36" s="1"/>
  <c r="D129" i="16"/>
  <c r="C59" i="16"/>
  <c r="D127" i="16"/>
  <c r="C62" i="19"/>
  <c r="F56" i="19" s="1"/>
  <c r="B62" i="19"/>
  <c r="M93" i="22"/>
  <c r="L93" i="22" s="1"/>
  <c r="M144" i="22"/>
  <c r="L144" i="22" s="1"/>
  <c r="B45" i="19"/>
  <c r="F100" i="10"/>
  <c r="B4" i="16"/>
  <c r="C20" i="19"/>
  <c r="C37" i="19"/>
  <c r="B56" i="19"/>
  <c r="B67" i="19"/>
  <c r="B22" i="10"/>
  <c r="F142" i="10"/>
  <c r="D37" i="19"/>
  <c r="H7" i="22"/>
  <c r="M7" i="22"/>
  <c r="L7" i="22" s="1"/>
  <c r="M23" i="22"/>
  <c r="L23" i="22" s="1"/>
  <c r="M91" i="22"/>
  <c r="L91" i="22" s="1"/>
  <c r="H91" i="22"/>
  <c r="H118" i="22"/>
  <c r="B8" i="10"/>
  <c r="B9" i="10" s="1"/>
  <c r="F9" i="10" s="1"/>
  <c r="C15" i="16"/>
  <c r="D67" i="19"/>
  <c r="H57" i="22"/>
  <c r="C68" i="19"/>
  <c r="B68" i="19"/>
  <c r="M24" i="22"/>
  <c r="L24" i="22" s="1"/>
  <c r="H24" i="22"/>
  <c r="M108" i="22"/>
  <c r="L108" i="22" s="1"/>
  <c r="B12" i="19"/>
  <c r="B14" i="9"/>
  <c r="F130" i="10"/>
  <c r="B48" i="10"/>
  <c r="F48" i="10" s="1"/>
  <c r="B33" i="19"/>
  <c r="B57" i="19"/>
  <c r="B90" i="10"/>
  <c r="B45" i="39" s="1"/>
  <c r="M21" i="22"/>
  <c r="L21" i="22" s="1"/>
  <c r="H31" i="22"/>
  <c r="M31" i="22"/>
  <c r="L31" i="22" s="1"/>
  <c r="M47" i="22"/>
  <c r="L47" i="22" s="1"/>
  <c r="H81" i="22"/>
  <c r="M98" i="22"/>
  <c r="L98" i="22" s="1"/>
  <c r="C129" i="22"/>
  <c r="M129" i="22"/>
  <c r="L129" i="22" s="1"/>
  <c r="M64" i="22"/>
  <c r="L64" i="22" s="1"/>
  <c r="M119" i="22"/>
  <c r="L119" i="22" s="1"/>
  <c r="H119" i="22"/>
  <c r="F12" i="10"/>
  <c r="B49" i="19"/>
  <c r="D66" i="19"/>
  <c r="D60" i="19"/>
  <c r="D14" i="19"/>
  <c r="D65" i="19"/>
  <c r="D18" i="19"/>
  <c r="D69" i="19"/>
  <c r="D57" i="19"/>
  <c r="D63" i="19"/>
  <c r="D36" i="19"/>
  <c r="D32" i="19"/>
  <c r="D28" i="19"/>
  <c r="E26" i="19" s="1"/>
  <c r="D59" i="19"/>
  <c r="D53" i="19"/>
  <c r="D47" i="19"/>
  <c r="D23" i="19"/>
  <c r="D41" i="19"/>
  <c r="D13" i="19"/>
  <c r="D17" i="19"/>
  <c r="D52" i="19"/>
  <c r="D46" i="19"/>
  <c r="D64" i="19"/>
  <c r="D58" i="19"/>
  <c r="D35" i="19"/>
  <c r="D31" i="19"/>
  <c r="D27" i="19"/>
  <c r="D22" i="19"/>
  <c r="D39" i="19"/>
  <c r="D12" i="19"/>
  <c r="D51" i="19"/>
  <c r="D45" i="19"/>
  <c r="D56" i="19"/>
  <c r="D20" i="19"/>
  <c r="D15" i="19"/>
  <c r="B39" i="19"/>
  <c r="C39" i="19"/>
  <c r="H21" i="22"/>
  <c r="M71" i="22"/>
  <c r="L71" i="22" s="1"/>
  <c r="M88" i="22"/>
  <c r="L88" i="22" s="1"/>
  <c r="B6" i="16"/>
  <c r="B5" i="16"/>
  <c r="B16" i="24" s="1"/>
  <c r="B168" i="16"/>
  <c r="B113" i="16"/>
  <c r="B31" i="16"/>
  <c r="B30" i="16"/>
  <c r="B23" i="16"/>
  <c r="B29" i="19"/>
  <c r="D49" i="19"/>
  <c r="M45" i="22"/>
  <c r="L45" i="22" s="1"/>
  <c r="M55" i="22"/>
  <c r="L55" i="22" s="1"/>
  <c r="H55" i="22"/>
  <c r="M147" i="22"/>
  <c r="L147" i="22" s="1"/>
  <c r="H147" i="22"/>
  <c r="B99" i="10"/>
  <c r="O18" i="5"/>
  <c r="O68" i="5" s="1"/>
  <c r="C134" i="16"/>
  <c r="B34" i="16"/>
  <c r="F32" i="10"/>
  <c r="M60" i="22"/>
  <c r="L60" i="22" s="1"/>
  <c r="H60" i="22"/>
  <c r="F99" i="10"/>
  <c r="B62" i="16"/>
  <c r="B72" i="16" s="1"/>
  <c r="B42" i="24"/>
  <c r="F133" i="10"/>
  <c r="M72" i="22"/>
  <c r="L72" i="22" s="1"/>
  <c r="H72" i="22"/>
  <c r="M106" i="22"/>
  <c r="L106" i="22" s="1"/>
  <c r="C106" i="22"/>
  <c r="H150" i="22"/>
  <c r="M150" i="22"/>
  <c r="L150" i="22" s="1"/>
  <c r="B98" i="10"/>
  <c r="F98" i="10" s="1"/>
  <c r="M16" i="22"/>
  <c r="L16" i="22" s="1"/>
  <c r="M101" i="22"/>
  <c r="L101" i="22" s="1"/>
  <c r="H101" i="22"/>
  <c r="H67" i="22"/>
  <c r="M67" i="22"/>
  <c r="L67" i="22" s="1"/>
  <c r="M84" i="22"/>
  <c r="L84" i="22" s="1"/>
  <c r="H84" i="22"/>
  <c r="H145" i="22"/>
  <c r="M145" i="22"/>
  <c r="L145" i="22" s="1"/>
  <c r="B98" i="16"/>
  <c r="C14" i="11" s="1"/>
  <c r="B111" i="16"/>
  <c r="B183" i="16"/>
  <c r="F63" i="10"/>
  <c r="M48" i="22"/>
  <c r="L48" i="22" s="1"/>
  <c r="H48" i="22"/>
  <c r="E26" i="33"/>
  <c r="B142" i="10" s="1"/>
  <c r="B127" i="16"/>
  <c r="B3" i="12"/>
  <c r="F15" i="10"/>
  <c r="D29" i="19"/>
  <c r="F41" i="19"/>
  <c r="B61" i="19"/>
  <c r="M11" i="22"/>
  <c r="L11" i="22" s="1"/>
  <c r="M96" i="22"/>
  <c r="L96" i="22" s="1"/>
  <c r="H96" i="22"/>
  <c r="D34" i="19"/>
  <c r="D50" i="19"/>
  <c r="M5" i="22"/>
  <c r="L5" i="22" s="1"/>
  <c r="H5" i="22"/>
  <c r="M28" i="22"/>
  <c r="L28" i="22" s="1"/>
  <c r="H45" i="22"/>
  <c r="H79" i="22"/>
  <c r="M79" i="22"/>
  <c r="L79" i="22" s="1"/>
  <c r="M137" i="22"/>
  <c r="L137" i="22" s="1"/>
  <c r="H137" i="22"/>
  <c r="D5" i="2"/>
  <c r="B22" i="11"/>
  <c r="C28" i="11"/>
  <c r="B63" i="10" s="1"/>
  <c r="M116" i="22"/>
  <c r="L116" i="22" s="1"/>
  <c r="B4" i="24"/>
  <c r="B130" i="10" s="1"/>
  <c r="B10" i="10" s="1"/>
  <c r="B11" i="10" s="1"/>
  <c r="C3" i="40"/>
  <c r="C2" i="40"/>
  <c r="H3" i="22"/>
  <c r="H17" i="22"/>
  <c r="H29" i="22"/>
  <c r="H41" i="22"/>
  <c r="H53" i="22"/>
  <c r="H65" i="22"/>
  <c r="H77" i="22"/>
  <c r="H89" i="22"/>
  <c r="H99" i="22"/>
  <c r="H109" i="22"/>
  <c r="H132" i="22"/>
  <c r="A25" i="11"/>
  <c r="A26" i="11" s="1"/>
  <c r="A29" i="11" s="1"/>
  <c r="B13" i="19"/>
  <c r="H94" i="22"/>
  <c r="BV2" i="23"/>
  <c r="A18" i="11"/>
  <c r="D59" i="16"/>
  <c r="B18" i="19"/>
  <c r="B59" i="19"/>
  <c r="B65" i="19"/>
  <c r="B23" i="19"/>
  <c r="B8" i="20"/>
  <c r="M114" i="22"/>
  <c r="L114" i="22" s="1"/>
  <c r="H117" i="22"/>
  <c r="H135" i="22"/>
  <c r="H140" i="22"/>
  <c r="B21" i="24"/>
  <c r="B20" i="24"/>
  <c r="B32" i="19"/>
  <c r="B36" i="19"/>
  <c r="B12" i="20"/>
  <c r="H107" i="22"/>
  <c r="E18" i="11"/>
  <c r="B32" i="16"/>
  <c r="C28" i="19"/>
  <c r="B11" i="30"/>
  <c r="B27" i="24" s="1"/>
  <c r="B133" i="10" s="1"/>
  <c r="J6" i="34"/>
  <c r="B8" i="26"/>
  <c r="A8" i="26"/>
  <c r="B1" i="30"/>
  <c r="C21" i="11" s="1"/>
  <c r="B51" i="10" s="1"/>
  <c r="F51" i="10" s="1"/>
  <c r="B7" i="30"/>
  <c r="B52" i="10" s="1"/>
  <c r="C22" i="11" s="1"/>
  <c r="C12" i="9"/>
  <c r="E12" i="9" s="1"/>
  <c r="A19" i="11"/>
  <c r="B26" i="11"/>
  <c r="B14" i="19"/>
  <c r="B60" i="19"/>
  <c r="B66" i="19"/>
  <c r="H97" i="22"/>
  <c r="B18" i="11"/>
  <c r="C11" i="9"/>
  <c r="E11" i="9" s="1"/>
  <c r="A8" i="1"/>
  <c r="B14" i="13"/>
  <c r="B19" i="19"/>
  <c r="B42" i="19"/>
  <c r="B48" i="19"/>
  <c r="B54" i="19"/>
  <c r="C11" i="36"/>
  <c r="B4" i="39"/>
  <c r="B36" i="24"/>
  <c r="B8" i="24"/>
  <c r="A1" i="1"/>
  <c r="B8" i="1"/>
  <c r="E26" i="11"/>
  <c r="M123" i="22"/>
  <c r="L123" i="22" s="1"/>
  <c r="M128" i="22"/>
  <c r="L128" i="22" s="1"/>
  <c r="AG239" i="23"/>
  <c r="AF239" i="23"/>
  <c r="AH239" i="23"/>
  <c r="AH223" i="23"/>
  <c r="AG223" i="23"/>
  <c r="AF223" i="23"/>
  <c r="AH236" i="23"/>
  <c r="AG236" i="23"/>
  <c r="AF236" i="23"/>
  <c r="BE179" i="23"/>
  <c r="AH179" i="23"/>
  <c r="AG179" i="23"/>
  <c r="AF179" i="23"/>
  <c r="AG189" i="23"/>
  <c r="AH189" i="23"/>
  <c r="AF189" i="23"/>
  <c r="BE189" i="23"/>
  <c r="AH204" i="23"/>
  <c r="AG204" i="23"/>
  <c r="AF204" i="23"/>
  <c r="AH244" i="23"/>
  <c r="AG244" i="23"/>
  <c r="AF244" i="23"/>
  <c r="AH178" i="23"/>
  <c r="AG178" i="23"/>
  <c r="BE178" i="23"/>
  <c r="AF178" i="23"/>
  <c r="AH203" i="23"/>
  <c r="AG203" i="23"/>
  <c r="AF203" i="23"/>
  <c r="BE167" i="23"/>
  <c r="AH167" i="23"/>
  <c r="AG167" i="23"/>
  <c r="AF167" i="23"/>
  <c r="AF199" i="23"/>
  <c r="BE199" i="23"/>
  <c r="AG199" i="23"/>
  <c r="AH199" i="23"/>
  <c r="AH173" i="23"/>
  <c r="AG173" i="23"/>
  <c r="AF173" i="23"/>
  <c r="BE173" i="23"/>
  <c r="AH209" i="23"/>
  <c r="AG209" i="23"/>
  <c r="AG228" i="23"/>
  <c r="AF228" i="23"/>
  <c r="AH228" i="23"/>
  <c r="AF180" i="23"/>
  <c r="AH180" i="23"/>
  <c r="AG180" i="23"/>
  <c r="AH182" i="23"/>
  <c r="BE182" i="23"/>
  <c r="AF169" i="23"/>
  <c r="BE169" i="23"/>
  <c r="AH169" i="23"/>
  <c r="AG169" i="23"/>
  <c r="AG170" i="23"/>
  <c r="AH170" i="23"/>
  <c r="AF170" i="23"/>
  <c r="AH225" i="23"/>
  <c r="AG225" i="23"/>
  <c r="AG233" i="23"/>
  <c r="AF233" i="23"/>
  <c r="AG240" i="23"/>
  <c r="AH240" i="23"/>
  <c r="AF240" i="23"/>
  <c r="AG210" i="23"/>
  <c r="AF210" i="23"/>
  <c r="AH220" i="23"/>
  <c r="AF220" i="23"/>
  <c r="BE202" i="23"/>
  <c r="AH202" i="23"/>
  <c r="AG202" i="23"/>
  <c r="AF202" i="23"/>
  <c r="AG246" i="23"/>
  <c r="AF246" i="23"/>
  <c r="AH235" i="23"/>
  <c r="AG235" i="23"/>
  <c r="AF235" i="23"/>
  <c r="AH196" i="23"/>
  <c r="AG196" i="23"/>
  <c r="BE196" i="23"/>
  <c r="AH259" i="23"/>
  <c r="AG259" i="23"/>
  <c r="AF259" i="23"/>
  <c r="BE193" i="23"/>
  <c r="AF193" i="23"/>
  <c r="AH193" i="23"/>
  <c r="AF218" i="23"/>
  <c r="AH218" i="23"/>
  <c r="AG264" i="23"/>
  <c r="AF264" i="23"/>
  <c r="AF237" i="23"/>
  <c r="AH237" i="23"/>
  <c r="AG237" i="23"/>
  <c r="AF266" i="23"/>
  <c r="AH266" i="23"/>
  <c r="AG266" i="23"/>
  <c r="AF271" i="23"/>
  <c r="AH271" i="23"/>
  <c r="AH226" i="23"/>
  <c r="AG226" i="23"/>
  <c r="AF258" i="23"/>
  <c r="AG271" i="23"/>
  <c r="AH213" i="23"/>
  <c r="AG213" i="23"/>
  <c r="AH192" i="23"/>
  <c r="AG192" i="23"/>
  <c r="AF192" i="23"/>
  <c r="AF213" i="23"/>
  <c r="AF217" i="23"/>
  <c r="AF257" i="23"/>
  <c r="AH177" i="23"/>
  <c r="AG177" i="23"/>
  <c r="BE181" i="23"/>
  <c r="AH181" i="23"/>
  <c r="AG187" i="23"/>
  <c r="AG257" i="23"/>
  <c r="AF177" i="23"/>
  <c r="AF181" i="23"/>
  <c r="AH187" i="23"/>
  <c r="AG190" i="23"/>
  <c r="AF190" i="23"/>
  <c r="BE190" i="23"/>
  <c r="AF194" i="23"/>
  <c r="AG215" i="23"/>
  <c r="AH245" i="23"/>
  <c r="AF245" i="23"/>
  <c r="AH191" i="23"/>
  <c r="AG191" i="23"/>
  <c r="AF191" i="23"/>
  <c r="AH221" i="23"/>
  <c r="AF221" i="23"/>
  <c r="AH269" i="23"/>
  <c r="AG269" i="23"/>
  <c r="AG184" i="23"/>
  <c r="AF184" i="23"/>
  <c r="AH184" i="23"/>
  <c r="AF201" i="23"/>
  <c r="AF234" i="23"/>
  <c r="AG222" i="23"/>
  <c r="AF222" i="23"/>
  <c r="AH241" i="23"/>
  <c r="AG241" i="23"/>
  <c r="G2" i="5" a="1"/>
  <c r="I2" i="5" a="1"/>
  <c r="C2" i="5" a="1"/>
  <c r="E2" i="5" a="1"/>
  <c r="A2" i="5" a="1"/>
  <c r="F153" i="23" l="1"/>
  <c r="F152" i="23" s="1"/>
  <c r="Z274" i="23"/>
  <c r="BS274" i="23"/>
  <c r="Y274" i="23"/>
  <c r="BB274" i="23"/>
  <c r="Z233" i="23"/>
  <c r="Y233" i="23"/>
  <c r="BS233" i="23"/>
  <c r="BB233" i="23"/>
  <c r="Z216" i="23"/>
  <c r="Y216" i="23"/>
  <c r="BS216" i="23"/>
  <c r="BB216" i="23"/>
  <c r="Y242" i="23"/>
  <c r="BS242" i="23"/>
  <c r="Z242" i="23"/>
  <c r="BB242" i="23"/>
  <c r="BS235" i="23"/>
  <c r="BB235" i="23"/>
  <c r="Z235" i="23"/>
  <c r="Y235" i="23"/>
  <c r="Z238" i="23"/>
  <c r="Y238" i="23"/>
  <c r="BS238" i="23"/>
  <c r="BB238" i="23"/>
  <c r="Z248" i="23"/>
  <c r="BS248" i="23"/>
  <c r="Y248" i="23"/>
  <c r="BB248" i="23"/>
  <c r="Z193" i="23"/>
  <c r="Y193" i="23"/>
  <c r="BB193" i="23"/>
  <c r="BS193" i="23"/>
  <c r="BB182" i="23"/>
  <c r="Y182" i="23"/>
  <c r="BS182" i="23"/>
  <c r="Z182" i="23"/>
  <c r="BB212" i="23"/>
  <c r="Z212" i="23"/>
  <c r="Y212" i="23"/>
  <c r="BS212" i="23"/>
  <c r="BB186" i="23"/>
  <c r="Z186" i="23"/>
  <c r="Y186" i="23"/>
  <c r="BS186" i="23"/>
  <c r="BB191" i="23"/>
  <c r="Y191" i="23"/>
  <c r="BS191" i="23"/>
  <c r="Z191" i="23"/>
  <c r="Z177" i="23"/>
  <c r="Y177" i="23"/>
  <c r="BB177" i="23"/>
  <c r="BS177" i="23"/>
  <c r="Z189" i="23"/>
  <c r="Y189" i="23"/>
  <c r="BS189" i="23"/>
  <c r="BB189" i="23"/>
  <c r="BS227" i="23"/>
  <c r="Z227" i="23"/>
  <c r="Y227" i="23"/>
  <c r="BB227" i="23"/>
  <c r="Z257" i="23"/>
  <c r="Y257" i="23"/>
  <c r="BS257" i="23"/>
  <c r="BB257" i="23"/>
  <c r="Z241" i="23"/>
  <c r="Y241" i="23"/>
  <c r="BS241" i="23"/>
  <c r="BB241" i="23"/>
  <c r="BB176" i="23"/>
  <c r="Z176" i="23"/>
  <c r="Y176" i="23"/>
  <c r="BS176" i="23"/>
  <c r="Z228" i="23"/>
  <c r="Y228" i="23"/>
  <c r="BS228" i="23"/>
  <c r="BB228" i="23"/>
  <c r="BB244" i="23"/>
  <c r="Z244" i="23"/>
  <c r="Y244" i="23"/>
  <c r="BS244" i="23"/>
  <c r="Z179" i="23"/>
  <c r="Y179" i="23"/>
  <c r="BS179" i="23"/>
  <c r="BB179" i="23"/>
  <c r="BS183" i="23"/>
  <c r="Z183" i="23"/>
  <c r="BB183" i="23"/>
  <c r="Y183" i="23"/>
  <c r="Y267" i="23"/>
  <c r="BS267" i="23"/>
  <c r="BB267" i="23"/>
  <c r="Z267" i="23"/>
  <c r="Y251" i="23"/>
  <c r="BS251" i="23"/>
  <c r="Z251" i="23"/>
  <c r="BB251" i="23"/>
  <c r="BB225" i="23"/>
  <c r="BS225" i="23"/>
  <c r="Z225" i="23"/>
  <c r="Y225" i="23"/>
  <c r="Z204" i="23"/>
  <c r="Y204" i="23"/>
  <c r="BS204" i="23"/>
  <c r="BB204" i="23"/>
  <c r="Z239" i="23"/>
  <c r="BS239" i="23"/>
  <c r="Y239" i="23"/>
  <c r="BB239" i="23"/>
  <c r="BB172" i="23"/>
  <c r="Z172" i="23"/>
  <c r="BS172" i="23"/>
  <c r="Y172" i="23"/>
  <c r="BB250" i="23"/>
  <c r="Z250" i="23"/>
  <c r="Y250" i="23"/>
  <c r="BS250" i="23"/>
  <c r="Y224" i="23"/>
  <c r="BS224" i="23"/>
  <c r="BB224" i="23"/>
  <c r="Z224" i="23"/>
  <c r="Z266" i="23"/>
  <c r="Y266" i="23"/>
  <c r="BS266" i="23"/>
  <c r="BB266" i="23"/>
  <c r="BB171" i="23"/>
  <c r="Z171" i="23"/>
  <c r="BS171" i="23"/>
  <c r="Y171" i="23"/>
  <c r="Z180" i="23"/>
  <c r="Y180" i="23"/>
  <c r="BS180" i="23"/>
  <c r="BB180" i="23"/>
  <c r="BB271" i="23"/>
  <c r="BS271" i="23"/>
  <c r="Z271" i="23"/>
  <c r="Y271" i="23"/>
  <c r="BB259" i="23"/>
  <c r="BS259" i="23"/>
  <c r="Z259" i="23"/>
  <c r="Y259" i="23"/>
  <c r="Z229" i="23"/>
  <c r="Y229" i="23"/>
  <c r="BS229" i="23"/>
  <c r="BB229" i="23"/>
  <c r="Z245" i="23"/>
  <c r="Y245" i="23"/>
  <c r="BS245" i="23"/>
  <c r="BB245" i="23"/>
  <c r="Z174" i="23"/>
  <c r="Y174" i="23"/>
  <c r="BS174" i="23"/>
  <c r="BB174" i="23"/>
  <c r="BS175" i="23"/>
  <c r="Z175" i="23"/>
  <c r="Y175" i="23"/>
  <c r="BB175" i="23"/>
  <c r="BB260" i="23"/>
  <c r="Z260" i="23"/>
  <c r="Y260" i="23"/>
  <c r="BS260" i="23"/>
  <c r="BB243" i="23"/>
  <c r="Z243" i="23"/>
  <c r="Y243" i="23"/>
  <c r="BS243" i="23"/>
  <c r="Y203" i="23"/>
  <c r="BS203" i="23"/>
  <c r="BB203" i="23"/>
  <c r="Z203" i="23"/>
  <c r="BB201" i="23"/>
  <c r="Z201" i="23"/>
  <c r="Y201" i="23"/>
  <c r="BS201" i="23"/>
  <c r="Z200" i="23"/>
  <c r="BS200" i="23"/>
  <c r="Y200" i="23"/>
  <c r="BB200" i="23"/>
  <c r="Z221" i="23"/>
  <c r="Y221" i="23"/>
  <c r="BB221" i="23"/>
  <c r="BS221" i="23"/>
  <c r="BB218" i="23"/>
  <c r="Z218" i="23"/>
  <c r="Y218" i="23"/>
  <c r="BS218" i="23"/>
  <c r="Y220" i="23"/>
  <c r="BS220" i="23"/>
  <c r="BB220" i="23"/>
  <c r="Z220" i="23"/>
  <c r="Z210" i="23"/>
  <c r="Y210" i="23"/>
  <c r="BS210" i="23"/>
  <c r="BB210" i="23"/>
  <c r="BB202" i="23"/>
  <c r="Z202" i="23"/>
  <c r="BS202" i="23"/>
  <c r="Y202" i="23"/>
  <c r="Z208" i="23"/>
  <c r="BS208" i="23"/>
  <c r="Y208" i="23"/>
  <c r="BB208" i="23"/>
  <c r="Z222" i="23"/>
  <c r="Y222" i="23"/>
  <c r="BS222" i="23"/>
  <c r="BB222" i="23"/>
  <c r="Z170" i="23"/>
  <c r="Y170" i="23"/>
  <c r="BS170" i="23"/>
  <c r="BB170" i="23"/>
  <c r="Z169" i="23"/>
  <c r="Y169" i="23"/>
  <c r="BS169" i="23"/>
  <c r="BB169" i="23"/>
  <c r="Z256" i="23"/>
  <c r="BS256" i="23"/>
  <c r="Y256" i="23"/>
  <c r="BB256" i="23"/>
  <c r="Z219" i="23"/>
  <c r="BB219" i="23"/>
  <c r="Y219" i="23"/>
  <c r="BS219" i="23"/>
  <c r="BB237" i="23"/>
  <c r="Z237" i="23"/>
  <c r="Y237" i="23"/>
  <c r="BS237" i="23"/>
  <c r="Z194" i="23"/>
  <c r="Y194" i="23"/>
  <c r="BS194" i="23"/>
  <c r="BB194" i="23"/>
  <c r="Z205" i="23"/>
  <c r="Y205" i="23"/>
  <c r="BS205" i="23"/>
  <c r="BB205" i="23"/>
  <c r="Z173" i="23"/>
  <c r="Y173" i="23"/>
  <c r="BS173" i="23"/>
  <c r="BB173" i="23"/>
  <c r="Y181" i="23"/>
  <c r="BS181" i="23"/>
  <c r="BB181" i="23"/>
  <c r="Z181" i="23"/>
  <c r="BS190" i="23"/>
  <c r="Y190" i="23"/>
  <c r="Z190" i="23"/>
  <c r="BB190" i="23"/>
  <c r="BB167" i="23"/>
  <c r="Z167" i="23"/>
  <c r="Y167" i="23"/>
  <c r="BS167" i="23"/>
  <c r="Y263" i="23"/>
  <c r="BS263" i="23"/>
  <c r="BB263" i="23"/>
  <c r="Z263" i="23"/>
  <c r="Z232" i="23"/>
  <c r="BS232" i="23"/>
  <c r="Y232" i="23"/>
  <c r="BB232" i="23"/>
  <c r="BB231" i="23"/>
  <c r="Z231" i="23"/>
  <c r="Y231" i="23"/>
  <c r="BS231" i="23"/>
  <c r="BS196" i="23"/>
  <c r="BB196" i="23"/>
  <c r="Z196" i="23"/>
  <c r="Y196" i="23"/>
  <c r="BB192" i="23"/>
  <c r="BS192" i="23"/>
  <c r="Z192" i="23"/>
  <c r="Y192" i="23"/>
  <c r="BB264" i="23"/>
  <c r="Y264" i="23"/>
  <c r="Z264" i="23"/>
  <c r="BS264" i="23"/>
  <c r="BS198" i="23"/>
  <c r="Z198" i="23"/>
  <c r="Y198" i="23"/>
  <c r="BB198" i="23"/>
  <c r="Z255" i="23"/>
  <c r="BS255" i="23"/>
  <c r="Y255" i="23"/>
  <c r="BB255" i="23"/>
  <c r="BS236" i="23"/>
  <c r="BB236" i="23"/>
  <c r="Z236" i="23"/>
  <c r="Y236" i="23"/>
  <c r="Y211" i="23"/>
  <c r="BS211" i="23"/>
  <c r="Z211" i="23"/>
  <c r="BB211" i="23"/>
  <c r="Z215" i="23"/>
  <c r="Y215" i="23"/>
  <c r="BS215" i="23"/>
  <c r="BB215" i="23"/>
  <c r="BB272" i="23"/>
  <c r="Z272" i="23"/>
  <c r="Y272" i="23"/>
  <c r="BS272" i="23"/>
  <c r="Z234" i="23"/>
  <c r="Y234" i="23"/>
  <c r="BS234" i="23"/>
  <c r="BB234" i="23"/>
  <c r="BB249" i="23"/>
  <c r="Z249" i="23"/>
  <c r="Y249" i="23"/>
  <c r="BS249" i="23"/>
  <c r="BS258" i="23"/>
  <c r="Z258" i="23"/>
  <c r="Y258" i="23"/>
  <c r="BB258" i="23"/>
  <c r="BB275" i="23"/>
  <c r="BS275" i="23"/>
  <c r="Z275" i="23"/>
  <c r="Y275" i="23"/>
  <c r="Z223" i="23"/>
  <c r="Y223" i="23"/>
  <c r="BS223" i="23"/>
  <c r="BB223" i="23"/>
  <c r="Z252" i="23"/>
  <c r="BS252" i="23"/>
  <c r="Y252" i="23"/>
  <c r="BB252" i="23"/>
  <c r="BS230" i="23"/>
  <c r="Y230" i="23"/>
  <c r="BB230" i="23"/>
  <c r="Z230" i="23"/>
  <c r="Z246" i="23"/>
  <c r="BS246" i="23"/>
  <c r="BB246" i="23"/>
  <c r="Y246" i="23"/>
  <c r="BS188" i="23"/>
  <c r="Y188" i="23"/>
  <c r="Z188" i="23"/>
  <c r="BB188" i="23"/>
  <c r="BS217" i="23"/>
  <c r="BB217" i="23"/>
  <c r="Z217" i="23"/>
  <c r="Y217" i="23"/>
  <c r="BB207" i="23"/>
  <c r="Z207" i="23"/>
  <c r="Y207" i="23"/>
  <c r="BS207" i="23"/>
  <c r="Z214" i="23"/>
  <c r="BS214" i="23"/>
  <c r="Y214" i="23"/>
  <c r="BB214" i="23"/>
  <c r="BB187" i="23"/>
  <c r="Z187" i="23"/>
  <c r="Y187" i="23"/>
  <c r="BS187" i="23"/>
  <c r="Z168" i="23"/>
  <c r="BS168" i="23"/>
  <c r="Y168" i="23"/>
  <c r="BB168" i="23"/>
  <c r="Z268" i="23"/>
  <c r="Y268" i="23"/>
  <c r="BS268" i="23"/>
  <c r="BB268" i="23"/>
  <c r="BB254" i="23"/>
  <c r="Z254" i="23"/>
  <c r="Y254" i="23"/>
  <c r="BS254" i="23"/>
  <c r="BB226" i="23"/>
  <c r="Z226" i="23"/>
  <c r="BS226" i="23"/>
  <c r="Y226" i="23"/>
  <c r="BS270" i="23"/>
  <c r="BB270" i="23"/>
  <c r="Y270" i="23"/>
  <c r="Z270" i="23"/>
  <c r="Z269" i="23"/>
  <c r="Y269" i="23"/>
  <c r="BS269" i="23"/>
  <c r="BB269" i="23"/>
  <c r="Z178" i="23"/>
  <c r="BS178" i="23"/>
  <c r="Y178" i="23"/>
  <c r="BB178" i="23"/>
  <c r="Z195" i="23"/>
  <c r="BS195" i="23"/>
  <c r="Y195" i="23"/>
  <c r="BB195" i="23"/>
  <c r="Z209" i="23"/>
  <c r="Y209" i="23"/>
  <c r="BS209" i="23"/>
  <c r="BB209" i="23"/>
  <c r="BS206" i="23"/>
  <c r="BB206" i="23"/>
  <c r="Z206" i="23"/>
  <c r="Y206" i="23"/>
  <c r="Z262" i="23"/>
  <c r="BS262" i="23"/>
  <c r="Y262" i="23"/>
  <c r="BB262" i="23"/>
  <c r="BS253" i="23"/>
  <c r="BB253" i="23"/>
  <c r="Z253" i="23"/>
  <c r="Y253" i="23"/>
  <c r="BB265" i="23"/>
  <c r="Z265" i="23"/>
  <c r="Y265" i="23"/>
  <c r="BS265" i="23"/>
  <c r="Z261" i="23"/>
  <c r="BS261" i="23"/>
  <c r="Y261" i="23"/>
  <c r="BB261" i="23"/>
  <c r="Z247" i="23"/>
  <c r="Y247" i="23"/>
  <c r="BS247" i="23"/>
  <c r="BB247" i="23"/>
  <c r="Z184" i="23"/>
  <c r="Y184" i="23"/>
  <c r="BB184" i="23"/>
  <c r="BS184" i="23"/>
  <c r="BB197" i="23"/>
  <c r="BS197" i="23"/>
  <c r="Y197" i="23"/>
  <c r="Z197" i="23"/>
  <c r="BB213" i="23"/>
  <c r="Z213" i="23"/>
  <c r="Y213" i="23"/>
  <c r="BS213" i="23"/>
  <c r="BS273" i="23"/>
  <c r="Y273" i="23"/>
  <c r="Z273" i="23"/>
  <c r="BB273" i="23"/>
  <c r="Z240" i="23"/>
  <c r="Y240" i="23"/>
  <c r="BS240" i="23"/>
  <c r="BB240" i="23"/>
  <c r="Z199" i="23"/>
  <c r="Y199" i="23"/>
  <c r="BS199" i="23"/>
  <c r="BB199" i="23"/>
  <c r="BS185" i="23"/>
  <c r="Z185" i="23"/>
  <c r="Y185" i="23"/>
  <c r="BB185" i="23"/>
  <c r="B137" i="16"/>
  <c r="B18" i="16"/>
  <c r="A2" i="28" s="1"/>
  <c r="A2" i="5"/>
  <c r="G2" i="5"/>
  <c r="I2" i="5"/>
  <c r="C2" i="5"/>
  <c r="E2" i="5"/>
  <c r="BU135" i="23"/>
  <c r="BT135" i="23"/>
  <c r="BS133" i="23"/>
  <c r="Y133" i="23"/>
  <c r="AJ92" i="23"/>
  <c r="AI92" i="23"/>
  <c r="AC92" i="23"/>
  <c r="AD92" i="23"/>
  <c r="AM92" i="23"/>
  <c r="AA92" i="23"/>
  <c r="CC92" i="23"/>
  <c r="AL92" i="23"/>
  <c r="AK92" i="23"/>
  <c r="AB92" i="23"/>
  <c r="Y135" i="23"/>
  <c r="BS135" i="23"/>
  <c r="BU31" i="23"/>
  <c r="BT31" i="23"/>
  <c r="AV59" i="23"/>
  <c r="AW59" i="23"/>
  <c r="U59" i="23"/>
  <c r="T59" i="23"/>
  <c r="AE59" i="23"/>
  <c r="T116" i="23"/>
  <c r="U116" i="23"/>
  <c r="AE116" i="23"/>
  <c r="AW116" i="23"/>
  <c r="AV116" i="23"/>
  <c r="BF43" i="23"/>
  <c r="Z43" i="23"/>
  <c r="BM43" i="23"/>
  <c r="BV44" i="23"/>
  <c r="BK43" i="23"/>
  <c r="BJ43" i="23"/>
  <c r="V43" i="23"/>
  <c r="S43" i="23"/>
  <c r="AY43" i="23"/>
  <c r="AS43" i="23"/>
  <c r="BP43" i="23"/>
  <c r="BQ43" i="23" s="1"/>
  <c r="BN43" i="23"/>
  <c r="AQ43" i="23"/>
  <c r="AP43" i="23"/>
  <c r="AO43" i="23"/>
  <c r="AN43" i="23"/>
  <c r="CB43" i="23"/>
  <c r="AD29" i="23"/>
  <c r="AC29" i="23"/>
  <c r="AB29" i="23"/>
  <c r="AA29" i="23"/>
  <c r="AM29" i="23"/>
  <c r="AL29" i="23"/>
  <c r="AK29" i="23"/>
  <c r="AJ29" i="23"/>
  <c r="AI29" i="23"/>
  <c r="CC29" i="23"/>
  <c r="CA6" i="23"/>
  <c r="BZ6" i="23"/>
  <c r="BY6" i="23"/>
  <c r="BI124" i="23"/>
  <c r="CA135" i="23"/>
  <c r="BZ135" i="23"/>
  <c r="BY135" i="23"/>
  <c r="AT141" i="23"/>
  <c r="C141" i="23"/>
  <c r="D141" i="23" s="1"/>
  <c r="W141" i="23"/>
  <c r="X141" i="23"/>
  <c r="B141" i="23"/>
  <c r="BH141" i="23" s="1"/>
  <c r="CA66" i="23"/>
  <c r="BZ66" i="23"/>
  <c r="BY66" i="23"/>
  <c r="BO200" i="23"/>
  <c r="BH200" i="23"/>
  <c r="BN107" i="23"/>
  <c r="CB107" i="23"/>
  <c r="AP107" i="23"/>
  <c r="AO107" i="23"/>
  <c r="BM107" i="23"/>
  <c r="AS107" i="23"/>
  <c r="AQ107" i="23"/>
  <c r="BP107" i="23"/>
  <c r="BQ107" i="23" s="1"/>
  <c r="BK107" i="23"/>
  <c r="BJ107" i="23"/>
  <c r="S107" i="23"/>
  <c r="AY107" i="23"/>
  <c r="BF107" i="23"/>
  <c r="AN107" i="23"/>
  <c r="Z107" i="23"/>
  <c r="V107" i="23"/>
  <c r="BV108" i="23"/>
  <c r="AS38" i="23"/>
  <c r="S38" i="23"/>
  <c r="AQ38" i="23"/>
  <c r="AP38" i="23"/>
  <c r="CB38" i="23"/>
  <c r="V38" i="23"/>
  <c r="AY38" i="23"/>
  <c r="AO38" i="23"/>
  <c r="AN38" i="23"/>
  <c r="BV39" i="23"/>
  <c r="Z38" i="23"/>
  <c r="BM38" i="23"/>
  <c r="BP38" i="23"/>
  <c r="BQ38" i="23" s="1"/>
  <c r="BN38" i="23"/>
  <c r="BK38" i="23"/>
  <c r="BJ38" i="23"/>
  <c r="BF38" i="23"/>
  <c r="BL8" i="23"/>
  <c r="AW8" i="23"/>
  <c r="AV8" i="23"/>
  <c r="AE8" i="23"/>
  <c r="U8" i="23"/>
  <c r="T8" i="23"/>
  <c r="BI141" i="23"/>
  <c r="B120" i="23"/>
  <c r="BH120" i="23" s="1"/>
  <c r="AT120" i="23"/>
  <c r="X120" i="23"/>
  <c r="C120" i="23"/>
  <c r="W120" i="23"/>
  <c r="AP105" i="23"/>
  <c r="BN105" i="23"/>
  <c r="BM105" i="23"/>
  <c r="AS105" i="23"/>
  <c r="AQ105" i="23"/>
  <c r="BP105" i="23"/>
  <c r="BQ105" i="23" s="1"/>
  <c r="Z105" i="23"/>
  <c r="S105" i="23"/>
  <c r="BF105" i="23"/>
  <c r="AY105" i="23"/>
  <c r="V105" i="23"/>
  <c r="BK105" i="23"/>
  <c r="BJ105" i="23"/>
  <c r="AO105" i="23"/>
  <c r="AN105" i="23"/>
  <c r="BV106" i="23"/>
  <c r="CB105" i="23"/>
  <c r="AD137" i="23"/>
  <c r="AC137" i="23"/>
  <c r="AA137" i="23"/>
  <c r="AI137" i="23"/>
  <c r="AL137" i="23"/>
  <c r="AK137" i="23"/>
  <c r="AB137" i="23"/>
  <c r="AM137" i="23"/>
  <c r="CC137" i="23"/>
  <c r="AJ137" i="23"/>
  <c r="BH271" i="23"/>
  <c r="BO271" i="23"/>
  <c r="X118" i="23"/>
  <c r="W118" i="23"/>
  <c r="B118" i="23"/>
  <c r="BH118" i="23" s="1"/>
  <c r="C118" i="23"/>
  <c r="D118" i="23" s="1"/>
  <c r="AT118" i="23"/>
  <c r="BI95" i="23"/>
  <c r="BS77" i="23"/>
  <c r="Y77" i="23"/>
  <c r="AV114" i="23"/>
  <c r="T114" i="23"/>
  <c r="AE114" i="23"/>
  <c r="U114" i="23"/>
  <c r="AW114" i="23"/>
  <c r="AC95" i="23"/>
  <c r="AB95" i="23"/>
  <c r="AA95" i="23"/>
  <c r="AI95" i="23"/>
  <c r="CC95" i="23"/>
  <c r="AL95" i="23"/>
  <c r="AK95" i="23"/>
  <c r="AJ95" i="23"/>
  <c r="AD95" i="23"/>
  <c r="AM95" i="23"/>
  <c r="AP74" i="23"/>
  <c r="AO74" i="23"/>
  <c r="CB74" i="23"/>
  <c r="AS74" i="23"/>
  <c r="AQ74" i="23"/>
  <c r="AN74" i="23"/>
  <c r="BJ74" i="23"/>
  <c r="V74" i="23"/>
  <c r="BN74" i="23"/>
  <c r="S74" i="23"/>
  <c r="BM74" i="23"/>
  <c r="BK74" i="23"/>
  <c r="AY74" i="23"/>
  <c r="BP74" i="23"/>
  <c r="BQ74" i="23" s="1"/>
  <c r="BF74" i="23"/>
  <c r="Z74" i="23"/>
  <c r="BV75" i="23"/>
  <c r="AE64" i="23"/>
  <c r="U64" i="23"/>
  <c r="T64" i="23"/>
  <c r="AV64" i="23"/>
  <c r="AW64" i="23"/>
  <c r="U145" i="23"/>
  <c r="T145" i="23"/>
  <c r="AE145" i="23"/>
  <c r="AV145" i="23"/>
  <c r="AW145" i="23"/>
  <c r="BS107" i="23"/>
  <c r="Y107" i="23"/>
  <c r="AJ30" i="23"/>
  <c r="AI30" i="23"/>
  <c r="AD30" i="23"/>
  <c r="AM30" i="23"/>
  <c r="AL30" i="23"/>
  <c r="AK30" i="23"/>
  <c r="AC30" i="23"/>
  <c r="AB30" i="23"/>
  <c r="AA30" i="23"/>
  <c r="CC30" i="23"/>
  <c r="BU2" i="23"/>
  <c r="BT2" i="23"/>
  <c r="CA19" i="23"/>
  <c r="BZ19" i="23"/>
  <c r="BY19" i="23"/>
  <c r="W119" i="23"/>
  <c r="X119" i="23"/>
  <c r="B119" i="23"/>
  <c r="BO119" i="23" s="1"/>
  <c r="C119" i="23"/>
  <c r="AT119" i="23"/>
  <c r="BI135" i="23"/>
  <c r="AL104" i="23"/>
  <c r="AK104" i="23"/>
  <c r="AJ104" i="23"/>
  <c r="AD104" i="23"/>
  <c r="AC104" i="23"/>
  <c r="AA104" i="23"/>
  <c r="CC104" i="23"/>
  <c r="AM104" i="23"/>
  <c r="AI104" i="23"/>
  <c r="AB104" i="23"/>
  <c r="AP119" i="23"/>
  <c r="AO119" i="23"/>
  <c r="S119" i="23"/>
  <c r="BP119" i="23"/>
  <c r="BQ119" i="23" s="1"/>
  <c r="BM119" i="23"/>
  <c r="BK119" i="23"/>
  <c r="V119" i="23"/>
  <c r="AQ119" i="23"/>
  <c r="BF119" i="23"/>
  <c r="AY119" i="23"/>
  <c r="Z119" i="23"/>
  <c r="AS119" i="23"/>
  <c r="BN119" i="23"/>
  <c r="AN119" i="23"/>
  <c r="BV120" i="23"/>
  <c r="BJ119" i="23"/>
  <c r="CB119" i="23"/>
  <c r="Y149" i="23"/>
  <c r="BS149" i="23"/>
  <c r="Y138" i="23"/>
  <c r="BS138" i="23"/>
  <c r="CC108" i="23"/>
  <c r="AC108" i="23"/>
  <c r="AM108" i="23"/>
  <c r="AL108" i="23"/>
  <c r="AA108" i="23"/>
  <c r="AD108" i="23"/>
  <c r="AK108" i="23"/>
  <c r="AB108" i="23"/>
  <c r="AJ108" i="23"/>
  <c r="AI108" i="23"/>
  <c r="BU133" i="23"/>
  <c r="BT133" i="23"/>
  <c r="BM137" i="23"/>
  <c r="BK137" i="23"/>
  <c r="BN137" i="23"/>
  <c r="BJ137" i="23"/>
  <c r="Z137" i="23"/>
  <c r="CB137" i="23"/>
  <c r="AP137" i="23"/>
  <c r="BF137" i="23"/>
  <c r="S137" i="23"/>
  <c r="AQ137" i="23"/>
  <c r="V137" i="23"/>
  <c r="AS137" i="23"/>
  <c r="AO137" i="23"/>
  <c r="BV138" i="23"/>
  <c r="AN137" i="23"/>
  <c r="BP137" i="23"/>
  <c r="BQ137" i="23" s="1"/>
  <c r="AY137" i="23"/>
  <c r="BZ88" i="23"/>
  <c r="BY88" i="23"/>
  <c r="CA88" i="23"/>
  <c r="AM86" i="23"/>
  <c r="AL86" i="23"/>
  <c r="AK86" i="23"/>
  <c r="CC86" i="23"/>
  <c r="AA86" i="23"/>
  <c r="AB86" i="23"/>
  <c r="AC86" i="23"/>
  <c r="AJ86" i="23"/>
  <c r="AI86" i="23"/>
  <c r="AD86" i="23"/>
  <c r="AX18" i="23"/>
  <c r="CD18" i="23"/>
  <c r="BI45" i="23"/>
  <c r="AZ3" i="23"/>
  <c r="X3" i="23"/>
  <c r="W3" i="23"/>
  <c r="AT3" i="23"/>
  <c r="BG3" i="23" s="1"/>
  <c r="C3" i="23"/>
  <c r="D3" i="23" s="1"/>
  <c r="B3" i="23"/>
  <c r="AY3" i="23" s="1"/>
  <c r="BS33" i="23"/>
  <c r="Y33" i="23"/>
  <c r="BB33" i="23"/>
  <c r="BD33" i="23" s="1"/>
  <c r="AS10" i="23"/>
  <c r="V10" i="23"/>
  <c r="S10" i="23"/>
  <c r="BV11" i="23"/>
  <c r="BJ10" i="23"/>
  <c r="Z10" i="23"/>
  <c r="BF10" i="23"/>
  <c r="AY10" i="23"/>
  <c r="AQ10" i="23"/>
  <c r="AP10" i="23"/>
  <c r="AN10" i="23"/>
  <c r="AO10" i="23"/>
  <c r="BP10" i="23"/>
  <c r="BQ10" i="23" s="1"/>
  <c r="CB10" i="23"/>
  <c r="BN10" i="23"/>
  <c r="BM10" i="23"/>
  <c r="BK10" i="23"/>
  <c r="AB17" i="23"/>
  <c r="AA17" i="23"/>
  <c r="AI17" i="23"/>
  <c r="AC17" i="23"/>
  <c r="AL17" i="23"/>
  <c r="AK17" i="23"/>
  <c r="AM17" i="23"/>
  <c r="AJ17" i="23"/>
  <c r="AD17" i="23"/>
  <c r="CC17" i="23"/>
  <c r="E56" i="19"/>
  <c r="BH226" i="23"/>
  <c r="BO226" i="23"/>
  <c r="BS130" i="23"/>
  <c r="Y130" i="23"/>
  <c r="AL149" i="23"/>
  <c r="AK149" i="23"/>
  <c r="AM149" i="23"/>
  <c r="AJ149" i="23"/>
  <c r="AD149" i="23"/>
  <c r="AA149" i="23"/>
  <c r="AI149" i="23"/>
  <c r="CC149" i="23"/>
  <c r="AC149" i="23"/>
  <c r="AB149" i="23"/>
  <c r="BU137" i="23"/>
  <c r="BT137" i="23"/>
  <c r="CC97" i="23"/>
  <c r="AA97" i="23"/>
  <c r="AJ97" i="23"/>
  <c r="AI97" i="23"/>
  <c r="AL97" i="23"/>
  <c r="AK97" i="23"/>
  <c r="AD97" i="23"/>
  <c r="AB97" i="23"/>
  <c r="AM97" i="23"/>
  <c r="AC97" i="23"/>
  <c r="BS89" i="23"/>
  <c r="Y89" i="23"/>
  <c r="Y22" i="23"/>
  <c r="BB22" i="23"/>
  <c r="BS22" i="23"/>
  <c r="BU6" i="23"/>
  <c r="BT6" i="23"/>
  <c r="BO199" i="23"/>
  <c r="BH199" i="23"/>
  <c r="BY149" i="23"/>
  <c r="CA149" i="23"/>
  <c r="BZ149" i="23"/>
  <c r="BF147" i="23"/>
  <c r="AO147" i="23"/>
  <c r="AN147" i="23"/>
  <c r="BM147" i="23"/>
  <c r="AS147" i="23"/>
  <c r="AQ147" i="23"/>
  <c r="Z147" i="23"/>
  <c r="AP147" i="23"/>
  <c r="V147" i="23"/>
  <c r="CB147" i="23"/>
  <c r="BV148" i="23"/>
  <c r="BJ147" i="23"/>
  <c r="BP147" i="23"/>
  <c r="BQ147" i="23" s="1"/>
  <c r="BK147" i="23"/>
  <c r="BN147" i="23"/>
  <c r="AY147" i="23"/>
  <c r="S147" i="23"/>
  <c r="CA146" i="23"/>
  <c r="BZ146" i="23"/>
  <c r="BY146" i="23"/>
  <c r="CA143" i="23"/>
  <c r="BZ143" i="23"/>
  <c r="BY143" i="23"/>
  <c r="BU72" i="23"/>
  <c r="BT72" i="23"/>
  <c r="BI83" i="23"/>
  <c r="BI113" i="23"/>
  <c r="BI70" i="23"/>
  <c r="Y21" i="23"/>
  <c r="BB21" i="23"/>
  <c r="BS21" i="23"/>
  <c r="BY24" i="23"/>
  <c r="BZ24" i="23"/>
  <c r="CA24" i="23"/>
  <c r="AT47" i="23"/>
  <c r="BG47" i="23" s="1"/>
  <c r="X47" i="23"/>
  <c r="W47" i="23"/>
  <c r="C47" i="23"/>
  <c r="D47" i="23" s="1"/>
  <c r="B47" i="23"/>
  <c r="BO47" i="23" s="1"/>
  <c r="AZ47" i="23"/>
  <c r="AW85" i="23"/>
  <c r="AV85" i="23"/>
  <c r="U85" i="23"/>
  <c r="T85" i="23"/>
  <c r="AE85" i="23"/>
  <c r="AO91" i="23"/>
  <c r="V91" i="23"/>
  <c r="BJ91" i="23"/>
  <c r="CB91" i="23"/>
  <c r="Z91" i="23"/>
  <c r="BM91" i="23"/>
  <c r="BF91" i="23"/>
  <c r="S91" i="23"/>
  <c r="BN91" i="23"/>
  <c r="BP91" i="23"/>
  <c r="BQ91" i="23" s="1"/>
  <c r="AQ91" i="23"/>
  <c r="AP91" i="23"/>
  <c r="BV92" i="23"/>
  <c r="BK91" i="23"/>
  <c r="AS91" i="23"/>
  <c r="AN91" i="23"/>
  <c r="AY91" i="23"/>
  <c r="X84" i="23"/>
  <c r="W84" i="23"/>
  <c r="AT84" i="23"/>
  <c r="B84" i="23"/>
  <c r="BO84" i="23" s="1"/>
  <c r="C84" i="23"/>
  <c r="D84" i="23" s="1"/>
  <c r="BB25" i="23"/>
  <c r="Y25" i="23"/>
  <c r="BS25" i="23"/>
  <c r="AD27" i="23"/>
  <c r="AM27" i="23"/>
  <c r="AL27" i="23"/>
  <c r="AC27" i="23"/>
  <c r="AB27" i="23"/>
  <c r="AA27" i="23"/>
  <c r="AK27" i="23"/>
  <c r="AJ27" i="23"/>
  <c r="AI27" i="23"/>
  <c r="CC27" i="23"/>
  <c r="CD11" i="23"/>
  <c r="AX11" i="23"/>
  <c r="BO245" i="23"/>
  <c r="BH245" i="23"/>
  <c r="BS144" i="23"/>
  <c r="Y144" i="23"/>
  <c r="Y110" i="23"/>
  <c r="BS110" i="23"/>
  <c r="T123" i="23"/>
  <c r="U123" i="23"/>
  <c r="AW123" i="23"/>
  <c r="AV123" i="23"/>
  <c r="AE123" i="23"/>
  <c r="BY126" i="23"/>
  <c r="BZ126" i="23"/>
  <c r="CA126" i="23"/>
  <c r="BF52" i="23"/>
  <c r="Z52" i="23"/>
  <c r="BN52" i="23"/>
  <c r="AS52" i="23"/>
  <c r="AQ52" i="23"/>
  <c r="AP52" i="23"/>
  <c r="AO52" i="23"/>
  <c r="BK52" i="23"/>
  <c r="V52" i="23"/>
  <c r="CB52" i="23"/>
  <c r="BV53" i="23"/>
  <c r="AN52" i="23"/>
  <c r="S52" i="23"/>
  <c r="BM52" i="23"/>
  <c r="BJ52" i="23"/>
  <c r="AY52" i="23"/>
  <c r="BP52" i="23"/>
  <c r="BQ52" i="23" s="1"/>
  <c r="AW75" i="23"/>
  <c r="T75" i="23"/>
  <c r="AV75" i="23"/>
  <c r="U75" i="23"/>
  <c r="AE75" i="23"/>
  <c r="BS51" i="23"/>
  <c r="Y51" i="23"/>
  <c r="AM22" i="23"/>
  <c r="AL22" i="23"/>
  <c r="AK22" i="23"/>
  <c r="AD22" i="23"/>
  <c r="AC22" i="23"/>
  <c r="AB22" i="23"/>
  <c r="AA22" i="23"/>
  <c r="AI22" i="23"/>
  <c r="AJ22" i="23"/>
  <c r="CC22" i="23"/>
  <c r="BS50" i="23"/>
  <c r="BB50" i="23"/>
  <c r="Y50" i="23"/>
  <c r="BT23" i="23"/>
  <c r="BU23" i="23"/>
  <c r="CA4" i="23"/>
  <c r="BZ4" i="23"/>
  <c r="BY4" i="23"/>
  <c r="BH213" i="23"/>
  <c r="BO213" i="23"/>
  <c r="AS132" i="23"/>
  <c r="V132" i="23"/>
  <c r="BF132" i="23"/>
  <c r="S132" i="23"/>
  <c r="CB132" i="23"/>
  <c r="BM132" i="23"/>
  <c r="BK132" i="23"/>
  <c r="BP132" i="23"/>
  <c r="BQ132" i="23" s="1"/>
  <c r="AO132" i="23"/>
  <c r="AQ132" i="23"/>
  <c r="AN132" i="23"/>
  <c r="BV133" i="23"/>
  <c r="AY132" i="23"/>
  <c r="BN132" i="23"/>
  <c r="BJ132" i="23"/>
  <c r="AP132" i="23"/>
  <c r="Z132" i="23"/>
  <c r="BY119" i="23"/>
  <c r="CA119" i="23"/>
  <c r="BZ119" i="23"/>
  <c r="AE106" i="23"/>
  <c r="U106" i="23"/>
  <c r="AW106" i="23"/>
  <c r="AV106" i="23"/>
  <c r="T106" i="23"/>
  <c r="Y70" i="23"/>
  <c r="BS70" i="23"/>
  <c r="AD58" i="23"/>
  <c r="AC58" i="23"/>
  <c r="CC58" i="23"/>
  <c r="AJ58" i="23"/>
  <c r="AL58" i="23"/>
  <c r="AK58" i="23"/>
  <c r="AI58" i="23"/>
  <c r="AB58" i="23"/>
  <c r="AA58" i="23"/>
  <c r="AM58" i="23"/>
  <c r="BH267" i="23"/>
  <c r="BO267" i="23"/>
  <c r="AW148" i="23"/>
  <c r="T148" i="23"/>
  <c r="AE148" i="23"/>
  <c r="AV148" i="23"/>
  <c r="U148" i="23"/>
  <c r="BU138" i="23"/>
  <c r="BT138" i="23"/>
  <c r="AW129" i="23"/>
  <c r="AE129" i="23"/>
  <c r="T129" i="23"/>
  <c r="AV129" i="23"/>
  <c r="U129" i="23"/>
  <c r="BO208" i="23"/>
  <c r="BH208" i="23"/>
  <c r="BI118" i="23"/>
  <c r="BO247" i="23"/>
  <c r="BH247" i="23"/>
  <c r="BI136" i="23"/>
  <c r="U117" i="23"/>
  <c r="AE117" i="23"/>
  <c r="T117" i="23"/>
  <c r="AV117" i="23"/>
  <c r="AW117" i="23"/>
  <c r="BH260" i="23"/>
  <c r="BO260" i="23"/>
  <c r="AO121" i="23"/>
  <c r="AS121" i="23"/>
  <c r="S121" i="23"/>
  <c r="AQ121" i="23"/>
  <c r="BV122" i="23"/>
  <c r="BF121" i="23"/>
  <c r="BP121" i="23"/>
  <c r="BQ121" i="23" s="1"/>
  <c r="Z121" i="23"/>
  <c r="V121" i="23"/>
  <c r="CB121" i="23"/>
  <c r="BN121" i="23"/>
  <c r="AP121" i="23"/>
  <c r="AN121" i="23"/>
  <c r="BM121" i="23"/>
  <c r="BK121" i="23"/>
  <c r="BJ121" i="23"/>
  <c r="AY121" i="23"/>
  <c r="AD146" i="23"/>
  <c r="AK146" i="23"/>
  <c r="AB146" i="23"/>
  <c r="AI146" i="23"/>
  <c r="AL146" i="23"/>
  <c r="AJ146" i="23"/>
  <c r="AC146" i="23"/>
  <c r="AA146" i="23"/>
  <c r="CC146" i="23"/>
  <c r="AM146" i="23"/>
  <c r="AK85" i="23"/>
  <c r="AJ85" i="23"/>
  <c r="AI85" i="23"/>
  <c r="AL85" i="23"/>
  <c r="CC85" i="23"/>
  <c r="AD85" i="23"/>
  <c r="AA85" i="23"/>
  <c r="AM85" i="23"/>
  <c r="AC85" i="23"/>
  <c r="AB85" i="23"/>
  <c r="BU111" i="23"/>
  <c r="BT111" i="23"/>
  <c r="X66" i="23"/>
  <c r="W66" i="23"/>
  <c r="C66" i="23"/>
  <c r="D66" i="23" s="1"/>
  <c r="B66" i="23"/>
  <c r="BH66" i="23" s="1"/>
  <c r="AT66" i="23"/>
  <c r="AI115" i="23"/>
  <c r="AM115" i="23"/>
  <c r="AL115" i="23"/>
  <c r="AD115" i="23"/>
  <c r="AK115" i="23"/>
  <c r="CC115" i="23"/>
  <c r="AJ115" i="23"/>
  <c r="AA115" i="23"/>
  <c r="AB115" i="23"/>
  <c r="AC115" i="23"/>
  <c r="Y69" i="23"/>
  <c r="BS69" i="23"/>
  <c r="BS87" i="23"/>
  <c r="Y87" i="23"/>
  <c r="BU51" i="23"/>
  <c r="BT51" i="23"/>
  <c r="BI137" i="23"/>
  <c r="CA75" i="23"/>
  <c r="BZ75" i="23"/>
  <c r="BY75" i="23"/>
  <c r="AI93" i="23"/>
  <c r="AD93" i="23"/>
  <c r="AC93" i="23"/>
  <c r="AM93" i="23"/>
  <c r="AL93" i="23"/>
  <c r="AK93" i="23"/>
  <c r="AJ93" i="23"/>
  <c r="AB93" i="23"/>
  <c r="CC93" i="23"/>
  <c r="AA93" i="23"/>
  <c r="BU55" i="23"/>
  <c r="BT55" i="23"/>
  <c r="BN49" i="23"/>
  <c r="AP49" i="23"/>
  <c r="BV50" i="23"/>
  <c r="AS49" i="23"/>
  <c r="AQ49" i="23"/>
  <c r="AO49" i="23"/>
  <c r="BP49" i="23"/>
  <c r="BQ49" i="23" s="1"/>
  <c r="Z49" i="23"/>
  <c r="BM49" i="23"/>
  <c r="BK49" i="23"/>
  <c r="V49" i="23"/>
  <c r="BJ49" i="23"/>
  <c r="S49" i="23"/>
  <c r="BF49" i="23"/>
  <c r="CB49" i="23"/>
  <c r="AY49" i="23"/>
  <c r="AN49" i="23"/>
  <c r="V71" i="23"/>
  <c r="CB71" i="23"/>
  <c r="BJ71" i="23"/>
  <c r="BN71" i="23"/>
  <c r="S71" i="23"/>
  <c r="BP71" i="23"/>
  <c r="BQ71" i="23" s="1"/>
  <c r="BM71" i="23"/>
  <c r="BK71" i="23"/>
  <c r="AO71" i="23"/>
  <c r="BF71" i="23"/>
  <c r="AY71" i="23"/>
  <c r="AS71" i="23"/>
  <c r="AQ71" i="23"/>
  <c r="AP71" i="23"/>
  <c r="AN71" i="23"/>
  <c r="BV72" i="23"/>
  <c r="Z71" i="23"/>
  <c r="W57" i="23"/>
  <c r="C57" i="23"/>
  <c r="D57" i="23" s="1"/>
  <c r="B57" i="23"/>
  <c r="BO57" i="23" s="1"/>
  <c r="AT57" i="23"/>
  <c r="X57" i="23"/>
  <c r="B55" i="23"/>
  <c r="BH55" i="23" s="1"/>
  <c r="C55" i="23"/>
  <c r="AT55" i="23"/>
  <c r="X55" i="23"/>
  <c r="W55" i="23"/>
  <c r="CA107" i="23"/>
  <c r="BZ107" i="23"/>
  <c r="BY107" i="23"/>
  <c r="BI55" i="23"/>
  <c r="BU26" i="23"/>
  <c r="BT26" i="23"/>
  <c r="BU54" i="23"/>
  <c r="BT54" i="23"/>
  <c r="BS44" i="23"/>
  <c r="Y44" i="23"/>
  <c r="BB44" i="23"/>
  <c r="BU38" i="23"/>
  <c r="BT38" i="23"/>
  <c r="CA48" i="23"/>
  <c r="BZ48" i="23"/>
  <c r="BY48" i="23"/>
  <c r="Y55" i="23"/>
  <c r="BS55" i="23"/>
  <c r="BL41" i="23"/>
  <c r="U41" i="23"/>
  <c r="T41" i="23"/>
  <c r="AW41" i="23"/>
  <c r="AV41" i="23"/>
  <c r="AE41" i="23"/>
  <c r="BN32" i="23"/>
  <c r="BM32" i="23"/>
  <c r="BF32" i="23"/>
  <c r="Z32" i="23"/>
  <c r="AN32" i="23"/>
  <c r="BK32" i="23"/>
  <c r="V32" i="23"/>
  <c r="BJ32" i="23"/>
  <c r="S32" i="23"/>
  <c r="BV33" i="23"/>
  <c r="AY32" i="23"/>
  <c r="CB32" i="23"/>
  <c r="AO32" i="23"/>
  <c r="BP32" i="23"/>
  <c r="BQ32" i="23" s="1"/>
  <c r="AS32" i="23"/>
  <c r="AQ32" i="23"/>
  <c r="AP32" i="23"/>
  <c r="AE20" i="23"/>
  <c r="BL20" i="23"/>
  <c r="U20" i="23"/>
  <c r="AW20" i="23"/>
  <c r="AV20" i="23"/>
  <c r="T20" i="23"/>
  <c r="Z48" i="23"/>
  <c r="AP48" i="23"/>
  <c r="V48" i="23"/>
  <c r="AY48" i="23"/>
  <c r="BV49" i="23"/>
  <c r="CB48" i="23"/>
  <c r="BM48" i="23"/>
  <c r="AS48" i="23"/>
  <c r="AQ48" i="23"/>
  <c r="AO48" i="23"/>
  <c r="AN48" i="23"/>
  <c r="BJ48" i="23"/>
  <c r="BP48" i="23"/>
  <c r="BQ48" i="23" s="1"/>
  <c r="BN48" i="23"/>
  <c r="BK48" i="23"/>
  <c r="S48" i="23"/>
  <c r="BF48" i="23"/>
  <c r="CA33" i="23"/>
  <c r="BZ33" i="23"/>
  <c r="BY33" i="23"/>
  <c r="BI34" i="23"/>
  <c r="AX22" i="23"/>
  <c r="CD22" i="23"/>
  <c r="BZ17" i="23"/>
  <c r="BY17" i="23"/>
  <c r="CA17" i="23"/>
  <c r="BI74" i="23"/>
  <c r="BF14" i="23"/>
  <c r="Z14" i="23"/>
  <c r="CB14" i="23"/>
  <c r="V14" i="23"/>
  <c r="AY14" i="23"/>
  <c r="AP14" i="23"/>
  <c r="BK14" i="23"/>
  <c r="BP14" i="23"/>
  <c r="BQ14" i="23" s="1"/>
  <c r="BN14" i="23"/>
  <c r="BM14" i="23"/>
  <c r="S14" i="23"/>
  <c r="BJ14" i="23"/>
  <c r="BV15" i="23"/>
  <c r="AO14" i="23"/>
  <c r="AN14" i="23"/>
  <c r="AS14" i="23"/>
  <c r="AQ14" i="23"/>
  <c r="AI62" i="23"/>
  <c r="AM62" i="23"/>
  <c r="AC62" i="23"/>
  <c r="CC62" i="23"/>
  <c r="AD62" i="23"/>
  <c r="AB62" i="23"/>
  <c r="AA62" i="23"/>
  <c r="AL62" i="23"/>
  <c r="AK62" i="23"/>
  <c r="AJ62" i="23"/>
  <c r="BZ25" i="23"/>
  <c r="CA25" i="23"/>
  <c r="BY25" i="23"/>
  <c r="AC18" i="23"/>
  <c r="AB18" i="23"/>
  <c r="AA18" i="23"/>
  <c r="AJ18" i="23"/>
  <c r="AM18" i="23"/>
  <c r="AL18" i="23"/>
  <c r="AK18" i="23"/>
  <c r="AD18" i="23"/>
  <c r="CC18" i="23"/>
  <c r="AI18" i="23"/>
  <c r="B19" i="10"/>
  <c r="F22" i="10"/>
  <c r="BO269" i="23"/>
  <c r="BH269" i="23"/>
  <c r="BU147" i="23"/>
  <c r="BT147" i="23"/>
  <c r="BO239" i="23"/>
  <c r="BH239" i="23"/>
  <c r="AE136" i="23"/>
  <c r="AV136" i="23"/>
  <c r="AW136" i="23"/>
  <c r="T136" i="23"/>
  <c r="U136" i="23"/>
  <c r="CA113" i="23"/>
  <c r="BZ113" i="23"/>
  <c r="BY113" i="23"/>
  <c r="BT128" i="23"/>
  <c r="BU128" i="23"/>
  <c r="AV135" i="23"/>
  <c r="U135" i="23"/>
  <c r="AE135" i="23"/>
  <c r="AW135" i="23"/>
  <c r="T135" i="23"/>
  <c r="BT115" i="23"/>
  <c r="BU115" i="23"/>
  <c r="BH222" i="23"/>
  <c r="BO222" i="23"/>
  <c r="CB135" i="23"/>
  <c r="AS135" i="23"/>
  <c r="BK135" i="23"/>
  <c r="V135" i="23"/>
  <c r="BJ135" i="23"/>
  <c r="AN135" i="23"/>
  <c r="BN135" i="23"/>
  <c r="BM135" i="23"/>
  <c r="BV136" i="23"/>
  <c r="AY135" i="23"/>
  <c r="BF135" i="23"/>
  <c r="AO135" i="23"/>
  <c r="AQ135" i="23"/>
  <c r="AP135" i="23"/>
  <c r="S135" i="23"/>
  <c r="BP135" i="23"/>
  <c r="BQ135" i="23" s="1"/>
  <c r="Z135" i="23"/>
  <c r="AS94" i="23"/>
  <c r="S94" i="23"/>
  <c r="BN94" i="23"/>
  <c r="BM94" i="23"/>
  <c r="BV95" i="23"/>
  <c r="AP94" i="23"/>
  <c r="AO94" i="23"/>
  <c r="AN94" i="23"/>
  <c r="BK94" i="23"/>
  <c r="BF94" i="23"/>
  <c r="Z94" i="23"/>
  <c r="V94" i="23"/>
  <c r="AY94" i="23"/>
  <c r="CB94" i="23"/>
  <c r="BJ94" i="23"/>
  <c r="BP94" i="23"/>
  <c r="BQ94" i="23" s="1"/>
  <c r="AQ94" i="23"/>
  <c r="BT116" i="23"/>
  <c r="BU116" i="23"/>
  <c r="BZ115" i="23"/>
  <c r="BY115" i="23"/>
  <c r="CA115" i="23"/>
  <c r="AI131" i="23"/>
  <c r="AM131" i="23"/>
  <c r="AD131" i="23"/>
  <c r="AK131" i="23"/>
  <c r="AJ131" i="23"/>
  <c r="CC131" i="23"/>
  <c r="AA131" i="23"/>
  <c r="AL131" i="23"/>
  <c r="AC131" i="23"/>
  <c r="AB131" i="23"/>
  <c r="BO204" i="23"/>
  <c r="BH204" i="23"/>
  <c r="AD120" i="23"/>
  <c r="AC120" i="23"/>
  <c r="AB120" i="23"/>
  <c r="AA120" i="23"/>
  <c r="CC120" i="23"/>
  <c r="AK120" i="23"/>
  <c r="AJ120" i="23"/>
  <c r="AL120" i="23"/>
  <c r="AM120" i="23"/>
  <c r="AI120" i="23"/>
  <c r="BI103" i="23"/>
  <c r="BS145" i="23"/>
  <c r="Y145" i="23"/>
  <c r="BU83" i="23"/>
  <c r="BT83" i="23"/>
  <c r="BO181" i="23"/>
  <c r="BH181" i="23"/>
  <c r="AT82" i="23"/>
  <c r="B82" i="23"/>
  <c r="BO82" i="23" s="1"/>
  <c r="C82" i="23"/>
  <c r="X82" i="23"/>
  <c r="W82" i="23"/>
  <c r="X129" i="23"/>
  <c r="W129" i="23"/>
  <c r="B129" i="23"/>
  <c r="BH129" i="23" s="1"/>
  <c r="C129" i="23"/>
  <c r="D129" i="23" s="1"/>
  <c r="AT129" i="23"/>
  <c r="BU71" i="23"/>
  <c r="BT71" i="23"/>
  <c r="BI78" i="23"/>
  <c r="AW111" i="23"/>
  <c r="AV111" i="23"/>
  <c r="U111" i="23"/>
  <c r="T111" i="23"/>
  <c r="AE111" i="23"/>
  <c r="BO191" i="23"/>
  <c r="BH191" i="23"/>
  <c r="BO265" i="23"/>
  <c r="BH265" i="23"/>
  <c r="BI68" i="23"/>
  <c r="BZ70" i="23"/>
  <c r="BY70" i="23"/>
  <c r="CA70" i="23"/>
  <c r="BO202" i="23"/>
  <c r="BH202" i="23"/>
  <c r="BN84" i="23"/>
  <c r="BM84" i="23"/>
  <c r="BK84" i="23"/>
  <c r="BJ84" i="23"/>
  <c r="BV85" i="23"/>
  <c r="BF84" i="23"/>
  <c r="AY84" i="23"/>
  <c r="AS84" i="23"/>
  <c r="AQ84" i="23"/>
  <c r="CB84" i="23"/>
  <c r="Z84" i="23"/>
  <c r="V84" i="23"/>
  <c r="S84" i="23"/>
  <c r="AP84" i="23"/>
  <c r="AO84" i="23"/>
  <c r="AN84" i="23"/>
  <c r="BP84" i="23"/>
  <c r="BQ84" i="23" s="1"/>
  <c r="BT131" i="23"/>
  <c r="BU131" i="23"/>
  <c r="CA123" i="23"/>
  <c r="BY123" i="23"/>
  <c r="BZ123" i="23"/>
  <c r="C74" i="23"/>
  <c r="D74" i="23" s="1"/>
  <c r="B74" i="23"/>
  <c r="BH74" i="23" s="1"/>
  <c r="W74" i="23"/>
  <c r="AT74" i="23"/>
  <c r="X74" i="23"/>
  <c r="BI110" i="23"/>
  <c r="BI92" i="23"/>
  <c r="BI48" i="23"/>
  <c r="AL54" i="23"/>
  <c r="AI54" i="23"/>
  <c r="AC54" i="23"/>
  <c r="AB54" i="23"/>
  <c r="AA54" i="23"/>
  <c r="CC54" i="23"/>
  <c r="AK54" i="23"/>
  <c r="AM54" i="23"/>
  <c r="AJ54" i="23"/>
  <c r="AD54" i="23"/>
  <c r="BZ54" i="23"/>
  <c r="CA54" i="23"/>
  <c r="BY54" i="23"/>
  <c r="BI41" i="23"/>
  <c r="BS23" i="23"/>
  <c r="BB23" i="23"/>
  <c r="Y23" i="23"/>
  <c r="AI47" i="23"/>
  <c r="AJ47" i="23"/>
  <c r="AL47" i="23"/>
  <c r="AD47" i="23"/>
  <c r="AC47" i="23"/>
  <c r="AA47" i="23"/>
  <c r="AM47" i="23"/>
  <c r="AK47" i="23"/>
  <c r="AB47" i="23"/>
  <c r="CC47" i="23"/>
  <c r="AK53" i="23"/>
  <c r="AI53" i="23"/>
  <c r="AD53" i="23"/>
  <c r="AL53" i="23"/>
  <c r="AB53" i="23"/>
  <c r="AM53" i="23"/>
  <c r="AJ53" i="23"/>
  <c r="AC53" i="23"/>
  <c r="AA53" i="23"/>
  <c r="CC53" i="23"/>
  <c r="CA41" i="23"/>
  <c r="BZ41" i="23"/>
  <c r="BY41" i="23"/>
  <c r="AV83" i="23"/>
  <c r="AE83" i="23"/>
  <c r="T83" i="23"/>
  <c r="AW83" i="23"/>
  <c r="U83" i="23"/>
  <c r="BU66" i="23"/>
  <c r="BT66" i="23"/>
  <c r="W49" i="23"/>
  <c r="B49" i="23"/>
  <c r="BH49" i="23" s="1"/>
  <c r="AT49" i="23"/>
  <c r="BG49" i="23" s="1"/>
  <c r="C49" i="23"/>
  <c r="X49" i="23"/>
  <c r="AZ49" i="23"/>
  <c r="X30" i="23"/>
  <c r="C30" i="23"/>
  <c r="D30" i="23" s="1"/>
  <c r="B30" i="23"/>
  <c r="BO30" i="23" s="1"/>
  <c r="AZ30" i="23"/>
  <c r="AT30" i="23"/>
  <c r="BG30" i="23" s="1"/>
  <c r="W30" i="23"/>
  <c r="CC72" i="23"/>
  <c r="AI72" i="23"/>
  <c r="AM72" i="23"/>
  <c r="AL72" i="23"/>
  <c r="AD72" i="23"/>
  <c r="AA72" i="23"/>
  <c r="AC72" i="23"/>
  <c r="AB72" i="23"/>
  <c r="AK72" i="23"/>
  <c r="AJ72" i="23"/>
  <c r="BI66" i="23"/>
  <c r="BI35" i="23"/>
  <c r="BS31" i="23"/>
  <c r="BB31" i="23"/>
  <c r="Y31" i="23"/>
  <c r="BT33" i="23"/>
  <c r="BU33" i="23"/>
  <c r="AX14" i="23"/>
  <c r="CD14" i="23"/>
  <c r="BL19" i="23"/>
  <c r="AW19" i="23"/>
  <c r="AV19" i="23"/>
  <c r="T19" i="23"/>
  <c r="AE19" i="23"/>
  <c r="U19" i="23"/>
  <c r="BT4" i="23"/>
  <c r="AA16" i="23"/>
  <c r="AB16" i="23"/>
  <c r="CC16" i="23"/>
  <c r="AJ16" i="23"/>
  <c r="AM16" i="23"/>
  <c r="AL16" i="23"/>
  <c r="AK16" i="23"/>
  <c r="AI16" i="23"/>
  <c r="AD16" i="23"/>
  <c r="AC16" i="23"/>
  <c r="CA11" i="23"/>
  <c r="BY11" i="23"/>
  <c r="BZ11" i="23"/>
  <c r="BI47" i="23"/>
  <c r="B41" i="23"/>
  <c r="BO41" i="23" s="1"/>
  <c r="X41" i="23"/>
  <c r="W41" i="23"/>
  <c r="C41" i="23"/>
  <c r="D41" i="23" s="1"/>
  <c r="AZ41" i="23"/>
  <c r="AT41" i="23"/>
  <c r="BG41" i="23" s="1"/>
  <c r="U58" i="23"/>
  <c r="T58" i="23"/>
  <c r="AE58" i="23"/>
  <c r="AV58" i="23"/>
  <c r="AW58" i="23"/>
  <c r="AV15" i="23"/>
  <c r="T15" i="23"/>
  <c r="U15" i="23"/>
  <c r="AW15" i="23"/>
  <c r="AE15" i="23"/>
  <c r="BL15" i="23"/>
  <c r="CA5" i="23"/>
  <c r="BZ5" i="23"/>
  <c r="BY5" i="23"/>
  <c r="BH258" i="23"/>
  <c r="BO258" i="23"/>
  <c r="BI144" i="23"/>
  <c r="BU148" i="23"/>
  <c r="BT148" i="23"/>
  <c r="BH231" i="23"/>
  <c r="BO231" i="23"/>
  <c r="BS113" i="23"/>
  <c r="Y113" i="23"/>
  <c r="BI127" i="23"/>
  <c r="AJ144" i="23"/>
  <c r="CC144" i="23"/>
  <c r="AI144" i="23"/>
  <c r="AD144" i="23"/>
  <c r="AA144" i="23"/>
  <c r="AC144" i="23"/>
  <c r="AL144" i="23"/>
  <c r="AB144" i="23"/>
  <c r="AK144" i="23"/>
  <c r="AM144" i="23"/>
  <c r="BZ104" i="23"/>
  <c r="CA104" i="23"/>
  <c r="BY104" i="23"/>
  <c r="C113" i="23"/>
  <c r="D113" i="23" s="1"/>
  <c r="B113" i="23"/>
  <c r="BO113" i="23" s="1"/>
  <c r="AT113" i="23"/>
  <c r="W113" i="23"/>
  <c r="X113" i="23"/>
  <c r="AV104" i="23"/>
  <c r="T104" i="23"/>
  <c r="AE104" i="23"/>
  <c r="U104" i="23"/>
  <c r="AW104" i="23"/>
  <c r="BI111" i="23"/>
  <c r="BO184" i="23"/>
  <c r="BH184" i="23"/>
  <c r="BZ117" i="23"/>
  <c r="BY117" i="23"/>
  <c r="CA117" i="23"/>
  <c r="B132" i="23"/>
  <c r="BH132" i="23" s="1"/>
  <c r="C132" i="23"/>
  <c r="AT132" i="23"/>
  <c r="X132" i="23"/>
  <c r="W132" i="23"/>
  <c r="BS132" i="23"/>
  <c r="Y132" i="23"/>
  <c r="Y82" i="23"/>
  <c r="BS82" i="23"/>
  <c r="BY148" i="23"/>
  <c r="CA148" i="23"/>
  <c r="BZ148" i="23"/>
  <c r="BU79" i="23"/>
  <c r="BT79" i="23"/>
  <c r="BI62" i="23"/>
  <c r="BO189" i="23"/>
  <c r="BH189" i="23"/>
  <c r="BI63" i="23"/>
  <c r="AL148" i="23"/>
  <c r="AM148" i="23"/>
  <c r="AK148" i="23"/>
  <c r="AA148" i="23"/>
  <c r="CC148" i="23"/>
  <c r="AI148" i="23"/>
  <c r="AD148" i="23"/>
  <c r="AC148" i="23"/>
  <c r="AJ148" i="23"/>
  <c r="AB148" i="23"/>
  <c r="BK82" i="23"/>
  <c r="BV83" i="23"/>
  <c r="S82" i="23"/>
  <c r="BP82" i="23"/>
  <c r="BQ82" i="23" s="1"/>
  <c r="AY82" i="23"/>
  <c r="AS82" i="23"/>
  <c r="AQ82" i="23"/>
  <c r="BF82" i="23"/>
  <c r="AP82" i="23"/>
  <c r="CB82" i="23"/>
  <c r="AO82" i="23"/>
  <c r="BJ82" i="23"/>
  <c r="Z82" i="23"/>
  <c r="V82" i="23"/>
  <c r="BN82" i="23"/>
  <c r="BM82" i="23"/>
  <c r="AN82" i="23"/>
  <c r="BI112" i="23"/>
  <c r="AP113" i="23"/>
  <c r="AO113" i="23"/>
  <c r="BJ113" i="23"/>
  <c r="Z113" i="23"/>
  <c r="S113" i="23"/>
  <c r="BV114" i="23"/>
  <c r="BP113" i="23"/>
  <c r="BQ113" i="23" s="1"/>
  <c r="BN113" i="23"/>
  <c r="AY113" i="23"/>
  <c r="AS113" i="23"/>
  <c r="AQ113" i="23"/>
  <c r="V113" i="23"/>
  <c r="CB113" i="23"/>
  <c r="BM113" i="23"/>
  <c r="BF113" i="23"/>
  <c r="AN113" i="23"/>
  <c r="BK113" i="23"/>
  <c r="AL82" i="23"/>
  <c r="AC82" i="23"/>
  <c r="CC82" i="23"/>
  <c r="AD82" i="23"/>
  <c r="AB82" i="23"/>
  <c r="AI82" i="23"/>
  <c r="AA82" i="23"/>
  <c r="AM82" i="23"/>
  <c r="AJ82" i="23"/>
  <c r="AK82" i="23"/>
  <c r="BT91" i="23"/>
  <c r="BU91" i="23"/>
  <c r="CA46" i="23"/>
  <c r="BY46" i="23"/>
  <c r="BZ46" i="23"/>
  <c r="C115" i="23"/>
  <c r="B115" i="23"/>
  <c r="BO115" i="23" s="1"/>
  <c r="AT115" i="23"/>
  <c r="X115" i="23"/>
  <c r="W115" i="23"/>
  <c r="BF92" i="23"/>
  <c r="Z92" i="23"/>
  <c r="BN92" i="23"/>
  <c r="BP92" i="23"/>
  <c r="BQ92" i="23" s="1"/>
  <c r="AS92" i="23"/>
  <c r="BM92" i="23"/>
  <c r="S92" i="23"/>
  <c r="BK92" i="23"/>
  <c r="AO92" i="23"/>
  <c r="AN92" i="23"/>
  <c r="CB92" i="23"/>
  <c r="V92" i="23"/>
  <c r="AP92" i="23"/>
  <c r="BV93" i="23"/>
  <c r="BJ92" i="23"/>
  <c r="AY92" i="23"/>
  <c r="AQ92" i="23"/>
  <c r="CB54" i="23"/>
  <c r="V54" i="23"/>
  <c r="AS54" i="23"/>
  <c r="AY54" i="23"/>
  <c r="BP54" i="23"/>
  <c r="BQ54" i="23" s="1"/>
  <c r="Z54" i="23"/>
  <c r="BN54" i="23"/>
  <c r="BM54" i="23"/>
  <c r="BK54" i="23"/>
  <c r="BV55" i="23"/>
  <c r="BJ54" i="23"/>
  <c r="S54" i="23"/>
  <c r="AN54" i="23"/>
  <c r="BF54" i="23"/>
  <c r="AQ54" i="23"/>
  <c r="AP54" i="23"/>
  <c r="AO54" i="23"/>
  <c r="AX15" i="23"/>
  <c r="CD15" i="23"/>
  <c r="AE44" i="23"/>
  <c r="BL44" i="23"/>
  <c r="T44" i="23"/>
  <c r="U44" i="23"/>
  <c r="AW44" i="23"/>
  <c r="AV44" i="23"/>
  <c r="AN42" i="23"/>
  <c r="AS42" i="23"/>
  <c r="S42" i="23"/>
  <c r="AQ42" i="23"/>
  <c r="AP42" i="23"/>
  <c r="BF42" i="23"/>
  <c r="V42" i="23"/>
  <c r="AY42" i="23"/>
  <c r="CB42" i="23"/>
  <c r="BN42" i="23"/>
  <c r="Z42" i="23"/>
  <c r="BP42" i="23"/>
  <c r="BQ42" i="23" s="1"/>
  <c r="BM42" i="23"/>
  <c r="AO42" i="23"/>
  <c r="BK42" i="23"/>
  <c r="BJ42" i="23"/>
  <c r="BV43" i="23"/>
  <c r="AK51" i="23"/>
  <c r="AM51" i="23"/>
  <c r="AA51" i="23"/>
  <c r="CC51" i="23"/>
  <c r="AL51" i="23"/>
  <c r="AJ51" i="23"/>
  <c r="AI51" i="23"/>
  <c r="AD51" i="23"/>
  <c r="AC51" i="23"/>
  <c r="AB51" i="23"/>
  <c r="C90" i="23"/>
  <c r="D90" i="23" s="1"/>
  <c r="W90" i="23"/>
  <c r="AT90" i="23"/>
  <c r="X90" i="23"/>
  <c r="B90" i="23"/>
  <c r="BO90" i="23" s="1"/>
  <c r="BS81" i="23"/>
  <c r="Y81" i="23"/>
  <c r="BU36" i="23"/>
  <c r="BT36" i="23"/>
  <c r="BU121" i="23"/>
  <c r="BT121" i="23"/>
  <c r="BI46" i="23"/>
  <c r="BB46" i="23"/>
  <c r="Y46" i="23"/>
  <c r="BS46" i="23"/>
  <c r="BI29" i="23"/>
  <c r="AE28" i="23"/>
  <c r="U28" i="23"/>
  <c r="T28" i="23"/>
  <c r="BL28" i="23"/>
  <c r="AV28" i="23"/>
  <c r="AW28" i="23"/>
  <c r="BI16" i="23"/>
  <c r="BK64" i="23"/>
  <c r="BJ64" i="23"/>
  <c r="AQ64" i="23"/>
  <c r="AN64" i="23"/>
  <c r="BN64" i="23"/>
  <c r="BM64" i="23"/>
  <c r="AS64" i="23"/>
  <c r="BV65" i="23"/>
  <c r="CB64" i="23"/>
  <c r="S64" i="23"/>
  <c r="V64" i="23"/>
  <c r="BP64" i="23"/>
  <c r="BQ64" i="23" s="1"/>
  <c r="BF64" i="23"/>
  <c r="AY64" i="23"/>
  <c r="Z64" i="23"/>
  <c r="AP64" i="23"/>
  <c r="AO64" i="23"/>
  <c r="BL32" i="23"/>
  <c r="U32" i="23"/>
  <c r="T32" i="23"/>
  <c r="AW32" i="23"/>
  <c r="AV32" i="23"/>
  <c r="AE32" i="23"/>
  <c r="CA30" i="23"/>
  <c r="BZ30" i="23"/>
  <c r="BY30" i="23"/>
  <c r="BV14" i="23"/>
  <c r="BN13" i="23"/>
  <c r="BM13" i="23"/>
  <c r="BK13" i="23"/>
  <c r="V13" i="23"/>
  <c r="BF13" i="23"/>
  <c r="S13" i="23"/>
  <c r="AY13" i="23"/>
  <c r="AS13" i="23"/>
  <c r="AQ13" i="23"/>
  <c r="Z13" i="23"/>
  <c r="AN13" i="23"/>
  <c r="CB13" i="23"/>
  <c r="BP13" i="23"/>
  <c r="BQ13" i="23" s="1"/>
  <c r="BJ13" i="23"/>
  <c r="AP13" i="23"/>
  <c r="AO13" i="23"/>
  <c r="BB40" i="23"/>
  <c r="Y40" i="23"/>
  <c r="BS40" i="23"/>
  <c r="BI12" i="23"/>
  <c r="BU10" i="23"/>
  <c r="BT10" i="23"/>
  <c r="CD2" i="23"/>
  <c r="AX2" i="23"/>
  <c r="BV13" i="23"/>
  <c r="V12" i="23"/>
  <c r="CB12" i="23"/>
  <c r="AY12" i="23"/>
  <c r="S12" i="23"/>
  <c r="AQ12" i="23"/>
  <c r="AP12" i="23"/>
  <c r="AO12" i="23"/>
  <c r="AN12" i="23"/>
  <c r="BP12" i="23"/>
  <c r="BQ12" i="23" s="1"/>
  <c r="BN12" i="23"/>
  <c r="Z12" i="23"/>
  <c r="BM12" i="23"/>
  <c r="BK12" i="23"/>
  <c r="BJ12" i="23"/>
  <c r="BF12" i="23"/>
  <c r="AS12" i="23"/>
  <c r="X26" i="23"/>
  <c r="W26" i="23"/>
  <c r="AZ26" i="23"/>
  <c r="C26" i="23"/>
  <c r="D26" i="23" s="1"/>
  <c r="B26" i="23"/>
  <c r="BH26" i="23" s="1"/>
  <c r="AT26" i="23"/>
  <c r="BG26" i="23" s="1"/>
  <c r="AD78" i="23"/>
  <c r="AC78" i="23"/>
  <c r="AB78" i="23"/>
  <c r="CC78" i="23"/>
  <c r="AA78" i="23"/>
  <c r="AJ78" i="23"/>
  <c r="AI78" i="23"/>
  <c r="AK78" i="23"/>
  <c r="AM78" i="23"/>
  <c r="AL78" i="23"/>
  <c r="X140" i="23"/>
  <c r="C140" i="23"/>
  <c r="AT140" i="23"/>
  <c r="W140" i="23"/>
  <c r="B140" i="23"/>
  <c r="BH140" i="23" s="1"/>
  <c r="BI148" i="23"/>
  <c r="AT123" i="23"/>
  <c r="W123" i="23"/>
  <c r="X123" i="23"/>
  <c r="C123" i="23"/>
  <c r="D123" i="23" s="1"/>
  <c r="B123" i="23"/>
  <c r="BO123" i="23" s="1"/>
  <c r="BH206" i="23"/>
  <c r="BO206" i="23"/>
  <c r="BS88" i="23"/>
  <c r="Y88" i="23"/>
  <c r="BT82" i="23"/>
  <c r="BU82" i="23"/>
  <c r="X67" i="23"/>
  <c r="C67" i="23"/>
  <c r="AT67" i="23"/>
  <c r="B67" i="23"/>
  <c r="BO67" i="23" s="1"/>
  <c r="W67" i="23"/>
  <c r="AL118" i="23"/>
  <c r="AC118" i="23"/>
  <c r="AB118" i="23"/>
  <c r="AD118" i="23"/>
  <c r="AI118" i="23"/>
  <c r="AM118" i="23"/>
  <c r="CC118" i="23"/>
  <c r="AJ118" i="23"/>
  <c r="AK118" i="23"/>
  <c r="AA118" i="23"/>
  <c r="AJ76" i="23"/>
  <c r="AI76" i="23"/>
  <c r="AA76" i="23"/>
  <c r="CC76" i="23"/>
  <c r="AM76" i="23"/>
  <c r="AL76" i="23"/>
  <c r="AK76" i="23"/>
  <c r="AB76" i="23"/>
  <c r="AD76" i="23"/>
  <c r="AC76" i="23"/>
  <c r="W9" i="23"/>
  <c r="C9" i="23"/>
  <c r="D9" i="23" s="1"/>
  <c r="B9" i="23"/>
  <c r="BO9" i="23" s="1"/>
  <c r="AZ9" i="23"/>
  <c r="AT9" i="23"/>
  <c r="BG9" i="23" s="1"/>
  <c r="X9" i="23"/>
  <c r="T147" i="23"/>
  <c r="AV147" i="23"/>
  <c r="U147" i="23"/>
  <c r="AE147" i="23"/>
  <c r="AW147" i="23"/>
  <c r="AE120" i="23"/>
  <c r="T120" i="23"/>
  <c r="AV120" i="23"/>
  <c r="AW120" i="23"/>
  <c r="U120" i="23"/>
  <c r="CC83" i="23"/>
  <c r="AL83" i="23"/>
  <c r="AK83" i="23"/>
  <c r="AJ83" i="23"/>
  <c r="AD83" i="23"/>
  <c r="AC83" i="23"/>
  <c r="AB83" i="23"/>
  <c r="AI83" i="23"/>
  <c r="AA83" i="23"/>
  <c r="AM83" i="23"/>
  <c r="BI96" i="23"/>
  <c r="AK129" i="23"/>
  <c r="AL129" i="23"/>
  <c r="CC129" i="23"/>
  <c r="AJ129" i="23"/>
  <c r="AM129" i="23"/>
  <c r="AC129" i="23"/>
  <c r="AI129" i="23"/>
  <c r="AD129" i="23"/>
  <c r="AB129" i="23"/>
  <c r="AA129" i="23"/>
  <c r="BT75" i="23"/>
  <c r="BU75" i="23"/>
  <c r="AX17" i="23"/>
  <c r="CD17" i="23"/>
  <c r="Y27" i="23"/>
  <c r="BB27" i="23"/>
  <c r="BS27" i="23"/>
  <c r="AT7" i="23"/>
  <c r="BG7" i="23" s="1"/>
  <c r="AZ7" i="23"/>
  <c r="X7" i="23"/>
  <c r="W7" i="23"/>
  <c r="C7" i="23"/>
  <c r="B7" i="23"/>
  <c r="BO7" i="23" s="1"/>
  <c r="BH243" i="23"/>
  <c r="BO243" i="23"/>
  <c r="Y3" i="23"/>
  <c r="BS3" i="23"/>
  <c r="BB3" i="23"/>
  <c r="BY134" i="23"/>
  <c r="CA134" i="23"/>
  <c r="BZ134" i="23"/>
  <c r="BS117" i="23"/>
  <c r="Y117" i="23"/>
  <c r="AW103" i="23"/>
  <c r="AV103" i="23"/>
  <c r="AE103" i="23"/>
  <c r="T103" i="23"/>
  <c r="U103" i="23"/>
  <c r="CA74" i="23"/>
  <c r="BZ74" i="23"/>
  <c r="BY74" i="23"/>
  <c r="CD23" i="23"/>
  <c r="AX23" i="23"/>
  <c r="W34" i="23"/>
  <c r="AT34" i="23"/>
  <c r="BG34" i="23" s="1"/>
  <c r="X34" i="23"/>
  <c r="AZ34" i="23"/>
  <c r="C34" i="23"/>
  <c r="B34" i="23"/>
  <c r="BO34" i="23" s="1"/>
  <c r="AS28" i="23"/>
  <c r="S28" i="23"/>
  <c r="AQ28" i="23"/>
  <c r="CB28" i="23"/>
  <c r="BK28" i="23"/>
  <c r="BJ28" i="23"/>
  <c r="Z28" i="23"/>
  <c r="BF28" i="23"/>
  <c r="V28" i="23"/>
  <c r="BP28" i="23"/>
  <c r="BQ28" i="23" s="1"/>
  <c r="BN28" i="23"/>
  <c r="BM28" i="23"/>
  <c r="AY28" i="23"/>
  <c r="BV29" i="23"/>
  <c r="AP28" i="23"/>
  <c r="AO28" i="23"/>
  <c r="AN28" i="23"/>
  <c r="T47" i="23"/>
  <c r="BL47" i="23"/>
  <c r="AE47" i="23"/>
  <c r="U47" i="23"/>
  <c r="AW47" i="23"/>
  <c r="AV47" i="23"/>
  <c r="B185" i="16"/>
  <c r="AV144" i="23"/>
  <c r="U144" i="23"/>
  <c r="AE144" i="23"/>
  <c r="T144" i="23"/>
  <c r="AW144" i="23"/>
  <c r="BI77" i="23"/>
  <c r="BI90" i="23"/>
  <c r="AW49" i="23"/>
  <c r="BL49" i="23"/>
  <c r="U49" i="23"/>
  <c r="T49" i="23"/>
  <c r="AV49" i="23"/>
  <c r="AE49" i="23"/>
  <c r="BY59" i="23"/>
  <c r="CA59" i="23"/>
  <c r="BZ59" i="23"/>
  <c r="BI26" i="23"/>
  <c r="AM65" i="23"/>
  <c r="AL65" i="23"/>
  <c r="AK65" i="23"/>
  <c r="AB65" i="23"/>
  <c r="AJ65" i="23"/>
  <c r="AI65" i="23"/>
  <c r="AD65" i="23"/>
  <c r="AC65" i="23"/>
  <c r="AA65" i="23"/>
  <c r="CC65" i="23"/>
  <c r="AW13" i="23"/>
  <c r="AV13" i="23"/>
  <c r="AE13" i="23"/>
  <c r="BL13" i="23"/>
  <c r="U13" i="23"/>
  <c r="T13" i="23"/>
  <c r="BI116" i="23"/>
  <c r="AA114" i="23"/>
  <c r="CC114" i="23"/>
  <c r="AI114" i="23"/>
  <c r="AB114" i="23"/>
  <c r="AL114" i="23"/>
  <c r="AM114" i="23"/>
  <c r="AC114" i="23"/>
  <c r="AK114" i="23"/>
  <c r="AJ114" i="23"/>
  <c r="AD114" i="23"/>
  <c r="AS140" i="23"/>
  <c r="S140" i="23"/>
  <c r="AQ140" i="23"/>
  <c r="BP140" i="23"/>
  <c r="BQ140" i="23" s="1"/>
  <c r="AY140" i="23"/>
  <c r="BF140" i="23"/>
  <c r="Z140" i="23"/>
  <c r="AN140" i="23"/>
  <c r="V140" i="23"/>
  <c r="CB140" i="23"/>
  <c r="AP140" i="23"/>
  <c r="AO140" i="23"/>
  <c r="BV141" i="23"/>
  <c r="BK140" i="23"/>
  <c r="BN140" i="23"/>
  <c r="BM140" i="23"/>
  <c r="BJ140" i="23"/>
  <c r="BI140" i="23"/>
  <c r="BS109" i="23"/>
  <c r="Y109" i="23"/>
  <c r="X103" i="23"/>
  <c r="W103" i="23"/>
  <c r="C103" i="23"/>
  <c r="D103" i="23" s="1"/>
  <c r="AT103" i="23"/>
  <c r="B103" i="23"/>
  <c r="BH103" i="23" s="1"/>
  <c r="AC99" i="23"/>
  <c r="AI99" i="23"/>
  <c r="AL99" i="23"/>
  <c r="CC99" i="23"/>
  <c r="AK99" i="23"/>
  <c r="AJ99" i="23"/>
  <c r="AD99" i="23"/>
  <c r="AA99" i="23"/>
  <c r="AM99" i="23"/>
  <c r="AB99" i="23"/>
  <c r="BF100" i="23"/>
  <c r="Z100" i="23"/>
  <c r="AP100" i="23"/>
  <c r="AY100" i="23"/>
  <c r="BK100" i="23"/>
  <c r="BJ100" i="23"/>
  <c r="V100" i="23"/>
  <c r="CB100" i="23"/>
  <c r="S100" i="23"/>
  <c r="BN100" i="23"/>
  <c r="BM100" i="23"/>
  <c r="BV101" i="23"/>
  <c r="AN100" i="23"/>
  <c r="BP100" i="23"/>
  <c r="BQ100" i="23" s="1"/>
  <c r="AQ100" i="23"/>
  <c r="AO100" i="23"/>
  <c r="AS100" i="23"/>
  <c r="BT94" i="23"/>
  <c r="BU94" i="23"/>
  <c r="AE55" i="23"/>
  <c r="AV55" i="23"/>
  <c r="U55" i="23"/>
  <c r="T55" i="23"/>
  <c r="AW55" i="23"/>
  <c r="CA31" i="23"/>
  <c r="BZ31" i="23"/>
  <c r="BY31" i="23"/>
  <c r="BU65" i="23"/>
  <c r="BT65" i="23"/>
  <c r="BI20" i="23"/>
  <c r="CD30" i="23"/>
  <c r="AX30" i="23"/>
  <c r="BH237" i="23"/>
  <c r="BO237" i="23"/>
  <c r="BO244" i="23"/>
  <c r="BH244" i="23"/>
  <c r="U137" i="23"/>
  <c r="AW137" i="23"/>
  <c r="AV137" i="23"/>
  <c r="T137" i="23"/>
  <c r="AE137" i="23"/>
  <c r="CA129" i="23"/>
  <c r="BZ129" i="23"/>
  <c r="BY129" i="23"/>
  <c r="BT109" i="23"/>
  <c r="BU109" i="23"/>
  <c r="BJ89" i="23"/>
  <c r="BF89" i="23"/>
  <c r="CB89" i="23"/>
  <c r="AQ89" i="23"/>
  <c r="AP89" i="23"/>
  <c r="BV90" i="23"/>
  <c r="AO89" i="23"/>
  <c r="BM89" i="23"/>
  <c r="V89" i="23"/>
  <c r="BK89" i="23"/>
  <c r="BN89" i="23"/>
  <c r="AY89" i="23"/>
  <c r="AN89" i="23"/>
  <c r="BP89" i="23"/>
  <c r="BQ89" i="23" s="1"/>
  <c r="AS89" i="23"/>
  <c r="Z89" i="23"/>
  <c r="S89" i="23"/>
  <c r="BI75" i="23"/>
  <c r="AE105" i="23"/>
  <c r="U105" i="23"/>
  <c r="T105" i="23"/>
  <c r="AV105" i="23"/>
  <c r="AW105" i="23"/>
  <c r="AJ31" i="23"/>
  <c r="AI31" i="23"/>
  <c r="CC31" i="23"/>
  <c r="AM31" i="23"/>
  <c r="AL31" i="23"/>
  <c r="AK31" i="23"/>
  <c r="AD31" i="23"/>
  <c r="AC31" i="23"/>
  <c r="AB31" i="23"/>
  <c r="AA31" i="23"/>
  <c r="CC20" i="23"/>
  <c r="AD20" i="23"/>
  <c r="AC20" i="23"/>
  <c r="AB20" i="23"/>
  <c r="AL20" i="23"/>
  <c r="AA20" i="23"/>
  <c r="AM20" i="23"/>
  <c r="AK20" i="23"/>
  <c r="AJ20" i="23"/>
  <c r="AI20" i="23"/>
  <c r="AC11" i="23"/>
  <c r="AJ11" i="23"/>
  <c r="AI11" i="23"/>
  <c r="AD11" i="23"/>
  <c r="AB11" i="23"/>
  <c r="AA11" i="23"/>
  <c r="CC11" i="23"/>
  <c r="AL11" i="23"/>
  <c r="AK11" i="23"/>
  <c r="AM11" i="23"/>
  <c r="BO179" i="23"/>
  <c r="BH179" i="23"/>
  <c r="Y141" i="23"/>
  <c r="BS141" i="23"/>
  <c r="BI109" i="23"/>
  <c r="C121" i="23"/>
  <c r="D121" i="23" s="1"/>
  <c r="W121" i="23"/>
  <c r="AT121" i="23"/>
  <c r="X121" i="23"/>
  <c r="B121" i="23"/>
  <c r="BH121" i="23" s="1"/>
  <c r="BY82" i="23"/>
  <c r="CA82" i="23"/>
  <c r="BZ82" i="23"/>
  <c r="BU43" i="23"/>
  <c r="BT43" i="23"/>
  <c r="T43" i="23"/>
  <c r="BL43" i="23"/>
  <c r="U43" i="23"/>
  <c r="AW43" i="23"/>
  <c r="AV43" i="23"/>
  <c r="AE43" i="23"/>
  <c r="AZ19" i="23"/>
  <c r="C19" i="23"/>
  <c r="X19" i="23"/>
  <c r="AT19" i="23"/>
  <c r="BG19" i="23" s="1"/>
  <c r="B19" i="23"/>
  <c r="BO19" i="23" s="1"/>
  <c r="W19" i="23"/>
  <c r="BI5" i="23"/>
  <c r="BH196" i="23"/>
  <c r="BO196" i="23"/>
  <c r="U10" i="23"/>
  <c r="T10" i="23"/>
  <c r="AW10" i="23"/>
  <c r="AV10" i="23"/>
  <c r="AE10" i="23"/>
  <c r="BL10" i="23"/>
  <c r="BZ133" i="23"/>
  <c r="BY133" i="23"/>
  <c r="CA133" i="23"/>
  <c r="X111" i="23"/>
  <c r="W111" i="23"/>
  <c r="AT111" i="23"/>
  <c r="C111" i="23"/>
  <c r="D111" i="23" s="1"/>
  <c r="B111" i="23"/>
  <c r="BH111" i="23" s="1"/>
  <c r="BI102" i="23"/>
  <c r="CC127" i="23"/>
  <c r="AK127" i="23"/>
  <c r="AJ127" i="23"/>
  <c r="AI127" i="23"/>
  <c r="AD127" i="23"/>
  <c r="AC127" i="23"/>
  <c r="AL127" i="23"/>
  <c r="AB127" i="23"/>
  <c r="AM127" i="23"/>
  <c r="AA127" i="23"/>
  <c r="BZ102" i="23"/>
  <c r="CA102" i="23"/>
  <c r="BY102" i="23"/>
  <c r="B144" i="23"/>
  <c r="BH144" i="23" s="1"/>
  <c r="X144" i="23"/>
  <c r="W144" i="23"/>
  <c r="C144" i="23"/>
  <c r="D144" i="23" s="1"/>
  <c r="AT144" i="23"/>
  <c r="BI88" i="23"/>
  <c r="BT107" i="23"/>
  <c r="BU107" i="23"/>
  <c r="BS127" i="23"/>
  <c r="Y127" i="23"/>
  <c r="BO172" i="23"/>
  <c r="BH172" i="23"/>
  <c r="AS116" i="23"/>
  <c r="BJ116" i="23"/>
  <c r="BF116" i="23"/>
  <c r="AY116" i="23"/>
  <c r="S116" i="23"/>
  <c r="BN116" i="23"/>
  <c r="AO116" i="23"/>
  <c r="CB116" i="23"/>
  <c r="Z116" i="23"/>
  <c r="AN116" i="23"/>
  <c r="AP116" i="23"/>
  <c r="BK116" i="23"/>
  <c r="AQ116" i="23"/>
  <c r="BP116" i="23"/>
  <c r="BQ116" i="23" s="1"/>
  <c r="BM116" i="23"/>
  <c r="BV117" i="23"/>
  <c r="V116" i="23"/>
  <c r="AW80" i="23"/>
  <c r="AV80" i="23"/>
  <c r="U80" i="23"/>
  <c r="AE80" i="23"/>
  <c r="T80" i="23"/>
  <c r="AA69" i="23"/>
  <c r="AJ69" i="23"/>
  <c r="AI69" i="23"/>
  <c r="AK69" i="23"/>
  <c r="AL69" i="23"/>
  <c r="AB69" i="23"/>
  <c r="AM69" i="23"/>
  <c r="AD69" i="23"/>
  <c r="AC69" i="23"/>
  <c r="CC69" i="23"/>
  <c r="AA106" i="23"/>
  <c r="AL106" i="23"/>
  <c r="CC106" i="23"/>
  <c r="AD106" i="23"/>
  <c r="AI106" i="23"/>
  <c r="AC106" i="23"/>
  <c r="AM106" i="23"/>
  <c r="AK106" i="23"/>
  <c r="AB106" i="23"/>
  <c r="AJ106" i="23"/>
  <c r="BF61" i="23"/>
  <c r="Z61" i="23"/>
  <c r="BK61" i="23"/>
  <c r="AS61" i="23"/>
  <c r="AY61" i="23"/>
  <c r="BV62" i="23"/>
  <c r="CB61" i="23"/>
  <c r="V61" i="23"/>
  <c r="BP61" i="23"/>
  <c r="BQ61" i="23" s="1"/>
  <c r="BN61" i="23"/>
  <c r="BM61" i="23"/>
  <c r="BJ61" i="23"/>
  <c r="AQ61" i="23"/>
  <c r="AO61" i="23"/>
  <c r="AP61" i="23"/>
  <c r="AN61" i="23"/>
  <c r="S61" i="23"/>
  <c r="W135" i="23"/>
  <c r="B135" i="23"/>
  <c r="BO135" i="23" s="1"/>
  <c r="C135" i="23"/>
  <c r="D135" i="23" s="1"/>
  <c r="X135" i="23"/>
  <c r="AT135" i="23"/>
  <c r="CB62" i="23"/>
  <c r="V62" i="23"/>
  <c r="AS62" i="23"/>
  <c r="BK62" i="23"/>
  <c r="Z62" i="23"/>
  <c r="AP62" i="23"/>
  <c r="AQ62" i="23"/>
  <c r="AO62" i="23"/>
  <c r="AN62" i="23"/>
  <c r="BV63" i="23"/>
  <c r="S62" i="23"/>
  <c r="BP62" i="23"/>
  <c r="BQ62" i="23" s="1"/>
  <c r="BJ62" i="23"/>
  <c r="BF62" i="23"/>
  <c r="AY62" i="23"/>
  <c r="BN62" i="23"/>
  <c r="BM62" i="23"/>
  <c r="CC42" i="23"/>
  <c r="AA42" i="23"/>
  <c r="AM42" i="23"/>
  <c r="AD42" i="23"/>
  <c r="AC42" i="23"/>
  <c r="AB42" i="23"/>
  <c r="AL42" i="23"/>
  <c r="AK42" i="23"/>
  <c r="AJ42" i="23"/>
  <c r="AI42" i="23"/>
  <c r="X136" i="23"/>
  <c r="W136" i="23"/>
  <c r="AT136" i="23"/>
  <c r="C136" i="23"/>
  <c r="B136" i="23"/>
  <c r="BH136" i="23" s="1"/>
  <c r="X68" i="23"/>
  <c r="AT68" i="23"/>
  <c r="W68" i="23"/>
  <c r="C68" i="23"/>
  <c r="B68" i="23"/>
  <c r="BH68" i="23" s="1"/>
  <c r="AT69" i="23"/>
  <c r="C69" i="23"/>
  <c r="B69" i="23"/>
  <c r="BH69" i="23" s="1"/>
  <c r="W69" i="23"/>
  <c r="X69" i="23"/>
  <c r="CB44" i="23"/>
  <c r="Z44" i="23"/>
  <c r="AP44" i="23"/>
  <c r="AO44" i="23"/>
  <c r="AN44" i="23"/>
  <c r="AY44" i="23"/>
  <c r="V44" i="23"/>
  <c r="BP44" i="23"/>
  <c r="BQ44" i="23" s="1"/>
  <c r="BN44" i="23"/>
  <c r="BM44" i="23"/>
  <c r="BV45" i="23"/>
  <c r="BK44" i="23"/>
  <c r="BJ44" i="23"/>
  <c r="BF44" i="23"/>
  <c r="AS44" i="23"/>
  <c r="AQ44" i="23"/>
  <c r="S44" i="23"/>
  <c r="AQ111" i="23"/>
  <c r="AP111" i="23"/>
  <c r="BF111" i="23"/>
  <c r="BV112" i="23"/>
  <c r="BK111" i="23"/>
  <c r="BP111" i="23"/>
  <c r="BQ111" i="23" s="1"/>
  <c r="AS111" i="23"/>
  <c r="AY111" i="23"/>
  <c r="CB111" i="23"/>
  <c r="AN111" i="23"/>
  <c r="BJ111" i="23"/>
  <c r="BN111" i="23"/>
  <c r="BM111" i="23"/>
  <c r="AO111" i="23"/>
  <c r="Z111" i="23"/>
  <c r="V111" i="23"/>
  <c r="S111" i="23"/>
  <c r="BY83" i="23"/>
  <c r="CA83" i="23"/>
  <c r="BZ83" i="23"/>
  <c r="BU53" i="23"/>
  <c r="BT53" i="23"/>
  <c r="X13" i="23"/>
  <c r="W13" i="23"/>
  <c r="AT13" i="23"/>
  <c r="BG13" i="23" s="1"/>
  <c r="C13" i="23"/>
  <c r="B13" i="23"/>
  <c r="BO13" i="23" s="1"/>
  <c r="AZ13" i="23"/>
  <c r="CA39" i="23"/>
  <c r="BZ39" i="23"/>
  <c r="BY39" i="23"/>
  <c r="BK40" i="23"/>
  <c r="BF40" i="23"/>
  <c r="BV41" i="23"/>
  <c r="BP40" i="23"/>
  <c r="BQ40" i="23" s="1"/>
  <c r="AN40" i="23"/>
  <c r="V40" i="23"/>
  <c r="AY40" i="23"/>
  <c r="S40" i="23"/>
  <c r="CB40" i="23"/>
  <c r="AS40" i="23"/>
  <c r="AQ40" i="23"/>
  <c r="Z40" i="23"/>
  <c r="BN40" i="23"/>
  <c r="BM40" i="23"/>
  <c r="BJ40" i="23"/>
  <c r="AP40" i="23"/>
  <c r="AO40" i="23"/>
  <c r="C79" i="23"/>
  <c r="D79" i="23" s="1"/>
  <c r="X79" i="23"/>
  <c r="AT79" i="23"/>
  <c r="B79" i="23"/>
  <c r="BO79" i="23" s="1"/>
  <c r="W79" i="23"/>
  <c r="BU35" i="23"/>
  <c r="BT35" i="23"/>
  <c r="BT96" i="23"/>
  <c r="BU96" i="23"/>
  <c r="BF45" i="23"/>
  <c r="AP45" i="23"/>
  <c r="BV46" i="23"/>
  <c r="Z45" i="23"/>
  <c r="BP45" i="23"/>
  <c r="BQ45" i="23" s="1"/>
  <c r="CB45" i="23"/>
  <c r="AS45" i="23"/>
  <c r="AQ45" i="23"/>
  <c r="AO45" i="23"/>
  <c r="AN45" i="23"/>
  <c r="BN45" i="23"/>
  <c r="BM45" i="23"/>
  <c r="BK45" i="23"/>
  <c r="BJ45" i="23"/>
  <c r="V45" i="23"/>
  <c r="S45" i="23"/>
  <c r="AY45" i="23"/>
  <c r="CA45" i="23"/>
  <c r="BZ45" i="23"/>
  <c r="BY45" i="23"/>
  <c r="BI25" i="23"/>
  <c r="BU15" i="23"/>
  <c r="BT15" i="23"/>
  <c r="CA12" i="23"/>
  <c r="BZ12" i="23"/>
  <c r="BY12" i="23"/>
  <c r="BU29" i="23"/>
  <c r="BT29" i="23"/>
  <c r="AZ16" i="23"/>
  <c r="X16" i="23"/>
  <c r="W16" i="23"/>
  <c r="C16" i="23"/>
  <c r="B16" i="23"/>
  <c r="BH16" i="23" s="1"/>
  <c r="AT16" i="23"/>
  <c r="BG16" i="23" s="1"/>
  <c r="BS17" i="23"/>
  <c r="Y17" i="23"/>
  <c r="BB17" i="23"/>
  <c r="BH210" i="23"/>
  <c r="BO210" i="23"/>
  <c r="BO193" i="23"/>
  <c r="BH193" i="23"/>
  <c r="BO187" i="23"/>
  <c r="BH187" i="23"/>
  <c r="BS123" i="23"/>
  <c r="Y123" i="23"/>
  <c r="X130" i="23"/>
  <c r="C130" i="23"/>
  <c r="D130" i="23" s="1"/>
  <c r="B130" i="23"/>
  <c r="BH130" i="23" s="1"/>
  <c r="AT130" i="23"/>
  <c r="W130" i="23"/>
  <c r="BM101" i="23"/>
  <c r="AP101" i="23"/>
  <c r="AO101" i="23"/>
  <c r="BF101" i="23"/>
  <c r="V101" i="23"/>
  <c r="AS101" i="23"/>
  <c r="BV102" i="23"/>
  <c r="BP101" i="23"/>
  <c r="BQ101" i="23" s="1"/>
  <c r="BN101" i="23"/>
  <c r="AN101" i="23"/>
  <c r="Z101" i="23"/>
  <c r="S101" i="23"/>
  <c r="CB101" i="23"/>
  <c r="BK101" i="23"/>
  <c r="BJ101" i="23"/>
  <c r="AY101" i="23"/>
  <c r="AQ101" i="23"/>
  <c r="T126" i="23"/>
  <c r="AW126" i="23"/>
  <c r="AV126" i="23"/>
  <c r="AE126" i="23"/>
  <c r="U126" i="23"/>
  <c r="AM100" i="23"/>
  <c r="AL100" i="23"/>
  <c r="AK100" i="23"/>
  <c r="AJ100" i="23"/>
  <c r="AI100" i="23"/>
  <c r="AD100" i="23"/>
  <c r="AB100" i="23"/>
  <c r="CC100" i="23"/>
  <c r="AA100" i="23"/>
  <c r="AC100" i="23"/>
  <c r="Y118" i="23"/>
  <c r="BS118" i="23"/>
  <c r="AA143" i="23"/>
  <c r="CC143" i="23"/>
  <c r="AD143" i="23"/>
  <c r="AC143" i="23"/>
  <c r="AM143" i="23"/>
  <c r="AL143" i="23"/>
  <c r="AB143" i="23"/>
  <c r="AK143" i="23"/>
  <c r="AJ143" i="23"/>
  <c r="AI143" i="23"/>
  <c r="CB87" i="23"/>
  <c r="BN87" i="23"/>
  <c r="BM87" i="23"/>
  <c r="BK87" i="23"/>
  <c r="AQ87" i="23"/>
  <c r="AP87" i="23"/>
  <c r="AO87" i="23"/>
  <c r="BV88" i="23"/>
  <c r="AS87" i="23"/>
  <c r="AN87" i="23"/>
  <c r="BF87" i="23"/>
  <c r="AY87" i="23"/>
  <c r="Z87" i="23"/>
  <c r="S87" i="23"/>
  <c r="BP87" i="23"/>
  <c r="BQ87" i="23" s="1"/>
  <c r="BJ87" i="23"/>
  <c r="V87" i="23"/>
  <c r="AM147" i="23"/>
  <c r="AJ147" i="23"/>
  <c r="AI147" i="23"/>
  <c r="AA147" i="23"/>
  <c r="AB147" i="23"/>
  <c r="AL147" i="23"/>
  <c r="CC147" i="23"/>
  <c r="AC147" i="23"/>
  <c r="AK147" i="23"/>
  <c r="AD147" i="23"/>
  <c r="BI105" i="23"/>
  <c r="AL126" i="23"/>
  <c r="AM126" i="23"/>
  <c r="AC126" i="23"/>
  <c r="AB126" i="23"/>
  <c r="AA126" i="23"/>
  <c r="AK126" i="23"/>
  <c r="AJ126" i="23"/>
  <c r="CC126" i="23"/>
  <c r="AI126" i="23"/>
  <c r="AD126" i="23"/>
  <c r="BT146" i="23"/>
  <c r="BU146" i="23"/>
  <c r="T115" i="23"/>
  <c r="AW115" i="23"/>
  <c r="AV115" i="23"/>
  <c r="AE115" i="23"/>
  <c r="U115" i="23"/>
  <c r="BI98" i="23"/>
  <c r="AI123" i="23"/>
  <c r="AA123" i="23"/>
  <c r="AM123" i="23"/>
  <c r="CC123" i="23"/>
  <c r="AL123" i="23"/>
  <c r="AK123" i="23"/>
  <c r="AD123" i="23"/>
  <c r="AC123" i="23"/>
  <c r="AJ123" i="23"/>
  <c r="AB123" i="23"/>
  <c r="BU106" i="23"/>
  <c r="BT106" i="23"/>
  <c r="BS143" i="23"/>
  <c r="Y143" i="23"/>
  <c r="AK77" i="23"/>
  <c r="AM77" i="23"/>
  <c r="AB77" i="23"/>
  <c r="AL77" i="23"/>
  <c r="AJ77" i="23"/>
  <c r="AI77" i="23"/>
  <c r="AC77" i="23"/>
  <c r="CC77" i="23"/>
  <c r="AD77" i="23"/>
  <c r="AA77" i="23"/>
  <c r="AE67" i="23"/>
  <c r="U67" i="23"/>
  <c r="AV67" i="23"/>
  <c r="AW67" i="23"/>
  <c r="T67" i="23"/>
  <c r="T124" i="23"/>
  <c r="AW124" i="23"/>
  <c r="U124" i="23"/>
  <c r="AV124" i="23"/>
  <c r="AE124" i="23"/>
  <c r="S134" i="23"/>
  <c r="CB134" i="23"/>
  <c r="AS134" i="23"/>
  <c r="BJ134" i="23"/>
  <c r="Z134" i="23"/>
  <c r="AQ134" i="23"/>
  <c r="AP134" i="23"/>
  <c r="BM134" i="23"/>
  <c r="AN134" i="23"/>
  <c r="BP134" i="23"/>
  <c r="BQ134" i="23" s="1"/>
  <c r="V134" i="23"/>
  <c r="BN134" i="23"/>
  <c r="AO134" i="23"/>
  <c r="BK134" i="23"/>
  <c r="AY134" i="23"/>
  <c r="BV135" i="23"/>
  <c r="BF134" i="23"/>
  <c r="BI133" i="23"/>
  <c r="AS77" i="23"/>
  <c r="AQ77" i="23"/>
  <c r="S77" i="23"/>
  <c r="BF77" i="23"/>
  <c r="AY77" i="23"/>
  <c r="V77" i="23"/>
  <c r="AN77" i="23"/>
  <c r="BV78" i="23"/>
  <c r="BP77" i="23"/>
  <c r="BQ77" i="23" s="1"/>
  <c r="BN77" i="23"/>
  <c r="BM77" i="23"/>
  <c r="BK77" i="23"/>
  <c r="BJ77" i="23"/>
  <c r="AP77" i="23"/>
  <c r="AO77" i="23"/>
  <c r="CB77" i="23"/>
  <c r="Z77" i="23"/>
  <c r="BH190" i="23"/>
  <c r="BO190" i="23"/>
  <c r="X64" i="23"/>
  <c r="W64" i="23"/>
  <c r="AT64" i="23"/>
  <c r="C64" i="23"/>
  <c r="D64" i="23" s="1"/>
  <c r="B64" i="23"/>
  <c r="BH64" i="23" s="1"/>
  <c r="AE68" i="23"/>
  <c r="T68" i="23"/>
  <c r="U68" i="23"/>
  <c r="AW68" i="23"/>
  <c r="AV68" i="23"/>
  <c r="BS136" i="23"/>
  <c r="Y136" i="23"/>
  <c r="BS42" i="23"/>
  <c r="BB42" i="23"/>
  <c r="Y42" i="23"/>
  <c r="AV134" i="23"/>
  <c r="AE134" i="23"/>
  <c r="AW134" i="23"/>
  <c r="U134" i="23"/>
  <c r="T134" i="23"/>
  <c r="BI86" i="23"/>
  <c r="BI37" i="23"/>
  <c r="U11" i="23"/>
  <c r="BL11" i="23"/>
  <c r="AE11" i="23"/>
  <c r="T11" i="23"/>
  <c r="AW11" i="23"/>
  <c r="AV11" i="23"/>
  <c r="Z39" i="23"/>
  <c r="AY39" i="23"/>
  <c r="BJ39" i="23"/>
  <c r="S39" i="23"/>
  <c r="AS39" i="23"/>
  <c r="CB39" i="23"/>
  <c r="AQ39" i="23"/>
  <c r="AP39" i="23"/>
  <c r="AO39" i="23"/>
  <c r="BN39" i="23"/>
  <c r="BP39" i="23"/>
  <c r="BQ39" i="23" s="1"/>
  <c r="BM39" i="23"/>
  <c r="BK39" i="23"/>
  <c r="BV40" i="23"/>
  <c r="BF39" i="23"/>
  <c r="AN39" i="23"/>
  <c r="V39" i="23"/>
  <c r="W83" i="23"/>
  <c r="AT83" i="23"/>
  <c r="C83" i="23"/>
  <c r="D83" i="23" s="1"/>
  <c r="B83" i="23"/>
  <c r="BO83" i="23" s="1"/>
  <c r="X83" i="23"/>
  <c r="AJ70" i="23"/>
  <c r="AI70" i="23"/>
  <c r="AK70" i="23"/>
  <c r="AA70" i="23"/>
  <c r="AD70" i="23"/>
  <c r="CC70" i="23"/>
  <c r="AM70" i="23"/>
  <c r="AC70" i="23"/>
  <c r="AB70" i="23"/>
  <c r="AL70" i="23"/>
  <c r="BY67" i="23"/>
  <c r="CA67" i="23"/>
  <c r="BZ67" i="23"/>
  <c r="BT44" i="23"/>
  <c r="BU44" i="23"/>
  <c r="BI24" i="23"/>
  <c r="T23" i="23"/>
  <c r="BL23" i="23"/>
  <c r="AE23" i="23"/>
  <c r="U23" i="23"/>
  <c r="AW23" i="23"/>
  <c r="AV23" i="23"/>
  <c r="Y14" i="23"/>
  <c r="BB14" i="23"/>
  <c r="BS14" i="23"/>
  <c r="BI72" i="23"/>
  <c r="AC26" i="23"/>
  <c r="AJ26" i="23"/>
  <c r="AI26" i="23"/>
  <c r="AD26" i="23"/>
  <c r="AB26" i="23"/>
  <c r="AA26" i="23"/>
  <c r="AL26" i="23"/>
  <c r="AK26" i="23"/>
  <c r="CC26" i="23"/>
  <c r="AM26" i="23"/>
  <c r="BU34" i="23"/>
  <c r="BT34" i="23"/>
  <c r="CA57" i="23"/>
  <c r="BZ57" i="23"/>
  <c r="BY57" i="23"/>
  <c r="AX27" i="23"/>
  <c r="CD27" i="23"/>
  <c r="BU19" i="23"/>
  <c r="BT19" i="23"/>
  <c r="CA9" i="23"/>
  <c r="BZ9" i="23"/>
  <c r="BY9" i="23"/>
  <c r="AW14" i="23"/>
  <c r="U14" i="23"/>
  <c r="AV14" i="23"/>
  <c r="T14" i="23"/>
  <c r="AE14" i="23"/>
  <c r="BL14" i="23"/>
  <c r="AX28" i="23"/>
  <c r="CD28" i="23"/>
  <c r="CD5" i="23"/>
  <c r="AX5" i="23"/>
  <c r="CD7" i="23"/>
  <c r="AX7" i="23"/>
  <c r="BK26" i="23"/>
  <c r="BJ26" i="23"/>
  <c r="AQ26" i="23"/>
  <c r="BN26" i="23"/>
  <c r="BM26" i="23"/>
  <c r="Z26" i="23"/>
  <c r="BF26" i="23"/>
  <c r="V26" i="23"/>
  <c r="AY26" i="23"/>
  <c r="BV27" i="23"/>
  <c r="AO26" i="23"/>
  <c r="CB26" i="23"/>
  <c r="S26" i="23"/>
  <c r="BP26" i="23"/>
  <c r="BQ26" i="23" s="1"/>
  <c r="AS26" i="23"/>
  <c r="AP26" i="23"/>
  <c r="AN26" i="23"/>
  <c r="BK3" i="23"/>
  <c r="AS3" i="23"/>
  <c r="AO3" i="23"/>
  <c r="BV4" i="23"/>
  <c r="AN3" i="23"/>
  <c r="BP3" i="23"/>
  <c r="BQ3" i="23" s="1"/>
  <c r="Z3" i="23"/>
  <c r="AV7" i="23"/>
  <c r="U7" i="23"/>
  <c r="T7" i="23"/>
  <c r="AW7" i="23"/>
  <c r="BL7" i="23"/>
  <c r="AE7" i="23"/>
  <c r="AT145" i="23"/>
  <c r="X145" i="23"/>
  <c r="C145" i="23"/>
  <c r="D145" i="23" s="1"/>
  <c r="B145" i="23"/>
  <c r="BH145" i="23" s="1"/>
  <c r="W145" i="23"/>
  <c r="BS85" i="23"/>
  <c r="Y85" i="23"/>
  <c r="BI107" i="23"/>
  <c r="Y98" i="23"/>
  <c r="BS98" i="23"/>
  <c r="BZ116" i="23"/>
  <c r="BY116" i="23"/>
  <c r="CA116" i="23"/>
  <c r="BU143" i="23"/>
  <c r="BT143" i="23"/>
  <c r="BI60" i="23"/>
  <c r="BZ55" i="23"/>
  <c r="BY55" i="23"/>
  <c r="CA55" i="23"/>
  <c r="BI134" i="23"/>
  <c r="BB43" i="23"/>
  <c r="Y43" i="23"/>
  <c r="BS43" i="23"/>
  <c r="AJ136" i="23"/>
  <c r="AI136" i="23"/>
  <c r="AD136" i="23"/>
  <c r="CC136" i="23"/>
  <c r="AA136" i="23"/>
  <c r="AM136" i="23"/>
  <c r="AK136" i="23"/>
  <c r="AC136" i="23"/>
  <c r="AB136" i="23"/>
  <c r="AL136" i="23"/>
  <c r="X131" i="23"/>
  <c r="C131" i="23"/>
  <c r="W131" i="23"/>
  <c r="B131" i="23"/>
  <c r="BH131" i="23" s="1"/>
  <c r="AT131" i="23"/>
  <c r="CB108" i="23"/>
  <c r="AS108" i="23"/>
  <c r="S108" i="23"/>
  <c r="BN108" i="23"/>
  <c r="BM108" i="23"/>
  <c r="BJ108" i="23"/>
  <c r="V108" i="23"/>
  <c r="AN108" i="23"/>
  <c r="AQ108" i="23"/>
  <c r="AP108" i="23"/>
  <c r="BF108" i="23"/>
  <c r="AY108" i="23"/>
  <c r="AO108" i="23"/>
  <c r="BV109" i="23"/>
  <c r="BP108" i="23"/>
  <c r="BQ108" i="23" s="1"/>
  <c r="BK108" i="23"/>
  <c r="Z108" i="23"/>
  <c r="X80" i="23"/>
  <c r="W80" i="23"/>
  <c r="AT80" i="23"/>
  <c r="C80" i="23"/>
  <c r="B80" i="23"/>
  <c r="BH80" i="23" s="1"/>
  <c r="CA78" i="23"/>
  <c r="BZ78" i="23"/>
  <c r="BY78" i="23"/>
  <c r="BJ47" i="23"/>
  <c r="BP47" i="23"/>
  <c r="BQ47" i="23" s="1"/>
  <c r="BM47" i="23"/>
  <c r="BK47" i="23"/>
  <c r="AP47" i="23"/>
  <c r="Z47" i="23"/>
  <c r="BN47" i="23"/>
  <c r="BF47" i="23"/>
  <c r="V47" i="23"/>
  <c r="S47" i="23"/>
  <c r="BV48" i="23"/>
  <c r="AY47" i="23"/>
  <c r="AO47" i="23"/>
  <c r="CB47" i="23"/>
  <c r="AQ47" i="23"/>
  <c r="AS47" i="23"/>
  <c r="AN47" i="23"/>
  <c r="T133" i="23"/>
  <c r="U133" i="23"/>
  <c r="AV133" i="23"/>
  <c r="AW133" i="23"/>
  <c r="AE133" i="23"/>
  <c r="BU127" i="23"/>
  <c r="BT127" i="23"/>
  <c r="BU81" i="23"/>
  <c r="BT81" i="23"/>
  <c r="BY35" i="23"/>
  <c r="CA35" i="23"/>
  <c r="BZ35" i="23"/>
  <c r="AN22" i="23"/>
  <c r="BN22" i="23"/>
  <c r="BM22" i="23"/>
  <c r="V22" i="23"/>
  <c r="BK22" i="23"/>
  <c r="BJ22" i="23"/>
  <c r="BF22" i="23"/>
  <c r="Z22" i="23"/>
  <c r="AP22" i="23"/>
  <c r="BP22" i="23"/>
  <c r="BQ22" i="23" s="1"/>
  <c r="AY22" i="23"/>
  <c r="BV23" i="23"/>
  <c r="AS22" i="23"/>
  <c r="AQ22" i="23"/>
  <c r="AO22" i="23"/>
  <c r="CB22" i="23"/>
  <c r="S22" i="23"/>
  <c r="CA49" i="23"/>
  <c r="BZ49" i="23"/>
  <c r="BY49" i="23"/>
  <c r="BB41" i="23"/>
  <c r="BS41" i="23"/>
  <c r="Y41" i="23"/>
  <c r="Y39" i="23"/>
  <c r="BB39" i="23"/>
  <c r="BS39" i="23"/>
  <c r="BZ15" i="23"/>
  <c r="CA15" i="23"/>
  <c r="BY15" i="23"/>
  <c r="BB32" i="23"/>
  <c r="Y32" i="23"/>
  <c r="BS32" i="23"/>
  <c r="BI64" i="23"/>
  <c r="BF130" i="23"/>
  <c r="Z130" i="23"/>
  <c r="BV131" i="23"/>
  <c r="AS130" i="23"/>
  <c r="S130" i="23"/>
  <c r="BP130" i="23"/>
  <c r="BQ130" i="23" s="1"/>
  <c r="AQ130" i="23"/>
  <c r="CB130" i="23"/>
  <c r="BK130" i="23"/>
  <c r="BJ130" i="23"/>
  <c r="BN130" i="23"/>
  <c r="AN130" i="23"/>
  <c r="AY130" i="23"/>
  <c r="AP130" i="23"/>
  <c r="AO130" i="23"/>
  <c r="V130" i="23"/>
  <c r="BM130" i="23"/>
  <c r="AT134" i="23"/>
  <c r="C134" i="23"/>
  <c r="D134" i="23" s="1"/>
  <c r="X134" i="23"/>
  <c r="W134" i="23"/>
  <c r="B134" i="23"/>
  <c r="BH134" i="23" s="1"/>
  <c r="BH248" i="23"/>
  <c r="BO248" i="23"/>
  <c r="BY103" i="23"/>
  <c r="CA103" i="23"/>
  <c r="BZ103" i="23"/>
  <c r="BS78" i="23"/>
  <c r="Y78" i="23"/>
  <c r="BT122" i="23"/>
  <c r="BU122" i="23"/>
  <c r="AI101" i="23"/>
  <c r="AD101" i="23"/>
  <c r="AL101" i="23"/>
  <c r="AK101" i="23"/>
  <c r="CC101" i="23"/>
  <c r="AJ101" i="23"/>
  <c r="AC101" i="23"/>
  <c r="AM101" i="23"/>
  <c r="AA101" i="23"/>
  <c r="AB101" i="23"/>
  <c r="BU98" i="23"/>
  <c r="BT98" i="23"/>
  <c r="BU87" i="23"/>
  <c r="BT87" i="23"/>
  <c r="BI76" i="23"/>
  <c r="AW70" i="23"/>
  <c r="AV70" i="23"/>
  <c r="U70" i="23"/>
  <c r="T70" i="23"/>
  <c r="AE70" i="23"/>
  <c r="AB52" i="23"/>
  <c r="AM52" i="23"/>
  <c r="AD52" i="23"/>
  <c r="AL52" i="23"/>
  <c r="AC52" i="23"/>
  <c r="CC52" i="23"/>
  <c r="AJ52" i="23"/>
  <c r="AI52" i="23"/>
  <c r="AA52" i="23"/>
  <c r="AK52" i="23"/>
  <c r="BF36" i="23"/>
  <c r="BV37" i="23"/>
  <c r="BP36" i="23"/>
  <c r="BQ36" i="23" s="1"/>
  <c r="AN36" i="23"/>
  <c r="AY36" i="23"/>
  <c r="S36" i="23"/>
  <c r="CB36" i="23"/>
  <c r="AS36" i="23"/>
  <c r="AQ36" i="23"/>
  <c r="AP36" i="23"/>
  <c r="AO36" i="23"/>
  <c r="Z36" i="23"/>
  <c r="BK36" i="23"/>
  <c r="BJ36" i="23"/>
  <c r="V36" i="23"/>
  <c r="BN36" i="23"/>
  <c r="BM36" i="23"/>
  <c r="BU73" i="23"/>
  <c r="BT73" i="23"/>
  <c r="BU16" i="23"/>
  <c r="BT16" i="23"/>
  <c r="AA24" i="23"/>
  <c r="AD24" i="23"/>
  <c r="AC24" i="23"/>
  <c r="AB24" i="23"/>
  <c r="AM24" i="23"/>
  <c r="AL24" i="23"/>
  <c r="AK24" i="23"/>
  <c r="AJ24" i="23"/>
  <c r="AI24" i="23"/>
  <c r="CC24" i="23"/>
  <c r="C86" i="23"/>
  <c r="B86" i="23"/>
  <c r="BO86" i="23" s="1"/>
  <c r="AT86" i="23"/>
  <c r="W86" i="23"/>
  <c r="X86" i="23"/>
  <c r="BS75" i="23"/>
  <c r="Y75" i="23"/>
  <c r="AS106" i="23"/>
  <c r="S106" i="23"/>
  <c r="AQ106" i="23"/>
  <c r="AP106" i="23"/>
  <c r="AO106" i="23"/>
  <c r="BP106" i="23"/>
  <c r="BQ106" i="23" s="1"/>
  <c r="CB106" i="23"/>
  <c r="BJ106" i="23"/>
  <c r="BF106" i="23"/>
  <c r="AY106" i="23"/>
  <c r="AN106" i="23"/>
  <c r="BV107" i="23"/>
  <c r="BN106" i="23"/>
  <c r="BM106" i="23"/>
  <c r="BK106" i="23"/>
  <c r="Z106" i="23"/>
  <c r="V106" i="23"/>
  <c r="BT119" i="23"/>
  <c r="BU119" i="23"/>
  <c r="CA91" i="23"/>
  <c r="BZ91" i="23"/>
  <c r="BY91" i="23"/>
  <c r="Y16" i="23"/>
  <c r="BB16" i="23"/>
  <c r="BS16" i="23"/>
  <c r="BO270" i="23"/>
  <c r="BH270" i="23"/>
  <c r="AL134" i="23"/>
  <c r="AA134" i="23"/>
  <c r="CC134" i="23"/>
  <c r="AC134" i="23"/>
  <c r="AB134" i="23"/>
  <c r="AK134" i="23"/>
  <c r="AI134" i="23"/>
  <c r="AD134" i="23"/>
  <c r="AM134" i="23"/>
  <c r="AJ134" i="23"/>
  <c r="T132" i="23"/>
  <c r="U132" i="23"/>
  <c r="AE132" i="23"/>
  <c r="AV132" i="23"/>
  <c r="AW132" i="23"/>
  <c r="Y100" i="23"/>
  <c r="BS100" i="23"/>
  <c r="C101" i="23"/>
  <c r="W101" i="23"/>
  <c r="AT101" i="23"/>
  <c r="B101" i="23"/>
  <c r="BH101" i="23" s="1"/>
  <c r="X101" i="23"/>
  <c r="BZ101" i="23"/>
  <c r="BY101" i="23"/>
  <c r="CA101" i="23"/>
  <c r="W102" i="23"/>
  <c r="C102" i="23"/>
  <c r="D102" i="23" s="1"/>
  <c r="B102" i="23"/>
  <c r="BH102" i="23" s="1"/>
  <c r="X102" i="23"/>
  <c r="AT102" i="23"/>
  <c r="AT88" i="23"/>
  <c r="C88" i="23"/>
  <c r="D88" i="23" s="1"/>
  <c r="B88" i="23"/>
  <c r="BH88" i="23" s="1"/>
  <c r="X88" i="23"/>
  <c r="W88" i="23"/>
  <c r="BI49" i="23"/>
  <c r="B60" i="23"/>
  <c r="BH60" i="23" s="1"/>
  <c r="C60" i="23"/>
  <c r="X60" i="23"/>
  <c r="AT60" i="23"/>
  <c r="W60" i="23"/>
  <c r="CA47" i="23"/>
  <c r="BZ47" i="23"/>
  <c r="BY47" i="23"/>
  <c r="CC28" i="23"/>
  <c r="AB28" i="23"/>
  <c r="AD28" i="23"/>
  <c r="AC28" i="23"/>
  <c r="AA28" i="23"/>
  <c r="AM28" i="23"/>
  <c r="AK28" i="23"/>
  <c r="AJ28" i="23"/>
  <c r="AI28" i="23"/>
  <c r="AL28" i="23"/>
  <c r="AW6" i="23"/>
  <c r="AV6" i="23"/>
  <c r="BL6" i="23"/>
  <c r="AE6" i="23"/>
  <c r="U6" i="23"/>
  <c r="T6" i="23"/>
  <c r="B15" i="16"/>
  <c r="BH261" i="23"/>
  <c r="BO261" i="23"/>
  <c r="X133" i="23"/>
  <c r="W133" i="23"/>
  <c r="B133" i="23"/>
  <c r="BO133" i="23" s="1"/>
  <c r="AT133" i="23"/>
  <c r="C133" i="23"/>
  <c r="D133" i="23" s="1"/>
  <c r="AE141" i="23"/>
  <c r="U141" i="23"/>
  <c r="AV141" i="23"/>
  <c r="AW141" i="23"/>
  <c r="T141" i="23"/>
  <c r="BT129" i="23"/>
  <c r="BU129" i="23"/>
  <c r="W122" i="23"/>
  <c r="B122" i="23"/>
  <c r="BO122" i="23" s="1"/>
  <c r="C122" i="23"/>
  <c r="X122" i="23"/>
  <c r="AT122" i="23"/>
  <c r="Y95" i="23"/>
  <c r="BS95" i="23"/>
  <c r="U108" i="23"/>
  <c r="T108" i="23"/>
  <c r="AV108" i="23"/>
  <c r="AW108" i="23"/>
  <c r="AE108" i="23"/>
  <c r="BP58" i="23"/>
  <c r="BQ58" i="23" s="1"/>
  <c r="BN58" i="23"/>
  <c r="AO58" i="23"/>
  <c r="AS58" i="23"/>
  <c r="AQ58" i="23"/>
  <c r="AP58" i="23"/>
  <c r="BM58" i="23"/>
  <c r="V58" i="23"/>
  <c r="BK58" i="23"/>
  <c r="BJ58" i="23"/>
  <c r="S58" i="23"/>
  <c r="BF58" i="23"/>
  <c r="AY58" i="23"/>
  <c r="CB58" i="23"/>
  <c r="BV59" i="23"/>
  <c r="Z58" i="23"/>
  <c r="AN58" i="23"/>
  <c r="X81" i="23"/>
  <c r="AT81" i="23"/>
  <c r="C81" i="23"/>
  <c r="B81" i="23"/>
  <c r="BH81" i="23" s="1"/>
  <c r="W81" i="23"/>
  <c r="BU132" i="23"/>
  <c r="BT132" i="23"/>
  <c r="AM46" i="23"/>
  <c r="CC46" i="23"/>
  <c r="AK46" i="23"/>
  <c r="AD46" i="23"/>
  <c r="AL46" i="23"/>
  <c r="AJ46" i="23"/>
  <c r="AI46" i="23"/>
  <c r="AC46" i="23"/>
  <c r="AB46" i="23"/>
  <c r="AA46" i="23"/>
  <c r="AY23" i="23"/>
  <c r="Z23" i="23"/>
  <c r="AS23" i="23"/>
  <c r="S23" i="23"/>
  <c r="AQ23" i="23"/>
  <c r="BV24" i="23"/>
  <c r="AP23" i="23"/>
  <c r="CB23" i="23"/>
  <c r="BK23" i="23"/>
  <c r="BJ23" i="23"/>
  <c r="BF23" i="23"/>
  <c r="V23" i="23"/>
  <c r="BP23" i="23"/>
  <c r="BQ23" i="23" s="1"/>
  <c r="BN23" i="23"/>
  <c r="BM23" i="23"/>
  <c r="AO23" i="23"/>
  <c r="AN23" i="23"/>
  <c r="CC14" i="23"/>
  <c r="AM14" i="23"/>
  <c r="AL14" i="23"/>
  <c r="AK14" i="23"/>
  <c r="AJ14" i="23"/>
  <c r="AI14" i="23"/>
  <c r="AD14" i="23"/>
  <c r="AC14" i="23"/>
  <c r="AB14" i="23"/>
  <c r="AA14" i="23"/>
  <c r="AT52" i="23"/>
  <c r="C52" i="23"/>
  <c r="B52" i="23"/>
  <c r="BH52" i="23" s="1"/>
  <c r="X52" i="23"/>
  <c r="W52" i="23"/>
  <c r="AN115" i="23"/>
  <c r="AO115" i="23"/>
  <c r="AY115" i="23"/>
  <c r="S115" i="23"/>
  <c r="BM115" i="23"/>
  <c r="BN115" i="23"/>
  <c r="BK115" i="23"/>
  <c r="Z115" i="23"/>
  <c r="CB115" i="23"/>
  <c r="BV116" i="23"/>
  <c r="BP115" i="23"/>
  <c r="BQ115" i="23" s="1"/>
  <c r="AP115" i="23"/>
  <c r="BJ115" i="23"/>
  <c r="AQ115" i="23"/>
  <c r="BF115" i="23"/>
  <c r="AS115" i="23"/>
  <c r="V115" i="23"/>
  <c r="AW98" i="23"/>
  <c r="AV98" i="23"/>
  <c r="T98" i="23"/>
  <c r="U98" i="23"/>
  <c r="AE98" i="23"/>
  <c r="CA80" i="23"/>
  <c r="BY80" i="23"/>
  <c r="BZ80" i="23"/>
  <c r="AM71" i="23"/>
  <c r="CC71" i="23"/>
  <c r="AI71" i="23"/>
  <c r="AJ71" i="23"/>
  <c r="AK71" i="23"/>
  <c r="AL71" i="23"/>
  <c r="AD71" i="23"/>
  <c r="AC71" i="23"/>
  <c r="AA71" i="23"/>
  <c r="AB71" i="23"/>
  <c r="BO201" i="23"/>
  <c r="BH201" i="23"/>
  <c r="AM79" i="23"/>
  <c r="AL79" i="23"/>
  <c r="AK79" i="23"/>
  <c r="AB79" i="23"/>
  <c r="AJ79" i="23"/>
  <c r="AI79" i="23"/>
  <c r="AD79" i="23"/>
  <c r="AC79" i="23"/>
  <c r="AA79" i="23"/>
  <c r="CC79" i="23"/>
  <c r="BY64" i="23"/>
  <c r="BZ64" i="23"/>
  <c r="CA64" i="23"/>
  <c r="AZ24" i="23"/>
  <c r="X24" i="23"/>
  <c r="W24" i="23"/>
  <c r="C24" i="23"/>
  <c r="D24" i="23" s="1"/>
  <c r="B24" i="23"/>
  <c r="BH24" i="23" s="1"/>
  <c r="AT24" i="23"/>
  <c r="BG24" i="23" s="1"/>
  <c r="BT59" i="23"/>
  <c r="BU59" i="23"/>
  <c r="BP50" i="23"/>
  <c r="BQ50" i="23" s="1"/>
  <c r="AO50" i="23"/>
  <c r="BN50" i="23"/>
  <c r="AY50" i="23"/>
  <c r="V50" i="23"/>
  <c r="AP50" i="23"/>
  <c r="AN50" i="23"/>
  <c r="BV51" i="23"/>
  <c r="BF50" i="23"/>
  <c r="AS50" i="23"/>
  <c r="AQ50" i="23"/>
  <c r="CB50" i="23"/>
  <c r="Z50" i="23"/>
  <c r="BK50" i="23"/>
  <c r="BJ50" i="23"/>
  <c r="BM50" i="23"/>
  <c r="S50" i="23"/>
  <c r="BT104" i="23"/>
  <c r="BU104" i="23"/>
  <c r="BB9" i="23"/>
  <c r="Y9" i="23"/>
  <c r="BS9" i="23"/>
  <c r="BO240" i="23"/>
  <c r="BH240" i="23"/>
  <c r="BO250" i="23"/>
  <c r="BH250" i="23"/>
  <c r="BI101" i="23"/>
  <c r="CB80" i="23"/>
  <c r="V80" i="23"/>
  <c r="BJ80" i="23"/>
  <c r="BV81" i="23"/>
  <c r="BF80" i="23"/>
  <c r="BP80" i="23"/>
  <c r="BQ80" i="23" s="1"/>
  <c r="S80" i="23"/>
  <c r="AS80" i="23"/>
  <c r="AO80" i="23"/>
  <c r="AP80" i="23"/>
  <c r="Z80" i="23"/>
  <c r="BN80" i="23"/>
  <c r="BM80" i="23"/>
  <c r="BK80" i="23"/>
  <c r="AN80" i="23"/>
  <c r="AY80" i="23"/>
  <c r="AQ80" i="23"/>
  <c r="BP72" i="23"/>
  <c r="BQ72" i="23" s="1"/>
  <c r="AY72" i="23"/>
  <c r="AN72" i="23"/>
  <c r="BM72" i="23"/>
  <c r="Z72" i="23"/>
  <c r="BN72" i="23"/>
  <c r="BK72" i="23"/>
  <c r="S72" i="23"/>
  <c r="AQ72" i="23"/>
  <c r="BJ72" i="23"/>
  <c r="V72" i="23"/>
  <c r="CB72" i="23"/>
  <c r="BV73" i="23"/>
  <c r="BF72" i="23"/>
  <c r="AS72" i="23"/>
  <c r="AP72" i="23"/>
  <c r="AO72" i="23"/>
  <c r="BI51" i="23"/>
  <c r="AA98" i="23"/>
  <c r="AB98" i="23"/>
  <c r="AJ98" i="23"/>
  <c r="AL98" i="23"/>
  <c r="AC98" i="23"/>
  <c r="CC98" i="23"/>
  <c r="AD98" i="23"/>
  <c r="AM98" i="23"/>
  <c r="AK98" i="23"/>
  <c r="AI98" i="23"/>
  <c r="BM103" i="23"/>
  <c r="AY103" i="23"/>
  <c r="S103" i="23"/>
  <c r="AQ103" i="23"/>
  <c r="AP103" i="23"/>
  <c r="BV104" i="23"/>
  <c r="AO103" i="23"/>
  <c r="CB103" i="23"/>
  <c r="BK103" i="23"/>
  <c r="V103" i="23"/>
  <c r="BP103" i="23"/>
  <c r="BQ103" i="23" s="1"/>
  <c r="BN103" i="23"/>
  <c r="BF103" i="23"/>
  <c r="BJ103" i="23"/>
  <c r="AS103" i="23"/>
  <c r="AN103" i="23"/>
  <c r="Z103" i="23"/>
  <c r="BI79" i="23"/>
  <c r="AP83" i="23"/>
  <c r="BV84" i="23"/>
  <c r="BF83" i="23"/>
  <c r="CB83" i="23"/>
  <c r="Z83" i="23"/>
  <c r="BP83" i="23"/>
  <c r="BQ83" i="23" s="1"/>
  <c r="BM83" i="23"/>
  <c r="BJ83" i="23"/>
  <c r="AY83" i="23"/>
  <c r="AS83" i="23"/>
  <c r="AQ83" i="23"/>
  <c r="AO83" i="23"/>
  <c r="V83" i="23"/>
  <c r="AN83" i="23"/>
  <c r="S83" i="23"/>
  <c r="BN83" i="23"/>
  <c r="BK83" i="23"/>
  <c r="AT77" i="23"/>
  <c r="X77" i="23"/>
  <c r="W77" i="23"/>
  <c r="B77" i="23"/>
  <c r="BH77" i="23" s="1"/>
  <c r="C77" i="23"/>
  <c r="X73" i="23"/>
  <c r="W73" i="23"/>
  <c r="B73" i="23"/>
  <c r="BH73" i="23" s="1"/>
  <c r="AT73" i="23"/>
  <c r="C73" i="23"/>
  <c r="D73" i="23" s="1"/>
  <c r="CA56" i="23"/>
  <c r="BZ56" i="23"/>
  <c r="BY56" i="23"/>
  <c r="BI115" i="23"/>
  <c r="B149" i="23"/>
  <c r="BO149" i="23" s="1"/>
  <c r="X149" i="23"/>
  <c r="C149" i="23"/>
  <c r="AT149" i="23"/>
  <c r="W149" i="23"/>
  <c r="BU21" i="23"/>
  <c r="BT21" i="23"/>
  <c r="AZ29" i="23"/>
  <c r="X29" i="23"/>
  <c r="W29" i="23"/>
  <c r="C29" i="23"/>
  <c r="D29" i="23" s="1"/>
  <c r="B29" i="23"/>
  <c r="BH29" i="23" s="1"/>
  <c r="AT29" i="23"/>
  <c r="BG29" i="23" s="1"/>
  <c r="Y52" i="23"/>
  <c r="BS52" i="23"/>
  <c r="Y58" i="23"/>
  <c r="BS58" i="23"/>
  <c r="C33" i="23"/>
  <c r="D33" i="23" s="1"/>
  <c r="B33" i="23"/>
  <c r="BH33" i="23" s="1"/>
  <c r="X33" i="23"/>
  <c r="AT33" i="23"/>
  <c r="BG33" i="23" s="1"/>
  <c r="W33" i="23"/>
  <c r="AZ33" i="23"/>
  <c r="BI21" i="23"/>
  <c r="Y72" i="23"/>
  <c r="BS72" i="23"/>
  <c r="AE18" i="23"/>
  <c r="AW18" i="23"/>
  <c r="AV18" i="23"/>
  <c r="BL18" i="23"/>
  <c r="U18" i="23"/>
  <c r="T18" i="23"/>
  <c r="AW35" i="23"/>
  <c r="AV35" i="23"/>
  <c r="AE35" i="23"/>
  <c r="U35" i="23"/>
  <c r="T35" i="23"/>
  <c r="BL35" i="23"/>
  <c r="BU28" i="23"/>
  <c r="BT28" i="23"/>
  <c r="BB19" i="23"/>
  <c r="Y19" i="23"/>
  <c r="BS19" i="23"/>
  <c r="B31" i="39"/>
  <c r="BR152" i="23"/>
  <c r="CC13" i="23"/>
  <c r="AL13" i="23"/>
  <c r="AK13" i="23"/>
  <c r="AJ13" i="23"/>
  <c r="AI13" i="23"/>
  <c r="AD13" i="23"/>
  <c r="AC13" i="23"/>
  <c r="AB13" i="23"/>
  <c r="AA13" i="23"/>
  <c r="AM13" i="23"/>
  <c r="C18" i="16"/>
  <c r="Y106" i="23"/>
  <c r="BS106" i="23"/>
  <c r="BI87" i="23"/>
  <c r="BH234" i="23"/>
  <c r="BO234" i="23"/>
  <c r="BH223" i="23"/>
  <c r="BO223" i="23"/>
  <c r="B143" i="23"/>
  <c r="BO143" i="23" s="1"/>
  <c r="X143" i="23"/>
  <c r="AT143" i="23"/>
  <c r="C143" i="23"/>
  <c r="D143" i="23" s="1"/>
  <c r="W143" i="23"/>
  <c r="AV119" i="23"/>
  <c r="AW119" i="23"/>
  <c r="T119" i="23"/>
  <c r="AE119" i="23"/>
  <c r="U119" i="23"/>
  <c r="AV110" i="23"/>
  <c r="U110" i="23"/>
  <c r="AW110" i="23"/>
  <c r="AE110" i="23"/>
  <c r="T110" i="23"/>
  <c r="BZ144" i="23"/>
  <c r="BY144" i="23"/>
  <c r="CA144" i="23"/>
  <c r="BY53" i="23"/>
  <c r="CA53" i="23"/>
  <c r="BZ53" i="23"/>
  <c r="AQ90" i="23"/>
  <c r="BP90" i="23"/>
  <c r="BQ90" i="23" s="1"/>
  <c r="BN90" i="23"/>
  <c r="Z90" i="23"/>
  <c r="AP90" i="23"/>
  <c r="AO90" i="23"/>
  <c r="BV91" i="23"/>
  <c r="AN90" i="23"/>
  <c r="CB90" i="23"/>
  <c r="BJ90" i="23"/>
  <c r="BF90" i="23"/>
  <c r="BM90" i="23"/>
  <c r="AS90" i="23"/>
  <c r="BK90" i="23"/>
  <c r="AY90" i="23"/>
  <c r="V90" i="23"/>
  <c r="S90" i="23"/>
  <c r="BL26" i="23"/>
  <c r="U26" i="23"/>
  <c r="T26" i="23"/>
  <c r="AE26" i="23"/>
  <c r="AV26" i="23"/>
  <c r="AW26" i="23"/>
  <c r="AE40" i="23"/>
  <c r="U40" i="23"/>
  <c r="T40" i="23"/>
  <c r="AW40" i="23"/>
  <c r="AV40" i="23"/>
  <c r="BL40" i="23"/>
  <c r="BU27" i="23"/>
  <c r="BT27" i="23"/>
  <c r="AM5" i="23"/>
  <c r="AJ5" i="23"/>
  <c r="AI5" i="23"/>
  <c r="AL5" i="23"/>
  <c r="AK5" i="23"/>
  <c r="AD5" i="23"/>
  <c r="CC5" i="23"/>
  <c r="AA5" i="23"/>
  <c r="AC5" i="23"/>
  <c r="AB5" i="23"/>
  <c r="BH3" i="23"/>
  <c r="BI3" i="23" s="1"/>
  <c r="BO3" i="23"/>
  <c r="CD9" i="23"/>
  <c r="AX9" i="23"/>
  <c r="BI42" i="23"/>
  <c r="B11" i="16"/>
  <c r="A2" i="18" s="1"/>
  <c r="B170" i="16"/>
  <c r="B171" i="16" s="1"/>
  <c r="B18" i="42" s="1"/>
  <c r="B12" i="16"/>
  <c r="E4" i="33"/>
  <c r="BH259" i="23"/>
  <c r="BO259" i="23"/>
  <c r="BH252" i="23"/>
  <c r="BO252" i="23"/>
  <c r="CA140" i="23"/>
  <c r="BZ140" i="23"/>
  <c r="BY140" i="23"/>
  <c r="BO169" i="23"/>
  <c r="BH169" i="23"/>
  <c r="BH168" i="23"/>
  <c r="BO168" i="23"/>
  <c r="BH253" i="23"/>
  <c r="BO253" i="23"/>
  <c r="Y108" i="23"/>
  <c r="BS108" i="23"/>
  <c r="BH216" i="23"/>
  <c r="BO216" i="23"/>
  <c r="BF114" i="23"/>
  <c r="BV115" i="23"/>
  <c r="Z114" i="23"/>
  <c r="AS114" i="23"/>
  <c r="CB114" i="23"/>
  <c r="AQ114" i="23"/>
  <c r="BM114" i="23"/>
  <c r="V114" i="23"/>
  <c r="AP114" i="23"/>
  <c r="AY114" i="23"/>
  <c r="S114" i="23"/>
  <c r="BK114" i="23"/>
  <c r="BN114" i="23"/>
  <c r="AN114" i="23"/>
  <c r="BJ114" i="23"/>
  <c r="BP114" i="23"/>
  <c r="BQ114" i="23" s="1"/>
  <c r="AO114" i="23"/>
  <c r="CA125" i="23"/>
  <c r="BZ125" i="23"/>
  <c r="BY125" i="23"/>
  <c r="BK96" i="23"/>
  <c r="Z96" i="23"/>
  <c r="BJ96" i="23"/>
  <c r="BN96" i="23"/>
  <c r="V96" i="23"/>
  <c r="BM96" i="23"/>
  <c r="AQ96" i="23"/>
  <c r="S96" i="23"/>
  <c r="AY96" i="23"/>
  <c r="AN96" i="23"/>
  <c r="CB96" i="23"/>
  <c r="BP96" i="23"/>
  <c r="BQ96" i="23" s="1"/>
  <c r="BF96" i="23"/>
  <c r="AS96" i="23"/>
  <c r="AP96" i="23"/>
  <c r="AO96" i="23"/>
  <c r="BV97" i="23"/>
  <c r="Y104" i="23"/>
  <c r="BS104" i="23"/>
  <c r="BS125" i="23"/>
  <c r="Y125" i="23"/>
  <c r="U96" i="23"/>
  <c r="T96" i="23"/>
  <c r="AW96" i="23"/>
  <c r="AV96" i="23"/>
  <c r="AE96" i="23"/>
  <c r="BU120" i="23"/>
  <c r="BT120" i="23"/>
  <c r="BJ117" i="23"/>
  <c r="AO117" i="23"/>
  <c r="AN117" i="23"/>
  <c r="BN117" i="23"/>
  <c r="V117" i="23"/>
  <c r="BV118" i="23"/>
  <c r="BF117" i="23"/>
  <c r="S117" i="23"/>
  <c r="AS117" i="23"/>
  <c r="CB117" i="23"/>
  <c r="BK117" i="23"/>
  <c r="BP117" i="23"/>
  <c r="BQ117" i="23" s="1"/>
  <c r="AY117" i="23"/>
  <c r="AP117" i="23"/>
  <c r="BM117" i="23"/>
  <c r="Z117" i="23"/>
  <c r="AQ117" i="23"/>
  <c r="BU76" i="23"/>
  <c r="BT76" i="23"/>
  <c r="BI104" i="23"/>
  <c r="AT139" i="23"/>
  <c r="C139" i="23"/>
  <c r="D139" i="23" s="1"/>
  <c r="X139" i="23"/>
  <c r="W139" i="23"/>
  <c r="B139" i="23"/>
  <c r="BH139" i="23" s="1"/>
  <c r="AW76" i="23"/>
  <c r="AE76" i="23"/>
  <c r="AV76" i="23"/>
  <c r="T76" i="23"/>
  <c r="U76" i="23"/>
  <c r="Y114" i="23"/>
  <c r="BS114" i="23"/>
  <c r="BT101" i="23"/>
  <c r="BU101" i="23"/>
  <c r="BT123" i="23"/>
  <c r="BU123" i="23"/>
  <c r="AD122" i="23"/>
  <c r="AK122" i="23"/>
  <c r="AJ122" i="23"/>
  <c r="AI122" i="23"/>
  <c r="AC122" i="23"/>
  <c r="AB122" i="23"/>
  <c r="AL122" i="23"/>
  <c r="AA122" i="23"/>
  <c r="CC122" i="23"/>
  <c r="AM122" i="23"/>
  <c r="U128" i="23"/>
  <c r="AE128" i="23"/>
  <c r="AW128" i="23"/>
  <c r="AV128" i="23"/>
  <c r="T128" i="23"/>
  <c r="BZ98" i="23"/>
  <c r="BY98" i="23"/>
  <c r="CA98" i="23"/>
  <c r="BU125" i="23"/>
  <c r="BT125" i="23"/>
  <c r="Y76" i="23"/>
  <c r="BS76" i="23"/>
  <c r="W91" i="23"/>
  <c r="C91" i="23"/>
  <c r="B91" i="23"/>
  <c r="BH91" i="23" s="1"/>
  <c r="X91" i="23"/>
  <c r="AT91" i="23"/>
  <c r="AJ128" i="23"/>
  <c r="AI128" i="23"/>
  <c r="AB128" i="23"/>
  <c r="AA128" i="23"/>
  <c r="AC128" i="23"/>
  <c r="AM128" i="23"/>
  <c r="AL128" i="23"/>
  <c r="CC128" i="23"/>
  <c r="AK128" i="23"/>
  <c r="AD128" i="23"/>
  <c r="AS88" i="23"/>
  <c r="AQ88" i="23"/>
  <c r="AY88" i="23"/>
  <c r="V88" i="23"/>
  <c r="S88" i="23"/>
  <c r="AP88" i="23"/>
  <c r="Z88" i="23"/>
  <c r="BM88" i="23"/>
  <c r="BK88" i="23"/>
  <c r="BJ88" i="23"/>
  <c r="AO88" i="23"/>
  <c r="BV89" i="23"/>
  <c r="CB88" i="23"/>
  <c r="BP88" i="23"/>
  <c r="BQ88" i="23" s="1"/>
  <c r="BN88" i="23"/>
  <c r="BF88" i="23"/>
  <c r="AN88" i="23"/>
  <c r="CA89" i="23"/>
  <c r="BZ89" i="23"/>
  <c r="BY89" i="23"/>
  <c r="AL67" i="23"/>
  <c r="AK67" i="23"/>
  <c r="AJ67" i="23"/>
  <c r="CC67" i="23"/>
  <c r="AI67" i="23"/>
  <c r="AA67" i="23"/>
  <c r="AM67" i="23"/>
  <c r="AD67" i="23"/>
  <c r="AC67" i="23"/>
  <c r="AB67" i="23"/>
  <c r="AV78" i="23"/>
  <c r="AE78" i="23"/>
  <c r="U78" i="23"/>
  <c r="T78" i="23"/>
  <c r="AW78" i="23"/>
  <c r="BI9" i="23"/>
  <c r="CD16" i="23"/>
  <c r="AX16" i="23"/>
  <c r="CA37" i="23"/>
  <c r="BZ37" i="23"/>
  <c r="BY37" i="23"/>
  <c r="AE81" i="23"/>
  <c r="AV81" i="23"/>
  <c r="AW81" i="23"/>
  <c r="U81" i="23"/>
  <c r="T81" i="23"/>
  <c r="BS59" i="23"/>
  <c r="Y59" i="23"/>
  <c r="AW101" i="23"/>
  <c r="U101" i="23"/>
  <c r="AV101" i="23"/>
  <c r="AE101" i="23"/>
  <c r="T101" i="23"/>
  <c r="AW21" i="23"/>
  <c r="BL21" i="23"/>
  <c r="U21" i="23"/>
  <c r="T21" i="23"/>
  <c r="AE21" i="23"/>
  <c r="AV21" i="23"/>
  <c r="BL22" i="23"/>
  <c r="AV22" i="23"/>
  <c r="AE22" i="23"/>
  <c r="U22" i="23"/>
  <c r="T22" i="23"/>
  <c r="AW22" i="23"/>
  <c r="CA69" i="23"/>
  <c r="BY69" i="23"/>
  <c r="BZ69" i="23"/>
  <c r="AB25" i="23"/>
  <c r="AD25" i="23"/>
  <c r="CC25" i="23"/>
  <c r="AC25" i="23"/>
  <c r="AA25" i="23"/>
  <c r="AL25" i="23"/>
  <c r="AI25" i="23"/>
  <c r="AJ25" i="23"/>
  <c r="AM25" i="23"/>
  <c r="AK25" i="23"/>
  <c r="BU25" i="23"/>
  <c r="BT25" i="23"/>
  <c r="BI11" i="23"/>
  <c r="AS9" i="23"/>
  <c r="AQ9" i="23"/>
  <c r="S9" i="23"/>
  <c r="BN9" i="23"/>
  <c r="BM9" i="23"/>
  <c r="BK9" i="23"/>
  <c r="V9" i="23"/>
  <c r="AY9" i="23"/>
  <c r="CB9" i="23"/>
  <c r="AP9" i="23"/>
  <c r="AO9" i="23"/>
  <c r="AN9" i="23"/>
  <c r="BJ9" i="23"/>
  <c r="Z9" i="23"/>
  <c r="BV10" i="23"/>
  <c r="BP9" i="23"/>
  <c r="BQ9" i="23" s="1"/>
  <c r="BF9" i="23"/>
  <c r="AX6" i="23"/>
  <c r="CD6" i="23"/>
  <c r="CD21" i="23"/>
  <c r="AX21" i="23"/>
  <c r="AV71" i="23"/>
  <c r="U71" i="23"/>
  <c r="T71" i="23"/>
  <c r="AW71" i="23"/>
  <c r="AE71" i="23"/>
  <c r="AC2" i="23"/>
  <c r="CC2" i="23"/>
  <c r="AM2" i="23"/>
  <c r="AL2" i="23"/>
  <c r="AK2" i="23"/>
  <c r="AJ2" i="23"/>
  <c r="AI2" i="23"/>
  <c r="AA2" i="23"/>
  <c r="AD2" i="23"/>
  <c r="AB2" i="23"/>
  <c r="CC37" i="23"/>
  <c r="AD37" i="23"/>
  <c r="AM37" i="23"/>
  <c r="AL37" i="23"/>
  <c r="AK37" i="23"/>
  <c r="AJ37" i="23"/>
  <c r="AB37" i="23"/>
  <c r="AI37" i="23"/>
  <c r="AC37" i="23"/>
  <c r="AA37" i="23"/>
  <c r="AO7" i="23"/>
  <c r="V7" i="23"/>
  <c r="AS7" i="23"/>
  <c r="S7" i="23"/>
  <c r="CB7" i="23"/>
  <c r="AQ7" i="23"/>
  <c r="AP7" i="23"/>
  <c r="AN7" i="23"/>
  <c r="BV8" i="23"/>
  <c r="BP7" i="23"/>
  <c r="BQ7" i="23" s="1"/>
  <c r="BN7" i="23"/>
  <c r="BM7" i="23"/>
  <c r="Z7" i="23"/>
  <c r="BF7" i="23"/>
  <c r="AY7" i="23"/>
  <c r="BK7" i="23"/>
  <c r="BJ7" i="23"/>
  <c r="BY110" i="23"/>
  <c r="CA110" i="23"/>
  <c r="BZ110" i="23"/>
  <c r="BS91" i="23"/>
  <c r="Y91" i="23"/>
  <c r="CC80" i="23"/>
  <c r="AJ80" i="23"/>
  <c r="AI80" i="23"/>
  <c r="AL80" i="23"/>
  <c r="AB80" i="23"/>
  <c r="AA80" i="23"/>
  <c r="AK80" i="23"/>
  <c r="AD80" i="23"/>
  <c r="AC80" i="23"/>
  <c r="AM80" i="23"/>
  <c r="C128" i="23"/>
  <c r="D128" i="23" s="1"/>
  <c r="B128" i="23"/>
  <c r="BH128" i="23" s="1"/>
  <c r="W128" i="23"/>
  <c r="X128" i="23"/>
  <c r="AT128" i="23"/>
  <c r="AK48" i="23"/>
  <c r="CC48" i="23"/>
  <c r="AM48" i="23"/>
  <c r="AL48" i="23"/>
  <c r="AJ48" i="23"/>
  <c r="AI48" i="23"/>
  <c r="AA48" i="23"/>
  <c r="AD48" i="23"/>
  <c r="AC48" i="23"/>
  <c r="AB48" i="23"/>
  <c r="AJ3" i="23"/>
  <c r="CC3" i="23"/>
  <c r="AM3" i="23"/>
  <c r="AL3" i="23"/>
  <c r="AK3" i="23"/>
  <c r="AI3" i="23"/>
  <c r="AD3" i="23"/>
  <c r="AC3" i="23"/>
  <c r="AB3" i="23"/>
  <c r="AA3" i="23"/>
  <c r="Y68" i="23"/>
  <c r="BS68" i="23"/>
  <c r="BS71" i="23"/>
  <c r="Y71" i="23"/>
  <c r="BH235" i="23"/>
  <c r="BO235" i="23"/>
  <c r="BH242" i="23"/>
  <c r="BO242" i="23"/>
  <c r="AD138" i="23"/>
  <c r="AK138" i="23"/>
  <c r="AM138" i="23"/>
  <c r="AA138" i="23"/>
  <c r="AC138" i="23"/>
  <c r="CC138" i="23"/>
  <c r="AB138" i="23"/>
  <c r="AL138" i="23"/>
  <c r="AI138" i="23"/>
  <c r="AJ138" i="23"/>
  <c r="BH255" i="23"/>
  <c r="BO255" i="23"/>
  <c r="CA121" i="23"/>
  <c r="BZ121" i="23"/>
  <c r="BY121" i="23"/>
  <c r="BH228" i="23"/>
  <c r="BO228" i="23"/>
  <c r="BI139" i="23"/>
  <c r="BO195" i="23"/>
  <c r="BH195" i="23"/>
  <c r="BU139" i="23"/>
  <c r="BT139" i="23"/>
  <c r="AT124" i="23"/>
  <c r="X124" i="23"/>
  <c r="C124" i="23"/>
  <c r="W124" i="23"/>
  <c r="B124" i="23"/>
  <c r="BO124" i="23" s="1"/>
  <c r="AW93" i="23"/>
  <c r="AE93" i="23"/>
  <c r="U93" i="23"/>
  <c r="T93" i="23"/>
  <c r="AV93" i="23"/>
  <c r="AM102" i="23"/>
  <c r="AK102" i="23"/>
  <c r="AD102" i="23"/>
  <c r="AB102" i="23"/>
  <c r="AA102" i="23"/>
  <c r="AJ102" i="23"/>
  <c r="AI102" i="23"/>
  <c r="AC102" i="23"/>
  <c r="AL102" i="23"/>
  <c r="CC102" i="23"/>
  <c r="BI123" i="23"/>
  <c r="CA137" i="23"/>
  <c r="BZ137" i="23"/>
  <c r="BY137" i="23"/>
  <c r="AW112" i="23"/>
  <c r="T112" i="23"/>
  <c r="AV112" i="23"/>
  <c r="AE112" i="23"/>
  <c r="U112" i="23"/>
  <c r="AE95" i="23"/>
  <c r="T95" i="23"/>
  <c r="AW95" i="23"/>
  <c r="U95" i="23"/>
  <c r="AV95" i="23"/>
  <c r="BJ133" i="23"/>
  <c r="AP133" i="23"/>
  <c r="BK133" i="23"/>
  <c r="Z133" i="23"/>
  <c r="AO133" i="23"/>
  <c r="CB133" i="23"/>
  <c r="BV134" i="23"/>
  <c r="BN133" i="23"/>
  <c r="BP133" i="23"/>
  <c r="BQ133" i="23" s="1"/>
  <c r="S133" i="23"/>
  <c r="BM133" i="23"/>
  <c r="AQ133" i="23"/>
  <c r="AN133" i="23"/>
  <c r="AS133" i="23"/>
  <c r="BF133" i="23"/>
  <c r="AY133" i="23"/>
  <c r="V133" i="23"/>
  <c r="Z110" i="23"/>
  <c r="BF110" i="23"/>
  <c r="V110" i="23"/>
  <c r="AP110" i="23"/>
  <c r="CB110" i="23"/>
  <c r="AO110" i="23"/>
  <c r="BP110" i="23"/>
  <c r="BQ110" i="23" s="1"/>
  <c r="BV111" i="23"/>
  <c r="BK110" i="23"/>
  <c r="BJ110" i="23"/>
  <c r="AY110" i="23"/>
  <c r="BM110" i="23"/>
  <c r="BN110" i="23"/>
  <c r="AS110" i="23"/>
  <c r="AQ110" i="23"/>
  <c r="AN110" i="23"/>
  <c r="S110" i="23"/>
  <c r="BO232" i="23"/>
  <c r="BH232" i="23"/>
  <c r="BU67" i="23"/>
  <c r="BT67" i="23"/>
  <c r="BT100" i="23"/>
  <c r="BU100" i="23"/>
  <c r="BZ122" i="23"/>
  <c r="BY122" i="23"/>
  <c r="CA122" i="23"/>
  <c r="BU39" i="23"/>
  <c r="BT39" i="23"/>
  <c r="BI89" i="23"/>
  <c r="BZ118" i="23"/>
  <c r="BY118" i="23"/>
  <c r="CA118" i="23"/>
  <c r="BT126" i="23"/>
  <c r="BU126" i="23"/>
  <c r="BP126" i="23"/>
  <c r="BQ126" i="23" s="1"/>
  <c r="AN126" i="23"/>
  <c r="AQ126" i="23"/>
  <c r="AP126" i="23"/>
  <c r="BV127" i="23"/>
  <c r="S126" i="23"/>
  <c r="CB126" i="23"/>
  <c r="BM126" i="23"/>
  <c r="AY126" i="23"/>
  <c r="BK126" i="23"/>
  <c r="BJ126" i="23"/>
  <c r="AO126" i="23"/>
  <c r="Z126" i="23"/>
  <c r="BF126" i="23"/>
  <c r="V126" i="23"/>
  <c r="BN126" i="23"/>
  <c r="AS126" i="23"/>
  <c r="BU62" i="23"/>
  <c r="BT62" i="23"/>
  <c r="AE61" i="23"/>
  <c r="U61" i="23"/>
  <c r="T61" i="23"/>
  <c r="AV61" i="23"/>
  <c r="AW61" i="23"/>
  <c r="BI108" i="23"/>
  <c r="BM41" i="23"/>
  <c r="BN41" i="23"/>
  <c r="BK41" i="23"/>
  <c r="V41" i="23"/>
  <c r="S41" i="23"/>
  <c r="AY41" i="23"/>
  <c r="CB41" i="23"/>
  <c r="AS41" i="23"/>
  <c r="AP41" i="23"/>
  <c r="BJ41" i="23"/>
  <c r="BF41" i="23"/>
  <c r="AQ41" i="23"/>
  <c r="AO41" i="23"/>
  <c r="AN41" i="23"/>
  <c r="BV42" i="23"/>
  <c r="BP41" i="23"/>
  <c r="BQ41" i="23" s="1"/>
  <c r="Z41" i="23"/>
  <c r="Y48" i="23"/>
  <c r="BB48" i="23"/>
  <c r="BS48" i="23"/>
  <c r="Z46" i="23"/>
  <c r="AS46" i="23"/>
  <c r="AQ46" i="23"/>
  <c r="AP46" i="23"/>
  <c r="BV47" i="23"/>
  <c r="BF46" i="23"/>
  <c r="S46" i="23"/>
  <c r="AY46" i="23"/>
  <c r="CB46" i="23"/>
  <c r="AO46" i="23"/>
  <c r="AN46" i="23"/>
  <c r="BN46" i="23"/>
  <c r="BK46" i="23"/>
  <c r="BJ46" i="23"/>
  <c r="BM46" i="23"/>
  <c r="V46" i="23"/>
  <c r="BP46" i="23"/>
  <c r="BQ46" i="23" s="1"/>
  <c r="Y73" i="23"/>
  <c r="BS73" i="23"/>
  <c r="BT64" i="23"/>
  <c r="BU64" i="23"/>
  <c r="CA85" i="23"/>
  <c r="BY85" i="23"/>
  <c r="BZ85" i="23"/>
  <c r="BZ94" i="23"/>
  <c r="CA94" i="23"/>
  <c r="BY94" i="23"/>
  <c r="BU69" i="23"/>
  <c r="BT69" i="23"/>
  <c r="X14" i="23"/>
  <c r="W14" i="23"/>
  <c r="AZ14" i="23"/>
  <c r="C14" i="23"/>
  <c r="D14" i="23" s="1"/>
  <c r="B14" i="23"/>
  <c r="BO14" i="23" s="1"/>
  <c r="AT14" i="23"/>
  <c r="BG14" i="23" s="1"/>
  <c r="Z35" i="23"/>
  <c r="CB35" i="23"/>
  <c r="AY35" i="23"/>
  <c r="BJ35" i="23"/>
  <c r="AS35" i="23"/>
  <c r="AQ35" i="23"/>
  <c r="AP35" i="23"/>
  <c r="AO35" i="23"/>
  <c r="AN35" i="23"/>
  <c r="BV36" i="23"/>
  <c r="BK35" i="23"/>
  <c r="V35" i="23"/>
  <c r="S35" i="23"/>
  <c r="BP35" i="23"/>
  <c r="BQ35" i="23" s="1"/>
  <c r="BN35" i="23"/>
  <c r="BM35" i="23"/>
  <c r="BF35" i="23"/>
  <c r="BI44" i="23"/>
  <c r="C48" i="23"/>
  <c r="X48" i="23"/>
  <c r="W48" i="23"/>
  <c r="AZ48" i="23"/>
  <c r="AT48" i="23"/>
  <c r="BG48" i="23" s="1"/>
  <c r="B48" i="23"/>
  <c r="BO48" i="23" s="1"/>
  <c r="BZ96" i="23"/>
  <c r="CA96" i="23"/>
  <c r="BY96" i="23"/>
  <c r="U65" i="23"/>
  <c r="T65" i="23"/>
  <c r="AE65" i="23"/>
  <c r="AW65" i="23"/>
  <c r="AV65" i="23"/>
  <c r="BL37" i="23"/>
  <c r="U37" i="23"/>
  <c r="T37" i="23"/>
  <c r="AW37" i="23"/>
  <c r="AV37" i="23"/>
  <c r="AE37" i="23"/>
  <c r="AE36" i="23"/>
  <c r="AW36" i="23"/>
  <c r="AV36" i="23"/>
  <c r="BL36" i="23"/>
  <c r="U36" i="23"/>
  <c r="T36" i="23"/>
  <c r="X20" i="23"/>
  <c r="W20" i="23"/>
  <c r="AZ20" i="23"/>
  <c r="C20" i="23"/>
  <c r="D20" i="23" s="1"/>
  <c r="B20" i="23"/>
  <c r="BH20" i="23" s="1"/>
  <c r="AT20" i="23"/>
  <c r="BG20" i="23" s="1"/>
  <c r="AX19" i="23"/>
  <c r="CD19" i="23"/>
  <c r="AD12" i="23"/>
  <c r="CC12" i="23"/>
  <c r="AM12" i="23"/>
  <c r="AL12" i="23"/>
  <c r="AK12" i="23"/>
  <c r="AJ12" i="23"/>
  <c r="AI12" i="23"/>
  <c r="AC12" i="23"/>
  <c r="AA12" i="23"/>
  <c r="AB12" i="23"/>
  <c r="BS56" i="23"/>
  <c r="Y56" i="23"/>
  <c r="CA120" i="23"/>
  <c r="BZ120" i="23"/>
  <c r="BY120" i="23"/>
  <c r="CB27" i="23"/>
  <c r="BP27" i="23"/>
  <c r="BQ27" i="23" s="1"/>
  <c r="AO27" i="23"/>
  <c r="AN27" i="23"/>
  <c r="BN27" i="23"/>
  <c r="BM27" i="23"/>
  <c r="BK27" i="23"/>
  <c r="BJ27" i="23"/>
  <c r="Z27" i="23"/>
  <c r="BF27" i="23"/>
  <c r="V27" i="23"/>
  <c r="AP27" i="23"/>
  <c r="AY27" i="23"/>
  <c r="BV28" i="23"/>
  <c r="AS27" i="23"/>
  <c r="AQ27" i="23"/>
  <c r="S27" i="23"/>
  <c r="BT24" i="23"/>
  <c r="BU24" i="23"/>
  <c r="AD19" i="23"/>
  <c r="AC19" i="23"/>
  <c r="AB19" i="23"/>
  <c r="AA19" i="23"/>
  <c r="AK19" i="23"/>
  <c r="AL19" i="23"/>
  <c r="AJ19" i="23"/>
  <c r="AI19" i="23"/>
  <c r="AM19" i="23"/>
  <c r="CC19" i="23"/>
  <c r="X63" i="23"/>
  <c r="W63" i="23"/>
  <c r="C63" i="23"/>
  <c r="D63" i="23" s="1"/>
  <c r="B63" i="23"/>
  <c r="BO63" i="23" s="1"/>
  <c r="AT63" i="23"/>
  <c r="B4" i="23"/>
  <c r="BB4" i="23" s="1"/>
  <c r="AT4" i="23"/>
  <c r="BG4" i="23" s="1"/>
  <c r="X4" i="23"/>
  <c r="W4" i="23"/>
  <c r="C4" i="23"/>
  <c r="AZ4" i="23"/>
  <c r="AY18" i="23"/>
  <c r="Z18" i="23"/>
  <c r="BJ18" i="23"/>
  <c r="AO18" i="23"/>
  <c r="AN18" i="23"/>
  <c r="BP18" i="23"/>
  <c r="BQ18" i="23" s="1"/>
  <c r="BK18" i="23"/>
  <c r="S18" i="23"/>
  <c r="BF18" i="23"/>
  <c r="AS18" i="23"/>
  <c r="AQ18" i="23"/>
  <c r="AP18" i="23"/>
  <c r="V18" i="23"/>
  <c r="CB18" i="23"/>
  <c r="BN18" i="23"/>
  <c r="BM18" i="23"/>
  <c r="BV19" i="23"/>
  <c r="C58" i="23"/>
  <c r="AT58" i="23"/>
  <c r="X58" i="23"/>
  <c r="W58" i="23"/>
  <c r="B58" i="23"/>
  <c r="BO58" i="23" s="1"/>
  <c r="CA50" i="23"/>
  <c r="BZ50" i="23"/>
  <c r="BY50" i="23"/>
  <c r="BI6" i="23"/>
  <c r="CA22" i="23"/>
  <c r="BY22" i="23"/>
  <c r="BZ22" i="23"/>
  <c r="Y131" i="23"/>
  <c r="BS131" i="23"/>
  <c r="B36" i="23"/>
  <c r="BH36" i="23" s="1"/>
  <c r="AT36" i="23"/>
  <c r="BG36" i="23" s="1"/>
  <c r="AZ36" i="23"/>
  <c r="C36" i="23"/>
  <c r="D36" i="23" s="1"/>
  <c r="X36" i="23"/>
  <c r="W36" i="23"/>
  <c r="BZ95" i="23"/>
  <c r="CA95" i="23"/>
  <c r="BY95" i="23"/>
  <c r="AM32" i="23"/>
  <c r="AL32" i="23"/>
  <c r="AD32" i="23"/>
  <c r="AC32" i="23"/>
  <c r="AB32" i="23"/>
  <c r="AA32" i="23"/>
  <c r="AJ32" i="23"/>
  <c r="AK32" i="23"/>
  <c r="AI32" i="23"/>
  <c r="CC32" i="23"/>
  <c r="F90" i="10"/>
  <c r="BZ124" i="23"/>
  <c r="CA124" i="23"/>
  <c r="BY124" i="23"/>
  <c r="B13" i="16"/>
  <c r="CA105" i="23"/>
  <c r="BZ105" i="23"/>
  <c r="BY105" i="23"/>
  <c r="B3" i="40"/>
  <c r="C4" i="16"/>
  <c r="B2" i="40" s="1"/>
  <c r="B140" i="16"/>
  <c r="C140" i="16" s="1"/>
  <c r="B2" i="37" s="1"/>
  <c r="B53" i="10" s="1"/>
  <c r="F53" i="10" s="1"/>
  <c r="B181" i="16"/>
  <c r="B182" i="16" s="1"/>
  <c r="BH211" i="23"/>
  <c r="BO211" i="23"/>
  <c r="BO197" i="23"/>
  <c r="BH197" i="23"/>
  <c r="BH251" i="23"/>
  <c r="BO251" i="23"/>
  <c r="CA141" i="23"/>
  <c r="BY141" i="23"/>
  <c r="BZ141" i="23"/>
  <c r="BP143" i="23"/>
  <c r="BQ143" i="23" s="1"/>
  <c r="V143" i="23"/>
  <c r="AS143" i="23"/>
  <c r="AQ143" i="23"/>
  <c r="AY143" i="23"/>
  <c r="AN143" i="23"/>
  <c r="BN143" i="23"/>
  <c r="AP143" i="23"/>
  <c r="AO143" i="23"/>
  <c r="BK143" i="23"/>
  <c r="S143" i="23"/>
  <c r="BJ143" i="23"/>
  <c r="CB143" i="23"/>
  <c r="BF143" i="23"/>
  <c r="Z143" i="23"/>
  <c r="BM143" i="23"/>
  <c r="BV144" i="23"/>
  <c r="BO224" i="23"/>
  <c r="BH224" i="23"/>
  <c r="Y105" i="23"/>
  <c r="BS105" i="23"/>
  <c r="AJ121" i="23"/>
  <c r="AI121" i="23"/>
  <c r="AD121" i="23"/>
  <c r="AK121" i="23"/>
  <c r="AC121" i="23"/>
  <c r="CC121" i="23"/>
  <c r="AA121" i="23"/>
  <c r="AB121" i="23"/>
  <c r="AM121" i="23"/>
  <c r="AL121" i="23"/>
  <c r="BO225" i="23"/>
  <c r="BH225" i="23"/>
  <c r="CA106" i="23"/>
  <c r="BZ106" i="23"/>
  <c r="BY106" i="23"/>
  <c r="BH188" i="23"/>
  <c r="BO188" i="23"/>
  <c r="BO266" i="23"/>
  <c r="BH266" i="23"/>
  <c r="CC111" i="23"/>
  <c r="AD111" i="23"/>
  <c r="AL111" i="23"/>
  <c r="AI111" i="23"/>
  <c r="AK111" i="23"/>
  <c r="AM111" i="23"/>
  <c r="AJ111" i="23"/>
  <c r="AB111" i="23"/>
  <c r="AA111" i="23"/>
  <c r="AC111" i="23"/>
  <c r="BT92" i="23"/>
  <c r="BU92" i="23"/>
  <c r="AE122" i="23"/>
  <c r="U122" i="23"/>
  <c r="T122" i="23"/>
  <c r="AW122" i="23"/>
  <c r="AV122" i="23"/>
  <c r="T118" i="23"/>
  <c r="AE118" i="23"/>
  <c r="AV118" i="23"/>
  <c r="AW118" i="23"/>
  <c r="U118" i="23"/>
  <c r="Y129" i="23"/>
  <c r="BS129" i="23"/>
  <c r="AL96" i="23"/>
  <c r="AM96" i="23"/>
  <c r="AK96" i="23"/>
  <c r="AI96" i="23"/>
  <c r="AA96" i="23"/>
  <c r="AJ96" i="23"/>
  <c r="AC96" i="23"/>
  <c r="CC96" i="23"/>
  <c r="AD96" i="23"/>
  <c r="AB96" i="23"/>
  <c r="BT130" i="23"/>
  <c r="BU130" i="23"/>
  <c r="AY145" i="23"/>
  <c r="AP145" i="23"/>
  <c r="CB145" i="23"/>
  <c r="AO145" i="23"/>
  <c r="BV146" i="23"/>
  <c r="BJ145" i="23"/>
  <c r="S145" i="23"/>
  <c r="V145" i="23"/>
  <c r="AS145" i="23"/>
  <c r="AQ145" i="23"/>
  <c r="BM145" i="23"/>
  <c r="BK145" i="23"/>
  <c r="Z145" i="23"/>
  <c r="BP145" i="23"/>
  <c r="BQ145" i="23" s="1"/>
  <c r="BN145" i="23"/>
  <c r="BF145" i="23"/>
  <c r="AN145" i="23"/>
  <c r="BU99" i="23"/>
  <c r="BT99" i="23"/>
  <c r="BI54" i="23"/>
  <c r="BI117" i="23"/>
  <c r="AE121" i="23"/>
  <c r="AW121" i="23"/>
  <c r="AV121" i="23"/>
  <c r="U121" i="23"/>
  <c r="T121" i="23"/>
  <c r="AQ104" i="23"/>
  <c r="BF104" i="23"/>
  <c r="S104" i="23"/>
  <c r="BJ104" i="23"/>
  <c r="V104" i="23"/>
  <c r="CB104" i="23"/>
  <c r="BK104" i="23"/>
  <c r="Z104" i="23"/>
  <c r="BV105" i="23"/>
  <c r="BM104" i="23"/>
  <c r="AO104" i="23"/>
  <c r="BP104" i="23"/>
  <c r="BQ104" i="23" s="1"/>
  <c r="BN104" i="23"/>
  <c r="AS104" i="23"/>
  <c r="AP104" i="23"/>
  <c r="AN104" i="23"/>
  <c r="AY104" i="23"/>
  <c r="AC73" i="23"/>
  <c r="AB73" i="23"/>
  <c r="AL73" i="23"/>
  <c r="AK73" i="23"/>
  <c r="AJ73" i="23"/>
  <c r="AI73" i="23"/>
  <c r="CC73" i="23"/>
  <c r="AA73" i="23"/>
  <c r="AD73" i="23"/>
  <c r="AM73" i="23"/>
  <c r="AD103" i="23"/>
  <c r="AC103" i="23"/>
  <c r="AB103" i="23"/>
  <c r="AA103" i="23"/>
  <c r="AJ103" i="23"/>
  <c r="AI103" i="23"/>
  <c r="CC103" i="23"/>
  <c r="AM103" i="23"/>
  <c r="AL103" i="23"/>
  <c r="AK103" i="23"/>
  <c r="C61" i="23"/>
  <c r="D61" i="23" s="1"/>
  <c r="B61" i="23"/>
  <c r="BO61" i="23" s="1"/>
  <c r="X61" i="23"/>
  <c r="W61" i="23"/>
  <c r="AT61" i="23"/>
  <c r="BF60" i="23"/>
  <c r="Z60" i="23"/>
  <c r="AO60" i="23"/>
  <c r="BN60" i="23"/>
  <c r="AS60" i="23"/>
  <c r="BM60" i="23"/>
  <c r="BK60" i="23"/>
  <c r="BV61" i="23"/>
  <c r="BJ60" i="23"/>
  <c r="S60" i="23"/>
  <c r="AY60" i="23"/>
  <c r="CB60" i="23"/>
  <c r="BP60" i="23"/>
  <c r="BQ60" i="23" s="1"/>
  <c r="AQ60" i="23"/>
  <c r="AP60" i="23"/>
  <c r="AN60" i="23"/>
  <c r="V60" i="23"/>
  <c r="BZ63" i="23"/>
  <c r="BY63" i="23"/>
  <c r="CA63" i="23"/>
  <c r="T150" i="23"/>
  <c r="U150" i="23"/>
  <c r="AV150" i="23"/>
  <c r="AW150" i="23"/>
  <c r="AE150" i="23"/>
  <c r="W59" i="23"/>
  <c r="AT59" i="23"/>
  <c r="C59" i="23"/>
  <c r="X59" i="23"/>
  <c r="B59" i="23"/>
  <c r="BH59" i="23" s="1"/>
  <c r="BS86" i="23"/>
  <c r="Y86" i="23"/>
  <c r="BS61" i="23"/>
  <c r="Y61" i="23"/>
  <c r="AV12" i="23"/>
  <c r="U12" i="23"/>
  <c r="T12" i="23"/>
  <c r="AW12" i="23"/>
  <c r="AE12" i="23"/>
  <c r="BL12" i="23"/>
  <c r="BP33" i="23"/>
  <c r="BQ33" i="23" s="1"/>
  <c r="AP33" i="23"/>
  <c r="AO33" i="23"/>
  <c r="AS33" i="23"/>
  <c r="AQ33" i="23"/>
  <c r="AN33" i="23"/>
  <c r="BN33" i="23"/>
  <c r="BK33" i="23"/>
  <c r="BV34" i="23"/>
  <c r="CB33" i="23"/>
  <c r="BM33" i="23"/>
  <c r="Z33" i="23"/>
  <c r="V33" i="23"/>
  <c r="BJ33" i="23"/>
  <c r="BF33" i="23"/>
  <c r="S33" i="23"/>
  <c r="AY33" i="23"/>
  <c r="AW34" i="23"/>
  <c r="U34" i="23"/>
  <c r="T34" i="23"/>
  <c r="AV34" i="23"/>
  <c r="BL34" i="23"/>
  <c r="AE34" i="23"/>
  <c r="CA40" i="23"/>
  <c r="BZ40" i="23"/>
  <c r="BY40" i="23"/>
  <c r="AL90" i="23"/>
  <c r="AK90" i="23"/>
  <c r="AM90" i="23"/>
  <c r="AJ90" i="23"/>
  <c r="AI90" i="23"/>
  <c r="AB90" i="23"/>
  <c r="AA90" i="23"/>
  <c r="AD90" i="23"/>
  <c r="CC90" i="23"/>
  <c r="AC90" i="23"/>
  <c r="BI36" i="23"/>
  <c r="BT18" i="23"/>
  <c r="BU18" i="23"/>
  <c r="T87" i="23"/>
  <c r="AE87" i="23"/>
  <c r="U87" i="23"/>
  <c r="AW87" i="23"/>
  <c r="AV87" i="23"/>
  <c r="AI87" i="23"/>
  <c r="AD87" i="23"/>
  <c r="AC87" i="23"/>
  <c r="AB87" i="23"/>
  <c r="CC87" i="23"/>
  <c r="AM87" i="23"/>
  <c r="AJ87" i="23"/>
  <c r="AA87" i="23"/>
  <c r="AL87" i="23"/>
  <c r="AK87" i="23"/>
  <c r="CA20" i="23"/>
  <c r="BY20" i="23"/>
  <c r="BZ20" i="23"/>
  <c r="BU7" i="23"/>
  <c r="BT7" i="23"/>
  <c r="B25" i="23"/>
  <c r="BO25" i="23" s="1"/>
  <c r="X25" i="23"/>
  <c r="W25" i="23"/>
  <c r="AZ25" i="23"/>
  <c r="C25" i="23"/>
  <c r="AT25" i="23"/>
  <c r="BG25" i="23" s="1"/>
  <c r="BU17" i="23"/>
  <c r="BT17" i="23"/>
  <c r="AX3" i="23"/>
  <c r="CD3" i="23"/>
  <c r="BF29" i="23"/>
  <c r="Z29" i="23"/>
  <c r="AY29" i="23"/>
  <c r="BJ29" i="23"/>
  <c r="BN29" i="23"/>
  <c r="BV30" i="23"/>
  <c r="BM29" i="23"/>
  <c r="BK29" i="23"/>
  <c r="V29" i="23"/>
  <c r="S29" i="23"/>
  <c r="AN29" i="23"/>
  <c r="AP29" i="23"/>
  <c r="AO29" i="23"/>
  <c r="CB29" i="23"/>
  <c r="BP29" i="23"/>
  <c r="BQ29" i="23" s="1"/>
  <c r="AS29" i="23"/>
  <c r="AQ29" i="23"/>
  <c r="BI31" i="23"/>
  <c r="BV21" i="23"/>
  <c r="CB20" i="23"/>
  <c r="BN20" i="23"/>
  <c r="BM20" i="23"/>
  <c r="BK20" i="23"/>
  <c r="BJ20" i="23"/>
  <c r="Z20" i="23"/>
  <c r="BF20" i="23"/>
  <c r="V20" i="23"/>
  <c r="AY20" i="23"/>
  <c r="AP20" i="23"/>
  <c r="BP20" i="23"/>
  <c r="BQ20" i="23" s="1"/>
  <c r="AN20" i="23"/>
  <c r="S20" i="23"/>
  <c r="AQ20" i="23"/>
  <c r="AO20" i="23"/>
  <c r="AS20" i="23"/>
  <c r="Y13" i="23"/>
  <c r="BB13" i="23"/>
  <c r="BS13" i="23"/>
  <c r="BT22" i="23"/>
  <c r="BU22" i="23"/>
  <c r="BY127" i="23"/>
  <c r="CA127" i="23"/>
  <c r="BZ127" i="23"/>
  <c r="AM150" i="23"/>
  <c r="AJ150" i="23"/>
  <c r="AI150" i="23"/>
  <c r="AC150" i="23"/>
  <c r="AL150" i="23"/>
  <c r="CC150" i="23"/>
  <c r="AD150" i="23"/>
  <c r="AA150" i="23"/>
  <c r="AK150" i="23"/>
  <c r="AB150" i="23"/>
  <c r="AT62" i="23"/>
  <c r="C62" i="23"/>
  <c r="D62" i="23" s="1"/>
  <c r="B62" i="23"/>
  <c r="BO62" i="23" s="1"/>
  <c r="X62" i="23"/>
  <c r="W62" i="23"/>
  <c r="W97" i="23"/>
  <c r="X97" i="23"/>
  <c r="AT97" i="23"/>
  <c r="C97" i="23"/>
  <c r="B97" i="23"/>
  <c r="BH97" i="23" s="1"/>
  <c r="BV31" i="23"/>
  <c r="BK30" i="23"/>
  <c r="BJ30" i="23"/>
  <c r="BF30" i="23"/>
  <c r="AQ30" i="23"/>
  <c r="AN30" i="23"/>
  <c r="BP30" i="23"/>
  <c r="BQ30" i="23" s="1"/>
  <c r="Z30" i="23"/>
  <c r="BN30" i="23"/>
  <c r="BM30" i="23"/>
  <c r="V30" i="23"/>
  <c r="CB30" i="23"/>
  <c r="AY30" i="23"/>
  <c r="AS30" i="23"/>
  <c r="AP30" i="23"/>
  <c r="AO30" i="23"/>
  <c r="S30" i="23"/>
  <c r="AV127" i="23"/>
  <c r="AW127" i="23"/>
  <c r="U127" i="23"/>
  <c r="T127" i="23"/>
  <c r="AE127" i="23"/>
  <c r="AT38" i="23"/>
  <c r="BG38" i="23" s="1"/>
  <c r="B38" i="23"/>
  <c r="BO38" i="23" s="1"/>
  <c r="AZ38" i="23"/>
  <c r="C38" i="23"/>
  <c r="X38" i="23"/>
  <c r="W38" i="23"/>
  <c r="BH221" i="23"/>
  <c r="BO221" i="23"/>
  <c r="BS2" i="23"/>
  <c r="Y2" i="23"/>
  <c r="BB2" i="23"/>
  <c r="AW72" i="23"/>
  <c r="T72" i="23"/>
  <c r="U72" i="23"/>
  <c r="AV72" i="23"/>
  <c r="AE72" i="23"/>
  <c r="BZ150" i="23"/>
  <c r="BY150" i="23"/>
  <c r="CA150" i="23"/>
  <c r="BO174" i="23"/>
  <c r="BH174" i="23"/>
  <c r="BH236" i="23"/>
  <c r="BO236" i="23"/>
  <c r="AM139" i="23"/>
  <c r="AD139" i="23"/>
  <c r="AJ139" i="23"/>
  <c r="AK139" i="23"/>
  <c r="AB139" i="23"/>
  <c r="AI139" i="23"/>
  <c r="AC139" i="23"/>
  <c r="CC139" i="23"/>
  <c r="AL139" i="23"/>
  <c r="AA139" i="23"/>
  <c r="AP142" i="23"/>
  <c r="CB142" i="23"/>
  <c r="AS142" i="23"/>
  <c r="BV143" i="23"/>
  <c r="BJ142" i="23"/>
  <c r="V142" i="23"/>
  <c r="S142" i="23"/>
  <c r="AY142" i="23"/>
  <c r="BN142" i="23"/>
  <c r="BM142" i="23"/>
  <c r="BK142" i="23"/>
  <c r="BF142" i="23"/>
  <c r="AQ142" i="23"/>
  <c r="Z142" i="23"/>
  <c r="BP142" i="23"/>
  <c r="BQ142" i="23" s="1"/>
  <c r="AO142" i="23"/>
  <c r="AN142" i="23"/>
  <c r="BH180" i="23"/>
  <c r="BO180" i="23"/>
  <c r="AP150" i="23"/>
  <c r="Z150" i="23"/>
  <c r="BF150" i="23"/>
  <c r="BJ150" i="23"/>
  <c r="AS150" i="23"/>
  <c r="AQ150" i="23"/>
  <c r="BK150" i="23"/>
  <c r="BP150" i="23"/>
  <c r="BQ150" i="23" s="1"/>
  <c r="S150" i="23"/>
  <c r="AN150" i="23"/>
  <c r="CB150" i="23"/>
  <c r="AO150" i="23"/>
  <c r="AY150" i="23"/>
  <c r="V150" i="23"/>
  <c r="BN150" i="23"/>
  <c r="BM150" i="23"/>
  <c r="BI94" i="23"/>
  <c r="BO217" i="23"/>
  <c r="BH217" i="23"/>
  <c r="BO212" i="23"/>
  <c r="BH212" i="23"/>
  <c r="BH178" i="23"/>
  <c r="BO178" i="23"/>
  <c r="BI122" i="23"/>
  <c r="BO263" i="23"/>
  <c r="BH263" i="23"/>
  <c r="AW91" i="23"/>
  <c r="AV91" i="23"/>
  <c r="AE91" i="23"/>
  <c r="T91" i="23"/>
  <c r="U91" i="23"/>
  <c r="BS128" i="23"/>
  <c r="Y128" i="23"/>
  <c r="BN128" i="23"/>
  <c r="BM128" i="23"/>
  <c r="BK128" i="23"/>
  <c r="CB128" i="23"/>
  <c r="AQ128" i="23"/>
  <c r="AS128" i="23"/>
  <c r="AP128" i="23"/>
  <c r="AO128" i="23"/>
  <c r="Z128" i="23"/>
  <c r="V128" i="23"/>
  <c r="BV129" i="23"/>
  <c r="BF128" i="23"/>
  <c r="AY128" i="23"/>
  <c r="AN128" i="23"/>
  <c r="BP128" i="23"/>
  <c r="BQ128" i="23" s="1"/>
  <c r="BJ128" i="23"/>
  <c r="S128" i="23"/>
  <c r="AD109" i="23"/>
  <c r="AC109" i="23"/>
  <c r="AI109" i="23"/>
  <c r="AM109" i="23"/>
  <c r="AJ109" i="23"/>
  <c r="CC109" i="23"/>
  <c r="AB109" i="23"/>
  <c r="AL109" i="23"/>
  <c r="AA109" i="23"/>
  <c r="AK109" i="23"/>
  <c r="W127" i="23"/>
  <c r="X127" i="23"/>
  <c r="C127" i="23"/>
  <c r="B127" i="23"/>
  <c r="BO127" i="23" s="1"/>
  <c r="AT127" i="23"/>
  <c r="Y122" i="23"/>
  <c r="BS122" i="23"/>
  <c r="BU70" i="23"/>
  <c r="BT70" i="23"/>
  <c r="AM64" i="23"/>
  <c r="AL64" i="23"/>
  <c r="AC64" i="23"/>
  <c r="AB64" i="23"/>
  <c r="CC64" i="23"/>
  <c r="AJ64" i="23"/>
  <c r="AK64" i="23"/>
  <c r="AI64" i="23"/>
  <c r="AD64" i="23"/>
  <c r="AA64" i="23"/>
  <c r="W109" i="23"/>
  <c r="AT109" i="23"/>
  <c r="X109" i="23"/>
  <c r="B109" i="23"/>
  <c r="BH109" i="23" s="1"/>
  <c r="C109" i="23"/>
  <c r="BN53" i="23"/>
  <c r="BV54" i="23"/>
  <c r="BF53" i="23"/>
  <c r="S53" i="23"/>
  <c r="AY53" i="23"/>
  <c r="AS53" i="23"/>
  <c r="AQ53" i="23"/>
  <c r="AP53" i="23"/>
  <c r="BJ53" i="23"/>
  <c r="AO53" i="23"/>
  <c r="AN53" i="23"/>
  <c r="Z53" i="23"/>
  <c r="BP53" i="23"/>
  <c r="BQ53" i="23" s="1"/>
  <c r="BM53" i="23"/>
  <c r="BK53" i="23"/>
  <c r="V53" i="23"/>
  <c r="CB53" i="23"/>
  <c r="BI119" i="23"/>
  <c r="BT89" i="23"/>
  <c r="BU89" i="23"/>
  <c r="Y84" i="23"/>
  <c r="BS84" i="23"/>
  <c r="Y99" i="23"/>
  <c r="BS99" i="23"/>
  <c r="BU102" i="23"/>
  <c r="BT102" i="23"/>
  <c r="AS81" i="23"/>
  <c r="BP81" i="23"/>
  <c r="BQ81" i="23" s="1"/>
  <c r="BN81" i="23"/>
  <c r="S81" i="23"/>
  <c r="Z81" i="23"/>
  <c r="AY81" i="23"/>
  <c r="BF81" i="23"/>
  <c r="AN81" i="23"/>
  <c r="AQ81" i="23"/>
  <c r="AP81" i="23"/>
  <c r="AO81" i="23"/>
  <c r="BV82" i="23"/>
  <c r="V81" i="23"/>
  <c r="BM81" i="23"/>
  <c r="BK81" i="23"/>
  <c r="BJ81" i="23"/>
  <c r="CB81" i="23"/>
  <c r="AE52" i="23"/>
  <c r="T52" i="23"/>
  <c r="AW52" i="23"/>
  <c r="AV52" i="23"/>
  <c r="U52" i="23"/>
  <c r="BM63" i="23"/>
  <c r="BK63" i="23"/>
  <c r="BJ63" i="23"/>
  <c r="AS63" i="23"/>
  <c r="AP63" i="23"/>
  <c r="BP63" i="23"/>
  <c r="BQ63" i="23" s="1"/>
  <c r="V63" i="23"/>
  <c r="BN63" i="23"/>
  <c r="S63" i="23"/>
  <c r="BF63" i="23"/>
  <c r="BV64" i="23"/>
  <c r="Z63" i="23"/>
  <c r="AY63" i="23"/>
  <c r="AQ63" i="23"/>
  <c r="AO63" i="23"/>
  <c r="AN63" i="23"/>
  <c r="CB63" i="23"/>
  <c r="BZ132" i="23"/>
  <c r="CA132" i="23"/>
  <c r="BY132" i="23"/>
  <c r="BK31" i="23"/>
  <c r="BJ31" i="23"/>
  <c r="S31" i="23"/>
  <c r="AS31" i="23"/>
  <c r="AQ31" i="23"/>
  <c r="AP31" i="23"/>
  <c r="Z31" i="23"/>
  <c r="AY31" i="23"/>
  <c r="AO31" i="23"/>
  <c r="CB31" i="23"/>
  <c r="AN31" i="23"/>
  <c r="BV32" i="23"/>
  <c r="BM31" i="23"/>
  <c r="BF31" i="23"/>
  <c r="V31" i="23"/>
  <c r="BP31" i="23"/>
  <c r="BQ31" i="23" s="1"/>
  <c r="BN31" i="23"/>
  <c r="AZ39" i="23"/>
  <c r="X39" i="23"/>
  <c r="W39" i="23"/>
  <c r="C39" i="23"/>
  <c r="D39" i="23" s="1"/>
  <c r="B39" i="23"/>
  <c r="BO39" i="23" s="1"/>
  <c r="AT39" i="23"/>
  <c r="BG39" i="23" s="1"/>
  <c r="AT45" i="23"/>
  <c r="BG45" i="23" s="1"/>
  <c r="C45" i="23"/>
  <c r="B45" i="23"/>
  <c r="BH45" i="23" s="1"/>
  <c r="AZ45" i="23"/>
  <c r="X45" i="23"/>
  <c r="W45" i="23"/>
  <c r="BU41" i="23"/>
  <c r="BT41" i="23"/>
  <c r="BY58" i="23"/>
  <c r="CA58" i="23"/>
  <c r="BZ58" i="23"/>
  <c r="BV56" i="23"/>
  <c r="BM55" i="23"/>
  <c r="BJ55" i="23"/>
  <c r="AN55" i="23"/>
  <c r="AQ55" i="23"/>
  <c r="AP55" i="23"/>
  <c r="AO55" i="23"/>
  <c r="CB55" i="23"/>
  <c r="BF55" i="23"/>
  <c r="AS55" i="23"/>
  <c r="Z55" i="23"/>
  <c r="V55" i="23"/>
  <c r="S55" i="23"/>
  <c r="BP55" i="23"/>
  <c r="BQ55" i="23" s="1"/>
  <c r="BN55" i="23"/>
  <c r="BK55" i="23"/>
  <c r="AY55" i="23"/>
  <c r="BI10" i="23"/>
  <c r="BI59" i="23"/>
  <c r="AE45" i="23"/>
  <c r="T45" i="23"/>
  <c r="BL45" i="23"/>
  <c r="AW45" i="23"/>
  <c r="U45" i="23"/>
  <c r="AV45" i="23"/>
  <c r="BT85" i="23"/>
  <c r="BU85" i="23"/>
  <c r="AE16" i="23"/>
  <c r="U16" i="23"/>
  <c r="AW16" i="23"/>
  <c r="AV16" i="23"/>
  <c r="T16" i="23"/>
  <c r="BL16" i="23"/>
  <c r="BU9" i="23"/>
  <c r="BT9" i="23"/>
  <c r="BZ10" i="23"/>
  <c r="CA10" i="23"/>
  <c r="BY10" i="23"/>
  <c r="BU42" i="23"/>
  <c r="BT42" i="23"/>
  <c r="AA75" i="23"/>
  <c r="AI75" i="23"/>
  <c r="AC75" i="23"/>
  <c r="AB75" i="23"/>
  <c r="AD75" i="23"/>
  <c r="CC75" i="23"/>
  <c r="AM75" i="23"/>
  <c r="AL75" i="23"/>
  <c r="AK75" i="23"/>
  <c r="AJ75" i="23"/>
  <c r="CA18" i="23"/>
  <c r="BZ18" i="23"/>
  <c r="BY18" i="23"/>
  <c r="BU20" i="23"/>
  <c r="BT20" i="23"/>
  <c r="Y15" i="23"/>
  <c r="BB15" i="23"/>
  <c r="BS15" i="23"/>
  <c r="AX13" i="23"/>
  <c r="CD13" i="23"/>
  <c r="AT11" i="23"/>
  <c r="BG11" i="23" s="1"/>
  <c r="C11" i="23"/>
  <c r="D11" i="23" s="1"/>
  <c r="X11" i="23"/>
  <c r="W11" i="23"/>
  <c r="B11" i="23"/>
  <c r="BO11" i="23" s="1"/>
  <c r="AZ11" i="23"/>
  <c r="BL4" i="23"/>
  <c r="AE4" i="23"/>
  <c r="AV4" i="23"/>
  <c r="U4" i="23"/>
  <c r="T4" i="23"/>
  <c r="BS6" i="23"/>
  <c r="Y6" i="23"/>
  <c r="BB6" i="23"/>
  <c r="BI138" i="23"/>
  <c r="BU149" i="23"/>
  <c r="BT149" i="23"/>
  <c r="AY93" i="23"/>
  <c r="BP93" i="23"/>
  <c r="BQ93" i="23" s="1"/>
  <c r="BN93" i="23"/>
  <c r="V93" i="23"/>
  <c r="BM93" i="23"/>
  <c r="BK93" i="23"/>
  <c r="AP93" i="23"/>
  <c r="CB93" i="23"/>
  <c r="BV94" i="23"/>
  <c r="BJ93" i="23"/>
  <c r="AQ93" i="23"/>
  <c r="AS93" i="23"/>
  <c r="BF93" i="23"/>
  <c r="AO93" i="23"/>
  <c r="AN93" i="23"/>
  <c r="Z93" i="23"/>
  <c r="S93" i="23"/>
  <c r="BO182" i="23"/>
  <c r="BH182" i="23"/>
  <c r="BT142" i="23"/>
  <c r="BU142" i="23"/>
  <c r="BH198" i="23"/>
  <c r="BO198" i="23"/>
  <c r="BO175" i="23"/>
  <c r="BH175" i="23"/>
  <c r="BO233" i="23"/>
  <c r="BH233" i="23"/>
  <c r="BJ95" i="23"/>
  <c r="BV96" i="23"/>
  <c r="BF95" i="23"/>
  <c r="AY95" i="23"/>
  <c r="AO95" i="23"/>
  <c r="BN95" i="23"/>
  <c r="BM95" i="23"/>
  <c r="Z95" i="23"/>
  <c r="AS95" i="23"/>
  <c r="AQ95" i="23"/>
  <c r="CB95" i="23"/>
  <c r="BK95" i="23"/>
  <c r="V95" i="23"/>
  <c r="BP95" i="23"/>
  <c r="BQ95" i="23" s="1"/>
  <c r="S95" i="23"/>
  <c r="AP95" i="23"/>
  <c r="AN95" i="23"/>
  <c r="BK118" i="23"/>
  <c r="BJ118" i="23"/>
  <c r="BF118" i="23"/>
  <c r="Z118" i="23"/>
  <c r="BN118" i="23"/>
  <c r="AS118" i="23"/>
  <c r="AQ118" i="23"/>
  <c r="BV119" i="23"/>
  <c r="BM118" i="23"/>
  <c r="AY118" i="23"/>
  <c r="AP118" i="23"/>
  <c r="AO118" i="23"/>
  <c r="AN118" i="23"/>
  <c r="BP118" i="23"/>
  <c r="BQ118" i="23" s="1"/>
  <c r="CB118" i="23"/>
  <c r="S118" i="23"/>
  <c r="V118" i="23"/>
  <c r="BF122" i="23"/>
  <c r="Z122" i="23"/>
  <c r="BN122" i="23"/>
  <c r="AY122" i="23"/>
  <c r="AQ122" i="23"/>
  <c r="AS122" i="23"/>
  <c r="AP122" i="23"/>
  <c r="BV123" i="23"/>
  <c r="S122" i="23"/>
  <c r="BM122" i="23"/>
  <c r="BK122" i="23"/>
  <c r="BJ122" i="23"/>
  <c r="V122" i="23"/>
  <c r="CB122" i="23"/>
  <c r="AN122" i="23"/>
  <c r="BP122" i="23"/>
  <c r="BQ122" i="23" s="1"/>
  <c r="AO122" i="23"/>
  <c r="BT90" i="23"/>
  <c r="BU90" i="23"/>
  <c r="BI106" i="23"/>
  <c r="BI120" i="23"/>
  <c r="AV90" i="23"/>
  <c r="U90" i="23"/>
  <c r="T90" i="23"/>
  <c r="AE90" i="23"/>
  <c r="AW90" i="23"/>
  <c r="BY100" i="23"/>
  <c r="CA100" i="23"/>
  <c r="BZ100" i="23"/>
  <c r="U62" i="23"/>
  <c r="T62" i="23"/>
  <c r="AV62" i="23"/>
  <c r="AE62" i="23"/>
  <c r="AW62" i="23"/>
  <c r="T94" i="23"/>
  <c r="AV94" i="23"/>
  <c r="U94" i="23"/>
  <c r="AE94" i="23"/>
  <c r="AW94" i="23"/>
  <c r="AC117" i="23"/>
  <c r="AD117" i="23"/>
  <c r="AB117" i="23"/>
  <c r="AI117" i="23"/>
  <c r="AL117" i="23"/>
  <c r="AK117" i="23"/>
  <c r="AM117" i="23"/>
  <c r="AJ117" i="23"/>
  <c r="CC117" i="23"/>
  <c r="AA117" i="23"/>
  <c r="AT87" i="23"/>
  <c r="W87" i="23"/>
  <c r="C87" i="23"/>
  <c r="X87" i="23"/>
  <c r="B87" i="23"/>
  <c r="BO87" i="23" s="1"/>
  <c r="BS102" i="23"/>
  <c r="Y102" i="23"/>
  <c r="BS80" i="23"/>
  <c r="Y80" i="23"/>
  <c r="Y96" i="23"/>
  <c r="BS96" i="23"/>
  <c r="AQ59" i="23"/>
  <c r="S59" i="23"/>
  <c r="AO59" i="23"/>
  <c r="BP59" i="23"/>
  <c r="BQ59" i="23" s="1"/>
  <c r="AY59" i="23"/>
  <c r="AS59" i="23"/>
  <c r="BF59" i="23"/>
  <c r="AP59" i="23"/>
  <c r="AN59" i="23"/>
  <c r="CB59" i="23"/>
  <c r="V59" i="23"/>
  <c r="BV60" i="23"/>
  <c r="BN59" i="23"/>
  <c r="Z59" i="23"/>
  <c r="BM59" i="23"/>
  <c r="BK59" i="23"/>
  <c r="BJ59" i="23"/>
  <c r="AW51" i="23"/>
  <c r="AE51" i="23"/>
  <c r="AV51" i="23"/>
  <c r="U51" i="23"/>
  <c r="T51" i="23"/>
  <c r="BU57" i="23"/>
  <c r="BT57" i="23"/>
  <c r="BI61" i="23"/>
  <c r="BI91" i="23"/>
  <c r="BU30" i="23"/>
  <c r="BT30" i="23"/>
  <c r="BS38" i="23"/>
  <c r="BB38" i="23"/>
  <c r="Y38" i="23"/>
  <c r="AT43" i="23"/>
  <c r="BG43" i="23" s="1"/>
  <c r="X43" i="23"/>
  <c r="W43" i="23"/>
  <c r="C43" i="23"/>
  <c r="B43" i="23"/>
  <c r="BH43" i="23" s="1"/>
  <c r="AZ43" i="23"/>
  <c r="BS67" i="23"/>
  <c r="Y67" i="23"/>
  <c r="Y57" i="23"/>
  <c r="BS57" i="23"/>
  <c r="AP68" i="23"/>
  <c r="AO68" i="23"/>
  <c r="AN68" i="23"/>
  <c r="BV69" i="23"/>
  <c r="BM68" i="23"/>
  <c r="BJ68" i="23"/>
  <c r="S68" i="23"/>
  <c r="BP68" i="23"/>
  <c r="BQ68" i="23" s="1"/>
  <c r="AS68" i="23"/>
  <c r="AQ68" i="23"/>
  <c r="Z68" i="23"/>
  <c r="V68" i="23"/>
  <c r="CB68" i="23"/>
  <c r="BN68" i="23"/>
  <c r="BK68" i="23"/>
  <c r="BF68" i="23"/>
  <c r="AY68" i="23"/>
  <c r="BI52" i="23"/>
  <c r="CA8" i="23"/>
  <c r="BZ8" i="23"/>
  <c r="BY8" i="23"/>
  <c r="W56" i="23"/>
  <c r="B56" i="23"/>
  <c r="BH56" i="23" s="1"/>
  <c r="AT56" i="23"/>
  <c r="X56" i="23"/>
  <c r="C56" i="23"/>
  <c r="D56" i="23" s="1"/>
  <c r="AC44" i="23"/>
  <c r="AM44" i="23"/>
  <c r="CC44" i="23"/>
  <c r="AI44" i="23"/>
  <c r="AD44" i="23"/>
  <c r="AB44" i="23"/>
  <c r="AA44" i="23"/>
  <c r="AL44" i="23"/>
  <c r="AK44" i="23"/>
  <c r="AJ44" i="23"/>
  <c r="U79" i="23"/>
  <c r="T79" i="23"/>
  <c r="AW79" i="23"/>
  <c r="AV79" i="23"/>
  <c r="AE79" i="23"/>
  <c r="AE33" i="23"/>
  <c r="BL33" i="23"/>
  <c r="AV33" i="23"/>
  <c r="AW33" i="23"/>
  <c r="U33" i="23"/>
  <c r="T33" i="23"/>
  <c r="AT28" i="23"/>
  <c r="BG28" i="23" s="1"/>
  <c r="X28" i="23"/>
  <c r="W28" i="23"/>
  <c r="C28" i="23"/>
  <c r="D28" i="23" s="1"/>
  <c r="B28" i="23"/>
  <c r="BO28" i="23" s="1"/>
  <c r="AZ28" i="23"/>
  <c r="AD10" i="23"/>
  <c r="AA10" i="23"/>
  <c r="CC10" i="23"/>
  <c r="AI10" i="23"/>
  <c r="AC10" i="23"/>
  <c r="AB10" i="23"/>
  <c r="AK10" i="23"/>
  <c r="AJ10" i="23"/>
  <c r="AM10" i="23"/>
  <c r="AL10" i="23"/>
  <c r="BI39" i="23"/>
  <c r="BS64" i="23"/>
  <c r="Y64" i="23"/>
  <c r="BU3" i="23"/>
  <c r="BT3" i="23"/>
  <c r="BI19" i="23"/>
  <c r="BI40" i="23"/>
  <c r="V11" i="23"/>
  <c r="BM11" i="23"/>
  <c r="BK11" i="23"/>
  <c r="BJ11" i="23"/>
  <c r="AQ11" i="23"/>
  <c r="BP11" i="23"/>
  <c r="BQ11" i="23" s="1"/>
  <c r="BN11" i="23"/>
  <c r="Z11" i="23"/>
  <c r="BV12" i="23"/>
  <c r="BF11" i="23"/>
  <c r="S11" i="23"/>
  <c r="AS11" i="23"/>
  <c r="CB11" i="23"/>
  <c r="AP11" i="23"/>
  <c r="AN11" i="23"/>
  <c r="AY11" i="23"/>
  <c r="AO11" i="23"/>
  <c r="AZ15" i="23"/>
  <c r="AT15" i="23"/>
  <c r="BG15" i="23" s="1"/>
  <c r="X15" i="23"/>
  <c r="C15" i="23"/>
  <c r="D15" i="23" s="1"/>
  <c r="W15" i="23"/>
  <c r="B15" i="23"/>
  <c r="BO15" i="23" s="1"/>
  <c r="C53" i="23"/>
  <c r="B53" i="23"/>
  <c r="BH53" i="23" s="1"/>
  <c r="AT53" i="23"/>
  <c r="X53" i="23"/>
  <c r="W53" i="23"/>
  <c r="AT10" i="23"/>
  <c r="BG10" i="23" s="1"/>
  <c r="W10" i="23"/>
  <c r="C10" i="23"/>
  <c r="B10" i="23"/>
  <c r="BH10" i="23" s="1"/>
  <c r="X10" i="23"/>
  <c r="AZ10" i="23"/>
  <c r="T38" i="23"/>
  <c r="U38" i="23"/>
  <c r="AW38" i="23"/>
  <c r="AV38" i="23"/>
  <c r="BL38" i="23"/>
  <c r="AE38" i="23"/>
  <c r="AX24" i="23"/>
  <c r="CD24" i="23"/>
  <c r="AA35" i="23"/>
  <c r="CC35" i="23"/>
  <c r="AM35" i="23"/>
  <c r="AL35" i="23"/>
  <c r="AC35" i="23"/>
  <c r="AD35" i="23"/>
  <c r="AB35" i="23"/>
  <c r="AK35" i="23"/>
  <c r="AJ35" i="23"/>
  <c r="AI35" i="23"/>
  <c r="BL17" i="23"/>
  <c r="U17" i="23"/>
  <c r="T17" i="23"/>
  <c r="AW17" i="23"/>
  <c r="AV17" i="23"/>
  <c r="AE17" i="23"/>
  <c r="BS74" i="23"/>
  <c r="Y74" i="23"/>
  <c r="BS4" i="23"/>
  <c r="BU4" i="23" s="1"/>
  <c r="BY68" i="23"/>
  <c r="CA68" i="23"/>
  <c r="BZ68" i="23"/>
  <c r="AY16" i="23"/>
  <c r="Z16" i="23"/>
  <c r="BV17" i="23"/>
  <c r="CB16" i="23"/>
  <c r="V16" i="23"/>
  <c r="AS16" i="23"/>
  <c r="BM16" i="23"/>
  <c r="AP16" i="23"/>
  <c r="AO16" i="23"/>
  <c r="AN16" i="23"/>
  <c r="BP16" i="23"/>
  <c r="BQ16" i="23" s="1"/>
  <c r="BN16" i="23"/>
  <c r="BF16" i="23"/>
  <c r="BJ16" i="23"/>
  <c r="AQ16" i="23"/>
  <c r="S16" i="23"/>
  <c r="BK16" i="23"/>
  <c r="BO214" i="23"/>
  <c r="BH214" i="23"/>
  <c r="E11" i="19"/>
  <c r="X148" i="23"/>
  <c r="W148" i="23"/>
  <c r="B148" i="23"/>
  <c r="BO148" i="23" s="1"/>
  <c r="C148" i="23"/>
  <c r="D148" i="23" s="1"/>
  <c r="AT148" i="23"/>
  <c r="AW146" i="23"/>
  <c r="AV146" i="23"/>
  <c r="AE146" i="23"/>
  <c r="T146" i="23"/>
  <c r="U146" i="23"/>
  <c r="BH209" i="23"/>
  <c r="BO209" i="23"/>
  <c r="BO257" i="23"/>
  <c r="BH257" i="23"/>
  <c r="AV143" i="23"/>
  <c r="AE143" i="23"/>
  <c r="U143" i="23"/>
  <c r="T143" i="23"/>
  <c r="AW143" i="23"/>
  <c r="T130" i="23"/>
  <c r="AV130" i="23"/>
  <c r="AE130" i="23"/>
  <c r="U130" i="23"/>
  <c r="AW130" i="23"/>
  <c r="BN139" i="23"/>
  <c r="BM139" i="23"/>
  <c r="CB139" i="23"/>
  <c r="AY139" i="23"/>
  <c r="S139" i="23"/>
  <c r="BV140" i="23"/>
  <c r="BK139" i="23"/>
  <c r="BF139" i="23"/>
  <c r="AS139" i="23"/>
  <c r="BP139" i="23"/>
  <c r="BQ139" i="23" s="1"/>
  <c r="AO139" i="23"/>
  <c r="AN139" i="23"/>
  <c r="BJ139" i="23"/>
  <c r="AQ139" i="23"/>
  <c r="AP139" i="23"/>
  <c r="Z139" i="23"/>
  <c r="V139" i="23"/>
  <c r="BO185" i="23"/>
  <c r="BH185" i="23"/>
  <c r="BS147" i="23"/>
  <c r="Y147" i="23"/>
  <c r="BO173" i="23"/>
  <c r="BH173" i="23"/>
  <c r="BO254" i="23"/>
  <c r="BH254" i="23"/>
  <c r="BU124" i="23"/>
  <c r="BT124" i="23"/>
  <c r="AK94" i="23"/>
  <c r="AJ94" i="23"/>
  <c r="AC94" i="23"/>
  <c r="AB94" i="23"/>
  <c r="AA94" i="23"/>
  <c r="AI94" i="23"/>
  <c r="CC94" i="23"/>
  <c r="AD94" i="23"/>
  <c r="AL94" i="23"/>
  <c r="AM94" i="23"/>
  <c r="BS120" i="23"/>
  <c r="Y120" i="23"/>
  <c r="BP141" i="23"/>
  <c r="BQ141" i="23" s="1"/>
  <c r="BN141" i="23"/>
  <c r="AO141" i="23"/>
  <c r="AN141" i="23"/>
  <c r="Z141" i="23"/>
  <c r="S141" i="23"/>
  <c r="BM141" i="23"/>
  <c r="BK141" i="23"/>
  <c r="AY141" i="23"/>
  <c r="AS141" i="23"/>
  <c r="CB141" i="23"/>
  <c r="V141" i="23"/>
  <c r="BJ141" i="23"/>
  <c r="BF141" i="23"/>
  <c r="BV142" i="23"/>
  <c r="AQ141" i="23"/>
  <c r="AP141" i="23"/>
  <c r="AC89" i="23"/>
  <c r="AB89" i="23"/>
  <c r="CC89" i="23"/>
  <c r="AL89" i="23"/>
  <c r="AI89" i="23"/>
  <c r="AM89" i="23"/>
  <c r="AD89" i="23"/>
  <c r="AJ89" i="23"/>
  <c r="AA89" i="23"/>
  <c r="AK89" i="23"/>
  <c r="AE99" i="23"/>
  <c r="AW99" i="23"/>
  <c r="U99" i="23"/>
  <c r="AV99" i="23"/>
  <c r="T99" i="23"/>
  <c r="AJ68" i="23"/>
  <c r="AI68" i="23"/>
  <c r="AM68" i="23"/>
  <c r="CC68" i="23"/>
  <c r="AK68" i="23"/>
  <c r="AL68" i="23"/>
  <c r="AD68" i="23"/>
  <c r="AC68" i="23"/>
  <c r="AB68" i="23"/>
  <c r="AA68" i="23"/>
  <c r="BS119" i="23"/>
  <c r="Y119" i="23"/>
  <c r="AE138" i="23"/>
  <c r="U138" i="23"/>
  <c r="T138" i="23"/>
  <c r="AW138" i="23"/>
  <c r="AV138" i="23"/>
  <c r="AJ107" i="23"/>
  <c r="AA107" i="23"/>
  <c r="AB107" i="23"/>
  <c r="AL107" i="23"/>
  <c r="AD107" i="23"/>
  <c r="AM107" i="23"/>
  <c r="AK107" i="23"/>
  <c r="AI107" i="23"/>
  <c r="CC107" i="23"/>
  <c r="AC107" i="23"/>
  <c r="BS112" i="23"/>
  <c r="Y112" i="23"/>
  <c r="U86" i="23"/>
  <c r="T86" i="23"/>
  <c r="AW86" i="23"/>
  <c r="AE86" i="23"/>
  <c r="AV86" i="23"/>
  <c r="BT95" i="23"/>
  <c r="BU95" i="23"/>
  <c r="BF69" i="23"/>
  <c r="Z69" i="23"/>
  <c r="AY69" i="23"/>
  <c r="AN69" i="23"/>
  <c r="BV70" i="23"/>
  <c r="BJ69" i="23"/>
  <c r="V69" i="23"/>
  <c r="CB69" i="23"/>
  <c r="BN69" i="23"/>
  <c r="BM69" i="23"/>
  <c r="BK69" i="23"/>
  <c r="AS69" i="23"/>
  <c r="AQ69" i="23"/>
  <c r="AP69" i="23"/>
  <c r="AO69" i="23"/>
  <c r="BP69" i="23"/>
  <c r="BQ69" i="23" s="1"/>
  <c r="S69" i="23"/>
  <c r="BK78" i="23"/>
  <c r="BJ78" i="23"/>
  <c r="AS78" i="23"/>
  <c r="CB78" i="23"/>
  <c r="AQ78" i="23"/>
  <c r="Z78" i="23"/>
  <c r="BV79" i="23"/>
  <c r="S78" i="23"/>
  <c r="BN78" i="23"/>
  <c r="V78" i="23"/>
  <c r="AP78" i="23"/>
  <c r="AO78" i="23"/>
  <c r="AN78" i="23"/>
  <c r="BP78" i="23"/>
  <c r="BQ78" i="23" s="1"/>
  <c r="BM78" i="23"/>
  <c r="BF78" i="23"/>
  <c r="AY78" i="23"/>
  <c r="BN112" i="23"/>
  <c r="S112" i="23"/>
  <c r="BJ112" i="23"/>
  <c r="V112" i="23"/>
  <c r="CB112" i="23"/>
  <c r="AN112" i="23"/>
  <c r="BF112" i="23"/>
  <c r="AY112" i="23"/>
  <c r="BP112" i="23"/>
  <c r="BQ112" i="23" s="1"/>
  <c r="BM112" i="23"/>
  <c r="AS112" i="23"/>
  <c r="Z112" i="23"/>
  <c r="AP112" i="23"/>
  <c r="AO112" i="23"/>
  <c r="BV113" i="23"/>
  <c r="BK112" i="23"/>
  <c r="AQ112" i="23"/>
  <c r="AK91" i="23"/>
  <c r="AJ91" i="23"/>
  <c r="AI91" i="23"/>
  <c r="AA91" i="23"/>
  <c r="AC91" i="23"/>
  <c r="AB91" i="23"/>
  <c r="AM91" i="23"/>
  <c r="AL91" i="23"/>
  <c r="AD91" i="23"/>
  <c r="CC91" i="23"/>
  <c r="CA79" i="23"/>
  <c r="BZ79" i="23"/>
  <c r="BY79" i="23"/>
  <c r="BL48" i="23"/>
  <c r="U48" i="23"/>
  <c r="AW48" i="23"/>
  <c r="T48" i="23"/>
  <c r="AE48" i="23"/>
  <c r="AV48" i="23"/>
  <c r="CA60" i="23"/>
  <c r="BZ60" i="23"/>
  <c r="BY60" i="23"/>
  <c r="AK130" i="23"/>
  <c r="AJ130" i="23"/>
  <c r="AC130" i="23"/>
  <c r="AB130" i="23"/>
  <c r="AI130" i="23"/>
  <c r="AA130" i="23"/>
  <c r="AD130" i="23"/>
  <c r="CC130" i="23"/>
  <c r="AM130" i="23"/>
  <c r="AL130" i="23"/>
  <c r="AZ35" i="23"/>
  <c r="W35" i="23"/>
  <c r="C35" i="23"/>
  <c r="AT35" i="23"/>
  <c r="BG35" i="23" s="1"/>
  <c r="B35" i="23"/>
  <c r="BO35" i="23" s="1"/>
  <c r="X35" i="23"/>
  <c r="BZ42" i="23"/>
  <c r="CA42" i="23"/>
  <c r="BY42" i="23"/>
  <c r="AW39" i="23"/>
  <c r="T39" i="23"/>
  <c r="AV39" i="23"/>
  <c r="AE39" i="23"/>
  <c r="BL39" i="23"/>
  <c r="U39" i="23"/>
  <c r="AT51" i="23"/>
  <c r="C51" i="23"/>
  <c r="D51" i="23" s="1"/>
  <c r="B51" i="23"/>
  <c r="BO51" i="23" s="1"/>
  <c r="X51" i="23"/>
  <c r="W51" i="23"/>
  <c r="BI53" i="23"/>
  <c r="BB8" i="23"/>
  <c r="BS8" i="23"/>
  <c r="Y8" i="23"/>
  <c r="BS28" i="23"/>
  <c r="BB28" i="23"/>
  <c r="Y28" i="23"/>
  <c r="AW29" i="23"/>
  <c r="AE29" i="23"/>
  <c r="BL29" i="23"/>
  <c r="U29" i="23"/>
  <c r="T29" i="23"/>
  <c r="AV29" i="23"/>
  <c r="CA77" i="23"/>
  <c r="BZ77" i="23"/>
  <c r="BY77" i="23"/>
  <c r="BS45" i="23"/>
  <c r="BB45" i="23"/>
  <c r="Y45" i="23"/>
  <c r="AT31" i="23"/>
  <c r="BG31" i="23" s="1"/>
  <c r="C31" i="23"/>
  <c r="D31" i="23" s="1"/>
  <c r="AZ31" i="23"/>
  <c r="X31" i="23"/>
  <c r="B31" i="23"/>
  <c r="BH31" i="23" s="1"/>
  <c r="W31" i="23"/>
  <c r="C27" i="23"/>
  <c r="B27" i="23"/>
  <c r="BH27" i="23" s="1"/>
  <c r="W27" i="23"/>
  <c r="X27" i="23"/>
  <c r="AZ27" i="23"/>
  <c r="AT27" i="23"/>
  <c r="BG27" i="23" s="1"/>
  <c r="BI14" i="23"/>
  <c r="AT8" i="23"/>
  <c r="BG8" i="23" s="1"/>
  <c r="X8" i="23"/>
  <c r="AZ8" i="23"/>
  <c r="C8" i="23"/>
  <c r="W8" i="23"/>
  <c r="B8" i="23"/>
  <c r="BO8" i="23" s="1"/>
  <c r="BY51" i="23"/>
  <c r="CA51" i="23"/>
  <c r="BZ51" i="23"/>
  <c r="AY15" i="23"/>
  <c r="Z15" i="23"/>
  <c r="AN15" i="23"/>
  <c r="BP15" i="23"/>
  <c r="BQ15" i="23" s="1"/>
  <c r="BN15" i="23"/>
  <c r="BM15" i="23"/>
  <c r="BJ15" i="23"/>
  <c r="V15" i="23"/>
  <c r="BF15" i="23"/>
  <c r="S15" i="23"/>
  <c r="BV16" i="23"/>
  <c r="AS15" i="23"/>
  <c r="AQ15" i="23"/>
  <c r="AO15" i="23"/>
  <c r="CB15" i="23"/>
  <c r="BK15" i="23"/>
  <c r="AP15" i="23"/>
  <c r="BU32" i="23"/>
  <c r="BT32" i="23"/>
  <c r="CA14" i="23"/>
  <c r="BZ14" i="23"/>
  <c r="BY14" i="23"/>
  <c r="Y37" i="23"/>
  <c r="BS37" i="23"/>
  <c r="BB37" i="23"/>
  <c r="BI13" i="23"/>
  <c r="BJ21" i="23"/>
  <c r="BV22" i="23"/>
  <c r="AP21" i="23"/>
  <c r="BN21" i="23"/>
  <c r="BM21" i="23"/>
  <c r="BK21" i="23"/>
  <c r="BF21" i="23"/>
  <c r="Z21" i="23"/>
  <c r="V21" i="23"/>
  <c r="AO21" i="23"/>
  <c r="AQ21" i="23"/>
  <c r="AN21" i="23"/>
  <c r="CB21" i="23"/>
  <c r="S21" i="23"/>
  <c r="AY21" i="23"/>
  <c r="BP21" i="23"/>
  <c r="BQ21" i="23" s="1"/>
  <c r="AS21" i="23"/>
  <c r="BM5" i="23"/>
  <c r="BK5" i="23"/>
  <c r="BJ5" i="23"/>
  <c r="AS5" i="23"/>
  <c r="S5" i="23"/>
  <c r="CB5" i="23"/>
  <c r="AQ5" i="23"/>
  <c r="AP5" i="23"/>
  <c r="BV6" i="23"/>
  <c r="AO5" i="23"/>
  <c r="AN5" i="23"/>
  <c r="BP5" i="23"/>
  <c r="BQ5" i="23" s="1"/>
  <c r="BN5" i="23"/>
  <c r="BF5" i="23"/>
  <c r="AY5" i="23"/>
  <c r="Z5" i="23"/>
  <c r="V5" i="23"/>
  <c r="AT92" i="23"/>
  <c r="B92" i="23"/>
  <c r="BO92" i="23" s="1"/>
  <c r="W92" i="23"/>
  <c r="X92" i="23"/>
  <c r="C92" i="23"/>
  <c r="BI18" i="23"/>
  <c r="CD29" i="23"/>
  <c r="AX29" i="23"/>
  <c r="AT137" i="23"/>
  <c r="C137" i="23"/>
  <c r="D137" i="23" s="1"/>
  <c r="X137" i="23"/>
  <c r="W137" i="23"/>
  <c r="B137" i="23"/>
  <c r="BO137" i="23" s="1"/>
  <c r="BU145" i="23"/>
  <c r="BT145" i="23"/>
  <c r="BO194" i="23"/>
  <c r="BH194" i="23"/>
  <c r="BI132" i="23"/>
  <c r="BO238" i="23"/>
  <c r="BH238" i="23"/>
  <c r="BU141" i="23"/>
  <c r="BT141" i="23"/>
  <c r="BU150" i="23"/>
  <c r="BT150" i="23"/>
  <c r="BI145" i="23"/>
  <c r="BI129" i="23"/>
  <c r="BO227" i="23"/>
  <c r="BH227" i="23"/>
  <c r="BS146" i="23"/>
  <c r="Y146" i="23"/>
  <c r="AP136" i="23"/>
  <c r="BF136" i="23"/>
  <c r="BV137" i="23"/>
  <c r="BP136" i="23"/>
  <c r="BQ136" i="23" s="1"/>
  <c r="S136" i="23"/>
  <c r="CB136" i="23"/>
  <c r="AN136" i="23"/>
  <c r="Z136" i="23"/>
  <c r="AY136" i="23"/>
  <c r="BN136" i="23"/>
  <c r="AQ136" i="23"/>
  <c r="BM136" i="23"/>
  <c r="BK136" i="23"/>
  <c r="BJ136" i="23"/>
  <c r="V136" i="23"/>
  <c r="AS136" i="23"/>
  <c r="AO136" i="23"/>
  <c r="D132" i="23"/>
  <c r="BO170" i="23"/>
  <c r="BH170" i="23"/>
  <c r="BH176" i="23"/>
  <c r="BO176" i="23"/>
  <c r="BI93" i="23"/>
  <c r="BU114" i="23"/>
  <c r="BT114" i="23"/>
  <c r="Y103" i="23"/>
  <c r="BS103" i="23"/>
  <c r="AW66" i="23"/>
  <c r="AV66" i="23"/>
  <c r="AE66" i="23"/>
  <c r="U66" i="23"/>
  <c r="T66" i="23"/>
  <c r="Y115" i="23"/>
  <c r="BS115" i="23"/>
  <c r="BT58" i="23"/>
  <c r="BU58" i="23"/>
  <c r="AC133" i="23"/>
  <c r="AA133" i="23"/>
  <c r="AI133" i="23"/>
  <c r="CC133" i="23"/>
  <c r="AM133" i="23"/>
  <c r="AL133" i="23"/>
  <c r="AB133" i="23"/>
  <c r="AD133" i="23"/>
  <c r="AJ133" i="23"/>
  <c r="AK133" i="23"/>
  <c r="BT105" i="23"/>
  <c r="BU105" i="23"/>
  <c r="BS111" i="23"/>
  <c r="Y111" i="23"/>
  <c r="BO256" i="23"/>
  <c r="BH256" i="23"/>
  <c r="BF75" i="23"/>
  <c r="Z75" i="23"/>
  <c r="V75" i="23"/>
  <c r="BP75" i="23"/>
  <c r="BQ75" i="23" s="1"/>
  <c r="BN75" i="23"/>
  <c r="S75" i="23"/>
  <c r="AQ75" i="23"/>
  <c r="CB75" i="23"/>
  <c r="BJ75" i="23"/>
  <c r="AS75" i="23"/>
  <c r="BV76" i="23"/>
  <c r="AP75" i="23"/>
  <c r="BM75" i="23"/>
  <c r="BK75" i="23"/>
  <c r="AY75" i="23"/>
  <c r="AO75" i="23"/>
  <c r="AN75" i="23"/>
  <c r="BU47" i="23"/>
  <c r="BT47" i="23"/>
  <c r="V127" i="23"/>
  <c r="AY127" i="23"/>
  <c r="S127" i="23"/>
  <c r="BK127" i="23"/>
  <c r="BJ127" i="23"/>
  <c r="BV128" i="23"/>
  <c r="CB127" i="23"/>
  <c r="AP127" i="23"/>
  <c r="AQ127" i="23"/>
  <c r="AO127" i="23"/>
  <c r="BN127" i="23"/>
  <c r="BP127" i="23"/>
  <c r="BQ127" i="23" s="1"/>
  <c r="AN127" i="23"/>
  <c r="BM127" i="23"/>
  <c r="AS127" i="23"/>
  <c r="BF127" i="23"/>
  <c r="Z127" i="23"/>
  <c r="AD105" i="23"/>
  <c r="CC105" i="23"/>
  <c r="AM105" i="23"/>
  <c r="AI105" i="23"/>
  <c r="AL105" i="23"/>
  <c r="AK105" i="23"/>
  <c r="AC105" i="23"/>
  <c r="AJ105" i="23"/>
  <c r="AB105" i="23"/>
  <c r="AA105" i="23"/>
  <c r="CA34" i="23"/>
  <c r="BZ34" i="23"/>
  <c r="BY34" i="23"/>
  <c r="CA38" i="23"/>
  <c r="BZ38" i="23"/>
  <c r="BY38" i="23"/>
  <c r="AA38" i="23"/>
  <c r="CC38" i="23"/>
  <c r="AM38" i="23"/>
  <c r="AD38" i="23"/>
  <c r="AL38" i="23"/>
  <c r="AK38" i="23"/>
  <c r="AJ38" i="23"/>
  <c r="AI38" i="23"/>
  <c r="AC38" i="23"/>
  <c r="AB38" i="23"/>
  <c r="AB60" i="23"/>
  <c r="AA60" i="23"/>
  <c r="AL60" i="23"/>
  <c r="AM60" i="23"/>
  <c r="AK60" i="23"/>
  <c r="AJ60" i="23"/>
  <c r="AI60" i="23"/>
  <c r="CC60" i="23"/>
  <c r="AD60" i="23"/>
  <c r="AC60" i="23"/>
  <c r="BT134" i="23"/>
  <c r="BU134" i="23"/>
  <c r="AT75" i="23"/>
  <c r="X75" i="23"/>
  <c r="W75" i="23"/>
  <c r="C75" i="23"/>
  <c r="D75" i="23" s="1"/>
  <c r="B75" i="23"/>
  <c r="BH75" i="23" s="1"/>
  <c r="BI65" i="23"/>
  <c r="AM49" i="23"/>
  <c r="AC49" i="23"/>
  <c r="AB49" i="23"/>
  <c r="AA49" i="23"/>
  <c r="AL49" i="23"/>
  <c r="CC49" i="23"/>
  <c r="AK49" i="23"/>
  <c r="AJ49" i="23"/>
  <c r="AI49" i="23"/>
  <c r="AD49" i="23"/>
  <c r="BZ28" i="23"/>
  <c r="BY28" i="23"/>
  <c r="CA28" i="23"/>
  <c r="BY128" i="23"/>
  <c r="CA128" i="23"/>
  <c r="BZ128" i="23"/>
  <c r="AW27" i="23"/>
  <c r="AE27" i="23"/>
  <c r="U27" i="23"/>
  <c r="T27" i="23"/>
  <c r="AV27" i="23"/>
  <c r="BL27" i="23"/>
  <c r="AE25" i="23"/>
  <c r="BL25" i="23"/>
  <c r="U25" i="23"/>
  <c r="T25" i="23"/>
  <c r="AW25" i="23"/>
  <c r="AV25" i="23"/>
  <c r="BU13" i="23"/>
  <c r="BT13" i="23"/>
  <c r="AW3" i="23"/>
  <c r="AE3" i="23"/>
  <c r="U3" i="23"/>
  <c r="BL3" i="23"/>
  <c r="AV3" i="23"/>
  <c r="T3" i="23"/>
  <c r="BS7" i="23"/>
  <c r="Y7" i="23"/>
  <c r="BB7" i="23"/>
  <c r="AB36" i="23"/>
  <c r="AD36" i="23"/>
  <c r="CC36" i="23"/>
  <c r="AM36" i="23"/>
  <c r="AL36" i="23"/>
  <c r="AK36" i="23"/>
  <c r="AJ36" i="23"/>
  <c r="AI36" i="23"/>
  <c r="AC36" i="23"/>
  <c r="AA36" i="23"/>
  <c r="BY52" i="23"/>
  <c r="CA52" i="23"/>
  <c r="BZ52" i="23"/>
  <c r="BI100" i="23"/>
  <c r="AE63" i="23"/>
  <c r="T63" i="23"/>
  <c r="U63" i="23"/>
  <c r="AW63" i="23"/>
  <c r="AV63" i="23"/>
  <c r="AL4" i="23"/>
  <c r="AD4" i="23"/>
  <c r="CC4" i="23"/>
  <c r="AC4" i="23"/>
  <c r="AB4" i="23"/>
  <c r="AM4" i="23"/>
  <c r="AK4" i="23"/>
  <c r="AJ4" i="23"/>
  <c r="AI4" i="23"/>
  <c r="AA4" i="23"/>
  <c r="AS4" i="23"/>
  <c r="AQ4" i="23"/>
  <c r="BV5" i="23"/>
  <c r="AO4" i="23"/>
  <c r="AN4" i="23"/>
  <c r="AP4" i="23" s="1"/>
  <c r="BP4" i="23"/>
  <c r="BQ4" i="23" s="1"/>
  <c r="BB18" i="23"/>
  <c r="BS18" i="23"/>
  <c r="Y18" i="23"/>
  <c r="CD20" i="23"/>
  <c r="AX20" i="23"/>
  <c r="AT71" i="23"/>
  <c r="X71" i="23"/>
  <c r="C71" i="23"/>
  <c r="B71" i="23"/>
  <c r="BH71" i="23" s="1"/>
  <c r="W71" i="23"/>
  <c r="B25" i="32"/>
  <c r="B22" i="32"/>
  <c r="B10" i="39"/>
  <c r="C9" i="36" s="1"/>
  <c r="B9" i="42"/>
  <c r="B4" i="42"/>
  <c r="B2" i="42"/>
  <c r="B28" i="32"/>
  <c r="E9" i="33"/>
  <c r="E23" i="33"/>
  <c r="C25" i="11" s="1"/>
  <c r="B59" i="10" s="1"/>
  <c r="F59" i="10" s="1"/>
  <c r="E20" i="33"/>
  <c r="E15" i="33"/>
  <c r="B34" i="32"/>
  <c r="B31" i="32"/>
  <c r="E24" i="33"/>
  <c r="B60" i="10" s="1"/>
  <c r="F60" i="10" s="1"/>
  <c r="B132" i="16"/>
  <c r="E41" i="19"/>
  <c r="AS124" i="23"/>
  <c r="BP124" i="23"/>
  <c r="BQ124" i="23" s="1"/>
  <c r="AY124" i="23"/>
  <c r="V124" i="23"/>
  <c r="CB124" i="23"/>
  <c r="BM124" i="23"/>
  <c r="S124" i="23"/>
  <c r="AQ124" i="23"/>
  <c r="BJ124" i="23"/>
  <c r="AO124" i="23"/>
  <c r="BF124" i="23"/>
  <c r="Z124" i="23"/>
  <c r="BN124" i="23"/>
  <c r="BK124" i="23"/>
  <c r="AP124" i="23"/>
  <c r="AN124" i="23"/>
  <c r="BV125" i="23"/>
  <c r="Y47" i="23"/>
  <c r="BB47" i="23"/>
  <c r="BS47" i="23"/>
  <c r="AM6" i="23"/>
  <c r="AL6" i="23"/>
  <c r="CC6" i="23"/>
  <c r="AK6" i="23"/>
  <c r="AJ6" i="23"/>
  <c r="AI6" i="23"/>
  <c r="AD6" i="23"/>
  <c r="AC6" i="23"/>
  <c r="AB6" i="23"/>
  <c r="AA6" i="23"/>
  <c r="AW24" i="23"/>
  <c r="AV24" i="23"/>
  <c r="BL24" i="23"/>
  <c r="AE24" i="23"/>
  <c r="U24" i="23"/>
  <c r="T24" i="23"/>
  <c r="CC34" i="23"/>
  <c r="AB34" i="23"/>
  <c r="AA34" i="23"/>
  <c r="AJ34" i="23"/>
  <c r="AC34" i="23"/>
  <c r="AL34" i="23"/>
  <c r="AD34" i="23"/>
  <c r="AM34" i="23"/>
  <c r="AK34" i="23"/>
  <c r="AI34" i="23"/>
  <c r="C65" i="23"/>
  <c r="W65" i="23"/>
  <c r="B65" i="23"/>
  <c r="BH65" i="23" s="1"/>
  <c r="X65" i="23"/>
  <c r="AT65" i="23"/>
  <c r="BU84" i="23"/>
  <c r="BT84" i="23"/>
  <c r="CA26" i="23"/>
  <c r="BZ26" i="23"/>
  <c r="BY26" i="23"/>
  <c r="AT23" i="23"/>
  <c r="BG23" i="23" s="1"/>
  <c r="X23" i="23"/>
  <c r="W23" i="23"/>
  <c r="C23" i="23"/>
  <c r="B23" i="23"/>
  <c r="BO23" i="23" s="1"/>
  <c r="AZ23" i="23"/>
  <c r="BS12" i="23"/>
  <c r="Y12" i="23"/>
  <c r="BB12" i="23"/>
  <c r="BI33" i="23"/>
  <c r="BZ13" i="23"/>
  <c r="CA13" i="23"/>
  <c r="BY13" i="23"/>
  <c r="BU12" i="23"/>
  <c r="BT12" i="23"/>
  <c r="AX12" i="23"/>
  <c r="CD12" i="23"/>
  <c r="BT11" i="23"/>
  <c r="BU11" i="23"/>
  <c r="CA2" i="23"/>
  <c r="BZ2" i="23"/>
  <c r="BY2" i="23"/>
  <c r="AY24" i="23"/>
  <c r="V24" i="23"/>
  <c r="BM24" i="23"/>
  <c r="BK24" i="23"/>
  <c r="BJ24" i="23"/>
  <c r="Z24" i="23"/>
  <c r="BF24" i="23"/>
  <c r="S24" i="23"/>
  <c r="AN24" i="23"/>
  <c r="AS24" i="23"/>
  <c r="AQ24" i="23"/>
  <c r="AP24" i="23"/>
  <c r="AO24" i="23"/>
  <c r="CB24" i="23"/>
  <c r="BP24" i="23"/>
  <c r="BQ24" i="23" s="1"/>
  <c r="BN24" i="23"/>
  <c r="BV25" i="23"/>
  <c r="CC7" i="23"/>
  <c r="AC7" i="23"/>
  <c r="AM7" i="23"/>
  <c r="AL7" i="23"/>
  <c r="AK7" i="23"/>
  <c r="AJ7" i="23"/>
  <c r="AI7" i="23"/>
  <c r="AD7" i="23"/>
  <c r="AB7" i="23"/>
  <c r="AA7" i="23"/>
  <c r="AW5" i="23"/>
  <c r="AV5" i="23"/>
  <c r="AE5" i="23"/>
  <c r="BL5" i="23"/>
  <c r="U5" i="23"/>
  <c r="T5" i="23"/>
  <c r="BZ138" i="23"/>
  <c r="BY138" i="23"/>
  <c r="CA138" i="23"/>
  <c r="BO241" i="23"/>
  <c r="BH241" i="23"/>
  <c r="BI82" i="23"/>
  <c r="BU88" i="23"/>
  <c r="BT88" i="23"/>
  <c r="CA71" i="23"/>
  <c r="BZ71" i="23"/>
  <c r="BY71" i="23"/>
  <c r="BZ99" i="23"/>
  <c r="BY99" i="23"/>
  <c r="CA99" i="23"/>
  <c r="AJ40" i="23"/>
  <c r="AD40" i="23"/>
  <c r="AC40" i="23"/>
  <c r="CC40" i="23"/>
  <c r="AB40" i="23"/>
  <c r="AA40" i="23"/>
  <c r="AM40" i="23"/>
  <c r="AL40" i="23"/>
  <c r="AK40" i="23"/>
  <c r="AI40" i="23"/>
  <c r="AQ51" i="23"/>
  <c r="S51" i="23"/>
  <c r="AO51" i="23"/>
  <c r="V51" i="23"/>
  <c r="BN51" i="23"/>
  <c r="CB51" i="23"/>
  <c r="AY51" i="23"/>
  <c r="AS51" i="23"/>
  <c r="AP51" i="23"/>
  <c r="AN51" i="23"/>
  <c r="BV52" i="23"/>
  <c r="Z51" i="23"/>
  <c r="BK51" i="23"/>
  <c r="BF51" i="23"/>
  <c r="BP51" i="23"/>
  <c r="BQ51" i="23" s="1"/>
  <c r="B161" i="16" s="1"/>
  <c r="BM51" i="23"/>
  <c r="BJ51" i="23"/>
  <c r="C37" i="23"/>
  <c r="D37" i="23" s="1"/>
  <c r="B37" i="23"/>
  <c r="BO37" i="23" s="1"/>
  <c r="AZ37" i="23"/>
  <c r="AT37" i="23"/>
  <c r="BG37" i="23" s="1"/>
  <c r="X37" i="23"/>
  <c r="W37" i="23"/>
  <c r="AL9" i="23"/>
  <c r="AK9" i="23"/>
  <c r="AJ9" i="23"/>
  <c r="AI9" i="23"/>
  <c r="CC9" i="23"/>
  <c r="AM9" i="23"/>
  <c r="AD9" i="23"/>
  <c r="AC9" i="23"/>
  <c r="AB9" i="23"/>
  <c r="AA9" i="23"/>
  <c r="BU144" i="23"/>
  <c r="BT144" i="23"/>
  <c r="BO218" i="23"/>
  <c r="BH218" i="23"/>
  <c r="BS139" i="23"/>
  <c r="Y139" i="23"/>
  <c r="CC141" i="23"/>
  <c r="AI141" i="23"/>
  <c r="AL141" i="23"/>
  <c r="AK141" i="23"/>
  <c r="AA141" i="23"/>
  <c r="AJ141" i="23"/>
  <c r="AC141" i="23"/>
  <c r="AB141" i="23"/>
  <c r="AM141" i="23"/>
  <c r="AD141" i="23"/>
  <c r="CA145" i="23"/>
  <c r="BZ145" i="23"/>
  <c r="BY145" i="23"/>
  <c r="BS62" i="23"/>
  <c r="Y62" i="23"/>
  <c r="CC57" i="23"/>
  <c r="AM57" i="23"/>
  <c r="AL57" i="23"/>
  <c r="AK57" i="23"/>
  <c r="AJ57" i="23"/>
  <c r="AI57" i="23"/>
  <c r="AD57" i="23"/>
  <c r="AC57" i="23"/>
  <c r="AB57" i="23"/>
  <c r="AA57" i="23"/>
  <c r="CA90" i="23"/>
  <c r="BZ90" i="23"/>
  <c r="BY90" i="23"/>
  <c r="BI7" i="23"/>
  <c r="AW31" i="23"/>
  <c r="AV31" i="23"/>
  <c r="AE31" i="23"/>
  <c r="BL31" i="23"/>
  <c r="T31" i="23"/>
  <c r="U31" i="23"/>
  <c r="S34" i="23"/>
  <c r="AS34" i="23"/>
  <c r="BF34" i="23"/>
  <c r="Z34" i="23"/>
  <c r="BV35" i="23"/>
  <c r="CB34" i="23"/>
  <c r="AY34" i="23"/>
  <c r="BN34" i="23"/>
  <c r="V34" i="23"/>
  <c r="BP34" i="23"/>
  <c r="BQ34" i="23" s="1"/>
  <c r="BM34" i="23"/>
  <c r="BK34" i="23"/>
  <c r="BJ34" i="23"/>
  <c r="AQ34" i="23"/>
  <c r="AP34" i="23"/>
  <c r="AO34" i="23"/>
  <c r="AN34" i="23"/>
  <c r="W146" i="23"/>
  <c r="C146" i="23"/>
  <c r="D146" i="23" s="1"/>
  <c r="B146" i="23"/>
  <c r="BO146" i="23" s="1"/>
  <c r="AT146" i="23"/>
  <c r="X146" i="23"/>
  <c r="CC135" i="23"/>
  <c r="AJ135" i="23"/>
  <c r="AK135" i="23"/>
  <c r="AI135" i="23"/>
  <c r="AM135" i="23"/>
  <c r="AL135" i="23"/>
  <c r="AC135" i="23"/>
  <c r="AB135" i="23"/>
  <c r="AD135" i="23"/>
  <c r="AA135" i="23"/>
  <c r="BO246" i="23"/>
  <c r="BH246" i="23"/>
  <c r="BO262" i="23"/>
  <c r="BH262" i="23"/>
  <c r="AI145" i="23"/>
  <c r="CC145" i="23"/>
  <c r="AC145" i="23"/>
  <c r="AL145" i="23"/>
  <c r="AD145" i="23"/>
  <c r="AB145" i="23"/>
  <c r="AA145" i="23"/>
  <c r="AM145" i="23"/>
  <c r="AJ145" i="23"/>
  <c r="AK145" i="23"/>
  <c r="AT142" i="23"/>
  <c r="B142" i="23"/>
  <c r="BO142" i="23" s="1"/>
  <c r="W142" i="23"/>
  <c r="X142" i="23"/>
  <c r="C142" i="23"/>
  <c r="BH207" i="23"/>
  <c r="BO207" i="23"/>
  <c r="AD84" i="23"/>
  <c r="AC84" i="23"/>
  <c r="AB84" i="23"/>
  <c r="AA84" i="23"/>
  <c r="AK84" i="23"/>
  <c r="AJ84" i="23"/>
  <c r="AI84" i="23"/>
  <c r="AM84" i="23"/>
  <c r="CC84" i="23"/>
  <c r="AL84" i="23"/>
  <c r="AE107" i="23"/>
  <c r="U107" i="23"/>
  <c r="T107" i="23"/>
  <c r="AW107" i="23"/>
  <c r="AV107" i="23"/>
  <c r="BJ125" i="23"/>
  <c r="CB125" i="23"/>
  <c r="AQ125" i="23"/>
  <c r="AP125" i="23"/>
  <c r="BP125" i="23"/>
  <c r="BQ125" i="23" s="1"/>
  <c r="BM125" i="23"/>
  <c r="BK125" i="23"/>
  <c r="V125" i="23"/>
  <c r="BN125" i="23"/>
  <c r="BV126" i="23"/>
  <c r="S125" i="23"/>
  <c r="AS125" i="23"/>
  <c r="AO125" i="23"/>
  <c r="AN125" i="23"/>
  <c r="Z125" i="23"/>
  <c r="BF125" i="23"/>
  <c r="AY125" i="23"/>
  <c r="C98" i="23"/>
  <c r="D98" i="23" s="1"/>
  <c r="X98" i="23"/>
  <c r="B98" i="23"/>
  <c r="BO98" i="23" s="1"/>
  <c r="AT98" i="23"/>
  <c r="W98" i="23"/>
  <c r="CA61" i="23"/>
  <c r="BZ61" i="23"/>
  <c r="BY61" i="23"/>
  <c r="AE92" i="23"/>
  <c r="T92" i="23"/>
  <c r="AW92" i="23"/>
  <c r="U92" i="23"/>
  <c r="AV92" i="23"/>
  <c r="AV53" i="23"/>
  <c r="U53" i="23"/>
  <c r="AE53" i="23"/>
  <c r="T53" i="23"/>
  <c r="AW53" i="23"/>
  <c r="CA36" i="23"/>
  <c r="BZ36" i="23"/>
  <c r="BY36" i="23"/>
  <c r="AC59" i="23"/>
  <c r="AM59" i="23"/>
  <c r="AL59" i="23"/>
  <c r="AK59" i="23"/>
  <c r="AJ59" i="23"/>
  <c r="CC59" i="23"/>
  <c r="AI59" i="23"/>
  <c r="AB59" i="23"/>
  <c r="AA59" i="23"/>
  <c r="AD59" i="23"/>
  <c r="AY17" i="23"/>
  <c r="Z17" i="23"/>
  <c r="AS17" i="23"/>
  <c r="AQ17" i="23"/>
  <c r="AP17" i="23"/>
  <c r="AO17" i="23"/>
  <c r="AN17" i="23"/>
  <c r="BN17" i="23"/>
  <c r="BP17" i="23"/>
  <c r="BQ17" i="23" s="1"/>
  <c r="BM17" i="23"/>
  <c r="V17" i="23"/>
  <c r="BK17" i="23"/>
  <c r="BJ17" i="23"/>
  <c r="S17" i="23"/>
  <c r="BF17" i="23"/>
  <c r="BV18" i="23"/>
  <c r="CB17" i="23"/>
  <c r="BL30" i="23"/>
  <c r="AE30" i="23"/>
  <c r="AW30" i="23"/>
  <c r="AV30" i="23"/>
  <c r="U30" i="23"/>
  <c r="T30" i="23"/>
  <c r="AS2" i="23"/>
  <c r="B10" i="16"/>
  <c r="C10" i="9" s="1"/>
  <c r="E10" i="9" s="1"/>
  <c r="BV3" i="23"/>
  <c r="AO2" i="23"/>
  <c r="AN2" i="23"/>
  <c r="AP2" i="23" s="1"/>
  <c r="BP2" i="23"/>
  <c r="BQ2" i="23" s="1"/>
  <c r="Z2" i="23"/>
  <c r="BS11" i="23"/>
  <c r="BB11" i="23"/>
  <c r="Y11" i="23"/>
  <c r="AZ18" i="23"/>
  <c r="B18" i="23"/>
  <c r="BH18" i="23" s="1"/>
  <c r="AT18" i="23"/>
  <c r="BG18" i="23" s="1"/>
  <c r="C18" i="23"/>
  <c r="W18" i="23"/>
  <c r="X18" i="23"/>
  <c r="CA7" i="23"/>
  <c r="BZ7" i="23"/>
  <c r="BY7" i="23"/>
  <c r="BH220" i="23"/>
  <c r="BO220" i="23"/>
  <c r="BO167" i="23"/>
  <c r="BH167" i="23"/>
  <c r="BO177" i="23"/>
  <c r="BH177" i="23"/>
  <c r="B76" i="23"/>
  <c r="BH76" i="23" s="1"/>
  <c r="C76" i="23"/>
  <c r="D76" i="23" s="1"/>
  <c r="AT76" i="23"/>
  <c r="W76" i="23"/>
  <c r="X76" i="23"/>
  <c r="X104" i="23"/>
  <c r="W104" i="23"/>
  <c r="C104" i="23"/>
  <c r="AT104" i="23"/>
  <c r="B104" i="23"/>
  <c r="BO104" i="23" s="1"/>
  <c r="BI67" i="23"/>
  <c r="CA29" i="23"/>
  <c r="BZ29" i="23"/>
  <c r="BY29" i="23"/>
  <c r="BI125" i="23"/>
  <c r="W117" i="23"/>
  <c r="C117" i="23"/>
  <c r="B117" i="23"/>
  <c r="BO117" i="23" s="1"/>
  <c r="X117" i="23"/>
  <c r="AT117" i="23"/>
  <c r="AL132" i="23"/>
  <c r="AK132" i="23"/>
  <c r="AA132" i="23"/>
  <c r="CC132" i="23"/>
  <c r="AI132" i="23"/>
  <c r="AB132" i="23"/>
  <c r="AJ132" i="23"/>
  <c r="AM132" i="23"/>
  <c r="AC132" i="23"/>
  <c r="AD132" i="23"/>
  <c r="AD81" i="23"/>
  <c r="AC81" i="23"/>
  <c r="AB81" i="23"/>
  <c r="AA81" i="23"/>
  <c r="AK81" i="23"/>
  <c r="AJ81" i="23"/>
  <c r="AI81" i="23"/>
  <c r="AM81" i="23"/>
  <c r="AL81" i="23"/>
  <c r="CC81" i="23"/>
  <c r="BT103" i="23"/>
  <c r="BU103" i="23"/>
  <c r="AP79" i="23"/>
  <c r="AO79" i="23"/>
  <c r="AN79" i="23"/>
  <c r="BM79" i="23"/>
  <c r="AQ79" i="23"/>
  <c r="Z79" i="23"/>
  <c r="BF79" i="23"/>
  <c r="BP79" i="23"/>
  <c r="BQ79" i="23" s="1"/>
  <c r="AY79" i="23"/>
  <c r="BV80" i="23"/>
  <c r="AS79" i="23"/>
  <c r="V79" i="23"/>
  <c r="S79" i="23"/>
  <c r="CB79" i="23"/>
  <c r="BN79" i="23"/>
  <c r="BK79" i="23"/>
  <c r="BJ79" i="23"/>
  <c r="T102" i="23"/>
  <c r="U102" i="23"/>
  <c r="AV102" i="23"/>
  <c r="AE102" i="23"/>
  <c r="AW102" i="23"/>
  <c r="Y54" i="23"/>
  <c r="BS54" i="23"/>
  <c r="BI73" i="23"/>
  <c r="CB66" i="23"/>
  <c r="V66" i="23"/>
  <c r="BV67" i="23"/>
  <c r="BK66" i="23"/>
  <c r="Z66" i="23"/>
  <c r="BJ66" i="23"/>
  <c r="AO66" i="23"/>
  <c r="AN66" i="23"/>
  <c r="BN66" i="23"/>
  <c r="BM66" i="23"/>
  <c r="AQ66" i="23"/>
  <c r="AP66" i="23"/>
  <c r="BF66" i="23"/>
  <c r="AY66" i="23"/>
  <c r="AS66" i="23"/>
  <c r="S66" i="23"/>
  <c r="BP66" i="23"/>
  <c r="BQ66" i="23" s="1"/>
  <c r="BU68" i="23"/>
  <c r="BT68" i="23"/>
  <c r="BI28" i="23"/>
  <c r="CA76" i="23"/>
  <c r="BZ76" i="23"/>
  <c r="BY76" i="23"/>
  <c r="B50" i="23"/>
  <c r="BO50" i="23" s="1"/>
  <c r="AZ50" i="23"/>
  <c r="AT50" i="23"/>
  <c r="BG50" i="23" s="1"/>
  <c r="C50" i="23"/>
  <c r="X50" i="23"/>
  <c r="W50" i="23"/>
  <c r="BI58" i="23"/>
  <c r="AC55" i="23"/>
  <c r="AD55" i="23"/>
  <c r="AI55" i="23"/>
  <c r="AL55" i="23"/>
  <c r="AK55" i="23"/>
  <c r="AJ55" i="23"/>
  <c r="AM55" i="23"/>
  <c r="CC55" i="23"/>
  <c r="AB55" i="23"/>
  <c r="AA55" i="23"/>
  <c r="BI27" i="23"/>
  <c r="U77" i="23"/>
  <c r="T77" i="23"/>
  <c r="AW77" i="23"/>
  <c r="AV77" i="23"/>
  <c r="AE77" i="23"/>
  <c r="W12" i="23"/>
  <c r="AZ12" i="23"/>
  <c r="X12" i="23"/>
  <c r="AT12" i="23"/>
  <c r="BG12" i="23" s="1"/>
  <c r="C12" i="23"/>
  <c r="B12" i="23"/>
  <c r="BH12" i="23" s="1"/>
  <c r="BI32" i="23"/>
  <c r="BO183" i="23"/>
  <c r="BH183" i="23"/>
  <c r="CA114" i="23"/>
  <c r="BZ114" i="23"/>
  <c r="BY114" i="23"/>
  <c r="CA111" i="23"/>
  <c r="BZ111" i="23"/>
  <c r="BY111" i="23"/>
  <c r="AE73" i="23"/>
  <c r="AW73" i="23"/>
  <c r="T73" i="23"/>
  <c r="AV73" i="23"/>
  <c r="U73" i="23"/>
  <c r="AT125" i="23"/>
  <c r="C125" i="23"/>
  <c r="D125" i="23" s="1"/>
  <c r="B125" i="23"/>
  <c r="BO125" i="23" s="1"/>
  <c r="X125" i="23"/>
  <c r="W125" i="23"/>
  <c r="AB88" i="23"/>
  <c r="AA88" i="23"/>
  <c r="AL88" i="23"/>
  <c r="AI88" i="23"/>
  <c r="CC88" i="23"/>
  <c r="AK88" i="23"/>
  <c r="AJ88" i="23"/>
  <c r="AD88" i="23"/>
  <c r="AC88" i="23"/>
  <c r="AM88" i="23"/>
  <c r="CA72" i="23"/>
  <c r="BZ72" i="23"/>
  <c r="BY72" i="23"/>
  <c r="BU37" i="23"/>
  <c r="BT37" i="23"/>
  <c r="W126" i="23"/>
  <c r="B126" i="23"/>
  <c r="BO126" i="23" s="1"/>
  <c r="AT126" i="23"/>
  <c r="C126" i="23"/>
  <c r="X126" i="23"/>
  <c r="BS30" i="23"/>
  <c r="Y30" i="23"/>
  <c r="BB30" i="23"/>
  <c r="AC8" i="23"/>
  <c r="AB8" i="23"/>
  <c r="CC8" i="23"/>
  <c r="AA8" i="23"/>
  <c r="AJ8" i="23"/>
  <c r="AM8" i="23"/>
  <c r="AL8" i="23"/>
  <c r="AK8" i="23"/>
  <c r="AI8" i="23"/>
  <c r="AD8" i="23"/>
  <c r="AT42" i="23"/>
  <c r="BG42" i="23" s="1"/>
  <c r="X42" i="23"/>
  <c r="C42" i="23"/>
  <c r="W42" i="23"/>
  <c r="B42" i="23"/>
  <c r="BH42" i="23" s="1"/>
  <c r="AZ42" i="23"/>
  <c r="AV100" i="23"/>
  <c r="AW100" i="23"/>
  <c r="AE100" i="23"/>
  <c r="U100" i="23"/>
  <c r="T100" i="23"/>
  <c r="X72" i="23"/>
  <c r="W72" i="23"/>
  <c r="AT72" i="23"/>
  <c r="C72" i="23"/>
  <c r="D72" i="23" s="1"/>
  <c r="B72" i="23"/>
  <c r="BO72" i="23" s="1"/>
  <c r="BS79" i="23"/>
  <c r="Y79" i="23"/>
  <c r="CC66" i="23"/>
  <c r="AK66" i="23"/>
  <c r="AL66" i="23"/>
  <c r="AJ66" i="23"/>
  <c r="AI66" i="23"/>
  <c r="AM66" i="23"/>
  <c r="AD66" i="23"/>
  <c r="AC66" i="23"/>
  <c r="AB66" i="23"/>
  <c r="AA66" i="23"/>
  <c r="AD63" i="23"/>
  <c r="AC63" i="23"/>
  <c r="CC63" i="23"/>
  <c r="AM63" i="23"/>
  <c r="AB63" i="23"/>
  <c r="AA63" i="23"/>
  <c r="AL63" i="23"/>
  <c r="AK63" i="23"/>
  <c r="AJ63" i="23"/>
  <c r="AI63" i="23"/>
  <c r="BN6" i="23"/>
  <c r="AN6" i="23"/>
  <c r="BV7" i="23"/>
  <c r="AP6" i="23"/>
  <c r="BP6" i="23"/>
  <c r="BQ6" i="23" s="1"/>
  <c r="AO6" i="23"/>
  <c r="BM6" i="23"/>
  <c r="CB6" i="23"/>
  <c r="AS6" i="23"/>
  <c r="AQ6" i="23"/>
  <c r="BK6" i="23"/>
  <c r="BF6" i="23"/>
  <c r="Z6" i="23"/>
  <c r="V6" i="23"/>
  <c r="AY6" i="23"/>
  <c r="S6" i="23"/>
  <c r="BJ6" i="23"/>
  <c r="X93" i="23"/>
  <c r="W93" i="23"/>
  <c r="C93" i="23"/>
  <c r="AT93" i="23"/>
  <c r="B93" i="23"/>
  <c r="BH93" i="23" s="1"/>
  <c r="BI114" i="23"/>
  <c r="CA93" i="23"/>
  <c r="BZ93" i="23"/>
  <c r="BY93" i="23"/>
  <c r="BZ84" i="23"/>
  <c r="CA84" i="23"/>
  <c r="BY84" i="23"/>
  <c r="BU50" i="23"/>
  <c r="BT50" i="23"/>
  <c r="AV57" i="23"/>
  <c r="AE57" i="23"/>
  <c r="AW57" i="23"/>
  <c r="U57" i="23"/>
  <c r="T57" i="23"/>
  <c r="U46" i="23"/>
  <c r="T46" i="23"/>
  <c r="AW46" i="23"/>
  <c r="AV46" i="23"/>
  <c r="BL46" i="23"/>
  <c r="AE46" i="23"/>
  <c r="BT113" i="23"/>
  <c r="BU113" i="23"/>
  <c r="BI22" i="23"/>
  <c r="BU49" i="23"/>
  <c r="BT49" i="23"/>
  <c r="AM15" i="23"/>
  <c r="AL15" i="23"/>
  <c r="AK15" i="23"/>
  <c r="AJ15" i="23"/>
  <c r="AD15" i="23"/>
  <c r="AI15" i="23"/>
  <c r="CC15" i="23"/>
  <c r="AC15" i="23"/>
  <c r="AB15" i="23"/>
  <c r="AA15" i="23"/>
  <c r="X110" i="23"/>
  <c r="W110" i="23"/>
  <c r="B110" i="23"/>
  <c r="BH110" i="23" s="1"/>
  <c r="AT110" i="23"/>
  <c r="C110" i="23"/>
  <c r="D110" i="23" s="1"/>
  <c r="X95" i="23"/>
  <c r="AT95" i="23"/>
  <c r="W95" i="23"/>
  <c r="C95" i="23"/>
  <c r="B95" i="23"/>
  <c r="BO95" i="23" s="1"/>
  <c r="BU52" i="23"/>
  <c r="BT52" i="23"/>
  <c r="BU80" i="23"/>
  <c r="BT80" i="23"/>
  <c r="BB20" i="23"/>
  <c r="Y20" i="23"/>
  <c r="BS20" i="23"/>
  <c r="B5" i="39"/>
  <c r="B18" i="39"/>
  <c r="C18" i="39" s="1"/>
  <c r="D18" i="39" s="1"/>
  <c r="B25" i="39" s="1"/>
  <c r="Y150" i="23"/>
  <c r="BS150" i="23"/>
  <c r="BI142" i="23"/>
  <c r="CA131" i="23"/>
  <c r="BY131" i="23"/>
  <c r="BZ131" i="23"/>
  <c r="AB116" i="23"/>
  <c r="AA116" i="23"/>
  <c r="AI116" i="23"/>
  <c r="AC116" i="23"/>
  <c r="AD116" i="23"/>
  <c r="AM116" i="23"/>
  <c r="AL116" i="23"/>
  <c r="CC116" i="23"/>
  <c r="AK116" i="23"/>
  <c r="AJ116" i="23"/>
  <c r="W112" i="23"/>
  <c r="C112" i="23"/>
  <c r="B112" i="23"/>
  <c r="BO112" i="23" s="1"/>
  <c r="X112" i="23"/>
  <c r="AT112" i="23"/>
  <c r="AS102" i="23"/>
  <c r="AQ102" i="23"/>
  <c r="BP102" i="23"/>
  <c r="BQ102" i="23" s="1"/>
  <c r="BF102" i="23"/>
  <c r="V102" i="23"/>
  <c r="AY102" i="23"/>
  <c r="BJ102" i="23"/>
  <c r="S102" i="23"/>
  <c r="Z102" i="23"/>
  <c r="AO102" i="23"/>
  <c r="BV103" i="23"/>
  <c r="BK102" i="23"/>
  <c r="AP102" i="23"/>
  <c r="CB102" i="23"/>
  <c r="AN102" i="23"/>
  <c r="BN102" i="23"/>
  <c r="BM102" i="23"/>
  <c r="AO99" i="23"/>
  <c r="BK99" i="23"/>
  <c r="BP99" i="23"/>
  <c r="BQ99" i="23" s="1"/>
  <c r="BJ99" i="23"/>
  <c r="CB99" i="23"/>
  <c r="BM99" i="23"/>
  <c r="S99" i="23"/>
  <c r="BF99" i="23"/>
  <c r="AY99" i="23"/>
  <c r="AQ99" i="23"/>
  <c r="AP99" i="23"/>
  <c r="BV100" i="23"/>
  <c r="AN99" i="23"/>
  <c r="AS99" i="23"/>
  <c r="Z99" i="23"/>
  <c r="V99" i="23"/>
  <c r="BN99" i="23"/>
  <c r="B96" i="23"/>
  <c r="BO96" i="23" s="1"/>
  <c r="X96" i="23"/>
  <c r="W96" i="23"/>
  <c r="C96" i="23"/>
  <c r="D96" i="23" s="1"/>
  <c r="AT96" i="23"/>
  <c r="BI84" i="23"/>
  <c r="AZ17" i="23"/>
  <c r="B17" i="23"/>
  <c r="BH17" i="23" s="1"/>
  <c r="W17" i="23"/>
  <c r="C17" i="23"/>
  <c r="X17" i="23"/>
  <c r="AT17" i="23"/>
  <c r="BG17" i="23" s="1"/>
  <c r="CA142" i="23"/>
  <c r="BZ142" i="23"/>
  <c r="BY142" i="23"/>
  <c r="BS140" i="23"/>
  <c r="Y140" i="23"/>
  <c r="B147" i="23"/>
  <c r="BH147" i="23" s="1"/>
  <c r="AT147" i="23"/>
  <c r="C147" i="23"/>
  <c r="D147" i="23" s="1"/>
  <c r="X147" i="23"/>
  <c r="W147" i="23"/>
  <c r="BH192" i="23"/>
  <c r="BO192" i="23"/>
  <c r="CA139" i="23"/>
  <c r="BZ139" i="23"/>
  <c r="BY139" i="23"/>
  <c r="BF148" i="23"/>
  <c r="AY148" i="23"/>
  <c r="BM148" i="23"/>
  <c r="BK148" i="23"/>
  <c r="BV149" i="23"/>
  <c r="BJ148" i="23"/>
  <c r="S148" i="23"/>
  <c r="AN148" i="23"/>
  <c r="BP148" i="23"/>
  <c r="BQ148" i="23" s="1"/>
  <c r="AO148" i="23"/>
  <c r="V148" i="23"/>
  <c r="BN148" i="23"/>
  <c r="Z148" i="23"/>
  <c r="AP148" i="23"/>
  <c r="AS148" i="23"/>
  <c r="AQ148" i="23"/>
  <c r="CB148" i="23"/>
  <c r="U142" i="23"/>
  <c r="T142" i="23"/>
  <c r="AV142" i="23"/>
  <c r="AW142" i="23"/>
  <c r="AE142" i="23"/>
  <c r="BO186" i="23"/>
  <c r="BH186" i="23"/>
  <c r="AO129" i="23"/>
  <c r="AY129" i="23"/>
  <c r="BN129" i="23"/>
  <c r="BM129" i="23"/>
  <c r="Z129" i="23"/>
  <c r="BK129" i="23"/>
  <c r="CB129" i="23"/>
  <c r="AN129" i="23"/>
  <c r="BJ129" i="23"/>
  <c r="S129" i="23"/>
  <c r="AQ129" i="23"/>
  <c r="BV130" i="23"/>
  <c r="BP129" i="23"/>
  <c r="BQ129" i="23" s="1"/>
  <c r="AS129" i="23"/>
  <c r="AP129" i="23"/>
  <c r="V129" i="23"/>
  <c r="BF129" i="23"/>
  <c r="CA130" i="23"/>
  <c r="BZ130" i="23"/>
  <c r="BY130" i="23"/>
  <c r="AV113" i="23"/>
  <c r="U113" i="23"/>
  <c r="AW113" i="23"/>
  <c r="T113" i="23"/>
  <c r="AE113" i="23"/>
  <c r="X116" i="23"/>
  <c r="W116" i="23"/>
  <c r="C116" i="23"/>
  <c r="AU116" i="23" s="1"/>
  <c r="AT116" i="23"/>
  <c r="B116" i="23"/>
  <c r="BH116" i="23" s="1"/>
  <c r="U89" i="23"/>
  <c r="T89" i="23"/>
  <c r="AW89" i="23"/>
  <c r="AV89" i="23"/>
  <c r="AE89" i="23"/>
  <c r="CA109" i="23"/>
  <c r="BZ109" i="23"/>
  <c r="BY109" i="23"/>
  <c r="Y126" i="23"/>
  <c r="BS126" i="23"/>
  <c r="BI85" i="23"/>
  <c r="B94" i="23"/>
  <c r="BO94" i="23" s="1"/>
  <c r="W94" i="23"/>
  <c r="C94" i="23"/>
  <c r="AT94" i="23"/>
  <c r="X94" i="23"/>
  <c r="BI130" i="23"/>
  <c r="Z97" i="23"/>
  <c r="BP97" i="23"/>
  <c r="BQ97" i="23" s="1"/>
  <c r="BK97" i="23"/>
  <c r="BJ97" i="23"/>
  <c r="V97" i="23"/>
  <c r="BF97" i="23"/>
  <c r="BM97" i="23"/>
  <c r="BN97" i="23"/>
  <c r="AY97" i="23"/>
  <c r="AP97" i="23"/>
  <c r="AO97" i="23"/>
  <c r="AN97" i="23"/>
  <c r="BV98" i="23"/>
  <c r="CB97" i="23"/>
  <c r="AQ97" i="23"/>
  <c r="S97" i="23"/>
  <c r="AS97" i="23"/>
  <c r="AL56" i="23"/>
  <c r="AM56" i="23"/>
  <c r="AK56" i="23"/>
  <c r="AD56" i="23"/>
  <c r="CC56" i="23"/>
  <c r="AC56" i="23"/>
  <c r="AB56" i="23"/>
  <c r="AA56" i="23"/>
  <c r="AJ56" i="23"/>
  <c r="AI56" i="23"/>
  <c r="W85" i="23"/>
  <c r="AT85" i="23"/>
  <c r="C85" i="23"/>
  <c r="D85" i="23" s="1"/>
  <c r="B85" i="23"/>
  <c r="BH85" i="23" s="1"/>
  <c r="X85" i="23"/>
  <c r="BI97" i="23"/>
  <c r="BU140" i="23"/>
  <c r="BT140" i="23"/>
  <c r="T88" i="23"/>
  <c r="AW88" i="23"/>
  <c r="U88" i="23"/>
  <c r="AV88" i="23"/>
  <c r="AE88" i="23"/>
  <c r="B70" i="23"/>
  <c r="BH70" i="23" s="1"/>
  <c r="C70" i="23"/>
  <c r="D70" i="23" s="1"/>
  <c r="X70" i="23"/>
  <c r="W70" i="23"/>
  <c r="AT70" i="23"/>
  <c r="BH229" i="23"/>
  <c r="BO229" i="23"/>
  <c r="CA147" i="23"/>
  <c r="BZ147" i="23"/>
  <c r="BY147" i="23"/>
  <c r="AM110" i="23"/>
  <c r="AL110" i="23"/>
  <c r="CC110" i="23"/>
  <c r="AC110" i="23"/>
  <c r="AK110" i="23"/>
  <c r="AD110" i="23"/>
  <c r="AB110" i="23"/>
  <c r="AA110" i="23"/>
  <c r="AI110" i="23"/>
  <c r="AJ110" i="23"/>
  <c r="BY73" i="23"/>
  <c r="CA73" i="23"/>
  <c r="BZ73" i="23"/>
  <c r="BN37" i="23"/>
  <c r="BM37" i="23"/>
  <c r="S37" i="23"/>
  <c r="AY37" i="23"/>
  <c r="CB37" i="23"/>
  <c r="AS37" i="23"/>
  <c r="AQ37" i="23"/>
  <c r="AP37" i="23"/>
  <c r="AO37" i="23"/>
  <c r="BJ37" i="23"/>
  <c r="V37" i="23"/>
  <c r="BP37" i="23"/>
  <c r="BQ37" i="23" s="1"/>
  <c r="BK37" i="23"/>
  <c r="BF37" i="23"/>
  <c r="BV38" i="23"/>
  <c r="AN37" i="23"/>
  <c r="Z37" i="23"/>
  <c r="BT97" i="23"/>
  <c r="BU97" i="23"/>
  <c r="BN67" i="23"/>
  <c r="BV68" i="23"/>
  <c r="BM67" i="23"/>
  <c r="CB67" i="23"/>
  <c r="V67" i="23"/>
  <c r="BP67" i="23"/>
  <c r="BQ67" i="23" s="1"/>
  <c r="AY67" i="23"/>
  <c r="AS67" i="23"/>
  <c r="AQ67" i="23"/>
  <c r="Z67" i="23"/>
  <c r="BK67" i="23"/>
  <c r="BJ67" i="23"/>
  <c r="BF67" i="23"/>
  <c r="AP67" i="23"/>
  <c r="AO67" i="23"/>
  <c r="AN67" i="23"/>
  <c r="S67" i="23"/>
  <c r="BT60" i="23"/>
  <c r="BU60" i="23"/>
  <c r="BU45" i="23"/>
  <c r="BT45" i="23"/>
  <c r="CA23" i="23"/>
  <c r="BZ23" i="23"/>
  <c r="BY23" i="23"/>
  <c r="CD25" i="23"/>
  <c r="AX25" i="23"/>
  <c r="C32" i="23"/>
  <c r="W32" i="23"/>
  <c r="B32" i="23"/>
  <c r="BH32" i="23" s="1"/>
  <c r="AZ32" i="23"/>
  <c r="AT32" i="23"/>
  <c r="BG32" i="23" s="1"/>
  <c r="X32" i="23"/>
  <c r="BU46" i="23"/>
  <c r="BT46" i="23"/>
  <c r="BS90" i="23"/>
  <c r="Y90" i="23"/>
  <c r="AV82" i="23"/>
  <c r="U82" i="23"/>
  <c r="T82" i="23"/>
  <c r="AE82" i="23"/>
  <c r="AW82" i="23"/>
  <c r="C22" i="23"/>
  <c r="D22" i="23" s="1"/>
  <c r="B22" i="23"/>
  <c r="BO22" i="23" s="1"/>
  <c r="X22" i="23"/>
  <c r="W22" i="23"/>
  <c r="AZ22" i="23"/>
  <c r="AT22" i="23"/>
  <c r="BG22" i="23" s="1"/>
  <c r="BI121" i="23"/>
  <c r="Y49" i="23"/>
  <c r="BB49" i="23"/>
  <c r="BS49" i="23"/>
  <c r="CA32" i="23"/>
  <c r="BZ32" i="23"/>
  <c r="BY32" i="23"/>
  <c r="AC45" i="23"/>
  <c r="AB45" i="23"/>
  <c r="AA45" i="23"/>
  <c r="AL45" i="23"/>
  <c r="AM45" i="23"/>
  <c r="AK45" i="23"/>
  <c r="AJ45" i="23"/>
  <c r="AI45" i="23"/>
  <c r="AD45" i="23"/>
  <c r="CC45" i="23"/>
  <c r="BB35" i="23"/>
  <c r="Y35" i="23"/>
  <c r="BS35" i="23"/>
  <c r="B40" i="23"/>
  <c r="BH40" i="23" s="1"/>
  <c r="AZ40" i="23"/>
  <c r="C40" i="23"/>
  <c r="AT40" i="23"/>
  <c r="BG40" i="23" s="1"/>
  <c r="X40" i="23"/>
  <c r="W40" i="23"/>
  <c r="BF25" i="23"/>
  <c r="CB25" i="23"/>
  <c r="BM25" i="23"/>
  <c r="BN25" i="23"/>
  <c r="BK25" i="23"/>
  <c r="Z25" i="23"/>
  <c r="BJ25" i="23"/>
  <c r="V25" i="23"/>
  <c r="AY25" i="23"/>
  <c r="S25" i="23"/>
  <c r="BV26" i="23"/>
  <c r="AO25" i="23"/>
  <c r="BP25" i="23"/>
  <c r="BQ25" i="23" s="1"/>
  <c r="AS25" i="23"/>
  <c r="AQ25" i="23"/>
  <c r="AP25" i="23"/>
  <c r="AN25" i="23"/>
  <c r="CD4" i="23"/>
  <c r="AX4" i="23"/>
  <c r="AK74" i="23"/>
  <c r="CC74" i="23"/>
  <c r="AB74" i="23"/>
  <c r="AD74" i="23"/>
  <c r="AM74" i="23"/>
  <c r="AL74" i="23"/>
  <c r="AJ74" i="23"/>
  <c r="AI74" i="23"/>
  <c r="AC74" i="23"/>
  <c r="AA74" i="23"/>
  <c r="AT5" i="23"/>
  <c r="BG5" i="23" s="1"/>
  <c r="X5" i="23"/>
  <c r="W5" i="23"/>
  <c r="C5" i="23"/>
  <c r="B5" i="23"/>
  <c r="BO5" i="23" s="1"/>
  <c r="AZ5" i="23"/>
  <c r="AX10" i="23"/>
  <c r="CD10" i="23"/>
  <c r="BI8" i="23"/>
  <c r="BY16" i="23"/>
  <c r="CA16" i="23"/>
  <c r="BZ16" i="23"/>
  <c r="C6" i="23"/>
  <c r="D6" i="23" s="1"/>
  <c r="B6" i="23"/>
  <c r="BH6" i="23" s="1"/>
  <c r="X6" i="23"/>
  <c r="AT6" i="23"/>
  <c r="BG6" i="23" s="1"/>
  <c r="AZ6" i="23"/>
  <c r="W6" i="23"/>
  <c r="CB19" i="23"/>
  <c r="BK19" i="23"/>
  <c r="BP19" i="23"/>
  <c r="BQ19" i="23" s="1"/>
  <c r="BN19" i="23"/>
  <c r="BM19" i="23"/>
  <c r="BJ19" i="23"/>
  <c r="Z19" i="23"/>
  <c r="BV20" i="23"/>
  <c r="BF19" i="23"/>
  <c r="AY19" i="23"/>
  <c r="AS19" i="23"/>
  <c r="AQ19" i="23"/>
  <c r="AP19" i="23"/>
  <c r="AO19" i="23"/>
  <c r="AN19" i="23"/>
  <c r="S19" i="23"/>
  <c r="V19" i="23"/>
  <c r="BK146" i="23"/>
  <c r="V146" i="23"/>
  <c r="AO146" i="23"/>
  <c r="AN146" i="23"/>
  <c r="BF146" i="23"/>
  <c r="AP146" i="23"/>
  <c r="BJ146" i="23"/>
  <c r="BP146" i="23"/>
  <c r="BQ146" i="23" s="1"/>
  <c r="BV147" i="23"/>
  <c r="AS146" i="23"/>
  <c r="CB146" i="23"/>
  <c r="AY146" i="23"/>
  <c r="Z146" i="23"/>
  <c r="AQ146" i="23"/>
  <c r="BM146" i="23"/>
  <c r="S146" i="23"/>
  <c r="BN146" i="23"/>
  <c r="BI143" i="23"/>
  <c r="BI128" i="23"/>
  <c r="CA108" i="23"/>
  <c r="BY108" i="23"/>
  <c r="BZ108" i="23"/>
  <c r="BT136" i="23"/>
  <c r="BU136" i="23"/>
  <c r="BZ81" i="23"/>
  <c r="CA81" i="23"/>
  <c r="BY81" i="23"/>
  <c r="AL41" i="23"/>
  <c r="AM41" i="23"/>
  <c r="AK41" i="23"/>
  <c r="AJ41" i="23"/>
  <c r="AI41" i="23"/>
  <c r="CC41" i="23"/>
  <c r="AD41" i="23"/>
  <c r="AC41" i="23"/>
  <c r="AB41" i="23"/>
  <c r="AA41" i="23"/>
  <c r="BT78" i="23"/>
  <c r="BU78" i="23"/>
  <c r="CD8" i="23"/>
  <c r="AX8" i="23"/>
  <c r="BI43" i="23"/>
  <c r="BU40" i="23"/>
  <c r="BT40" i="23"/>
  <c r="CA21" i="23"/>
  <c r="BZ21" i="23"/>
  <c r="BY21" i="23"/>
  <c r="T42" i="23"/>
  <c r="U42" i="23"/>
  <c r="AW42" i="23"/>
  <c r="AV42" i="23"/>
  <c r="AE42" i="23"/>
  <c r="BL42" i="23"/>
  <c r="B34" i="24"/>
  <c r="B38" i="24"/>
  <c r="BH249" i="23"/>
  <c r="BO249" i="23"/>
  <c r="AY57" i="23"/>
  <c r="BF57" i="23"/>
  <c r="V57" i="23"/>
  <c r="AP57" i="23"/>
  <c r="CB57" i="23"/>
  <c r="AO57" i="23"/>
  <c r="AN57" i="23"/>
  <c r="AQ57" i="23"/>
  <c r="BJ57" i="23"/>
  <c r="BN57" i="23"/>
  <c r="BM57" i="23"/>
  <c r="BK57" i="23"/>
  <c r="AS57" i="23"/>
  <c r="Z57" i="23"/>
  <c r="BV58" i="23"/>
  <c r="BP57" i="23"/>
  <c r="BQ57" i="23" s="1"/>
  <c r="S57" i="23"/>
  <c r="BB36" i="23"/>
  <c r="BS36" i="23"/>
  <c r="Y36" i="23"/>
  <c r="BU8" i="23"/>
  <c r="BT8" i="23"/>
  <c r="AT2" i="23"/>
  <c r="X2" i="23"/>
  <c r="B2" i="23"/>
  <c r="AY2" i="23" s="1"/>
  <c r="W2" i="23"/>
  <c r="C2" i="23"/>
  <c r="D2" i="23" s="1"/>
  <c r="CB123" i="23"/>
  <c r="AS123" i="23"/>
  <c r="S123" i="23"/>
  <c r="BK123" i="23"/>
  <c r="BJ123" i="23"/>
  <c r="Z123" i="23"/>
  <c r="AN123" i="23"/>
  <c r="AO123" i="23"/>
  <c r="BF123" i="23"/>
  <c r="AP123" i="23"/>
  <c r="BV124" i="23"/>
  <c r="AY123" i="23"/>
  <c r="BP123" i="23"/>
  <c r="BQ123" i="23" s="1"/>
  <c r="V123" i="23"/>
  <c r="BM123" i="23"/>
  <c r="AQ123" i="23"/>
  <c r="BN123" i="23"/>
  <c r="BH203" i="23"/>
  <c r="BO203" i="23"/>
  <c r="AI140" i="23"/>
  <c r="AD140" i="23"/>
  <c r="AC140" i="23"/>
  <c r="AM140" i="23"/>
  <c r="AL140" i="23"/>
  <c r="AK140" i="23"/>
  <c r="CC140" i="23"/>
  <c r="AB140" i="23"/>
  <c r="AA140" i="23"/>
  <c r="AJ140" i="23"/>
  <c r="X106" i="23"/>
  <c r="AT106" i="23"/>
  <c r="W106" i="23"/>
  <c r="B106" i="23"/>
  <c r="BH106" i="23" s="1"/>
  <c r="C106" i="23"/>
  <c r="D106" i="23" s="1"/>
  <c r="U84" i="23"/>
  <c r="AW84" i="23"/>
  <c r="T84" i="23"/>
  <c r="AE84" i="23"/>
  <c r="AV84" i="23"/>
  <c r="BI56" i="23"/>
  <c r="AE139" i="23"/>
  <c r="T139" i="23"/>
  <c r="U139" i="23"/>
  <c r="AW139" i="23"/>
  <c r="AV139" i="23"/>
  <c r="BU117" i="23"/>
  <c r="BT117" i="23"/>
  <c r="AN56" i="23"/>
  <c r="V56" i="23"/>
  <c r="CB56" i="23"/>
  <c r="AO56" i="23"/>
  <c r="BM56" i="23"/>
  <c r="BK56" i="23"/>
  <c r="BJ56" i="23"/>
  <c r="S56" i="23"/>
  <c r="BF56" i="23"/>
  <c r="AY56" i="23"/>
  <c r="BV57" i="23"/>
  <c r="BN56" i="23"/>
  <c r="Z56" i="23"/>
  <c r="BP56" i="23"/>
  <c r="BQ56" i="23" s="1"/>
  <c r="AS56" i="23"/>
  <c r="AQ56" i="23"/>
  <c r="AP56" i="23"/>
  <c r="Y134" i="23"/>
  <c r="BS134" i="23"/>
  <c r="BU61" i="23"/>
  <c r="BT61" i="23"/>
  <c r="BU5" i="23"/>
  <c r="BT5" i="23"/>
  <c r="BB26" i="23"/>
  <c r="Y26" i="23"/>
  <c r="BS26" i="23"/>
  <c r="BI17" i="23"/>
  <c r="BS94" i="23"/>
  <c r="Y94" i="23"/>
  <c r="B107" i="23"/>
  <c r="BO107" i="23" s="1"/>
  <c r="AT107" i="23"/>
  <c r="X107" i="23"/>
  <c r="C107" i="23"/>
  <c r="W107" i="23"/>
  <c r="Y29" i="23"/>
  <c r="BB29" i="23"/>
  <c r="BS29" i="23"/>
  <c r="BS5" i="23"/>
  <c r="Y5" i="23"/>
  <c r="BB5" i="23"/>
  <c r="BO215" i="23"/>
  <c r="BH215" i="23"/>
  <c r="BI150" i="23"/>
  <c r="Y101" i="23"/>
  <c r="BS101" i="23"/>
  <c r="BI57" i="23"/>
  <c r="BI131" i="23"/>
  <c r="BZ65" i="23"/>
  <c r="BY65" i="23"/>
  <c r="CA65" i="23"/>
  <c r="BI69" i="23"/>
  <c r="AV2" i="23"/>
  <c r="BL2" i="23"/>
  <c r="AE2" i="23"/>
  <c r="CA86" i="23"/>
  <c r="BZ86" i="23"/>
  <c r="BY86" i="23"/>
  <c r="AQ8" i="23"/>
  <c r="S8" i="23"/>
  <c r="BP8" i="23"/>
  <c r="BQ8" i="23" s="1"/>
  <c r="AP8" i="23"/>
  <c r="CB8" i="23"/>
  <c r="Z8" i="23"/>
  <c r="AS8" i="23"/>
  <c r="AO8" i="23"/>
  <c r="AN8" i="23"/>
  <c r="BV9" i="23"/>
  <c r="BJ8" i="23"/>
  <c r="AY8" i="23"/>
  <c r="V8" i="23"/>
  <c r="BF8" i="23"/>
  <c r="BN8" i="23"/>
  <c r="BM8" i="23"/>
  <c r="BK8" i="23"/>
  <c r="BU77" i="23"/>
  <c r="BT77" i="23"/>
  <c r="X100" i="23"/>
  <c r="W100" i="23"/>
  <c r="AT100" i="23"/>
  <c r="C100" i="23"/>
  <c r="B100" i="23"/>
  <c r="BH100" i="23" s="1"/>
  <c r="AT108" i="23"/>
  <c r="B108" i="23"/>
  <c r="BH108" i="23" s="1"/>
  <c r="W108" i="23"/>
  <c r="X108" i="23"/>
  <c r="C108" i="23"/>
  <c r="X21" i="23"/>
  <c r="W21" i="23"/>
  <c r="AZ21" i="23"/>
  <c r="C21" i="23"/>
  <c r="D21" i="23" s="1"/>
  <c r="AT21" i="23"/>
  <c r="BG21" i="23" s="1"/>
  <c r="B21" i="23"/>
  <c r="BH21" i="23" s="1"/>
  <c r="BS116" i="23"/>
  <c r="Y116" i="23"/>
  <c r="W54" i="23"/>
  <c r="X54" i="23"/>
  <c r="C54" i="23"/>
  <c r="AU54" i="23" s="1"/>
  <c r="B54" i="23"/>
  <c r="BH54" i="23" s="1"/>
  <c r="AT54" i="23"/>
  <c r="BS65" i="23"/>
  <c r="Y65" i="23"/>
  <c r="B28" i="24"/>
  <c r="E22" i="33"/>
  <c r="B134" i="10" s="1"/>
  <c r="F134" i="10" s="1"/>
  <c r="B26" i="24"/>
  <c r="B128" i="10" s="1"/>
  <c r="F128" i="10" s="1"/>
  <c r="B131" i="10"/>
  <c r="B136" i="10"/>
  <c r="F136" i="10" s="1"/>
  <c r="C150" i="23"/>
  <c r="D150" i="23" s="1"/>
  <c r="W150" i="23"/>
  <c r="AT150" i="23"/>
  <c r="B150" i="23"/>
  <c r="BH150" i="23" s="1"/>
  <c r="X150" i="23"/>
  <c r="BS121" i="23"/>
  <c r="Y121" i="23"/>
  <c r="BO268" i="23"/>
  <c r="BH268" i="23"/>
  <c r="AJ112" i="23"/>
  <c r="AI112" i="23"/>
  <c r="AK112" i="23"/>
  <c r="AB112" i="23"/>
  <c r="AA112" i="23"/>
  <c r="AM112" i="23"/>
  <c r="CC112" i="23"/>
  <c r="AL112" i="23"/>
  <c r="AC112" i="23"/>
  <c r="AD112" i="23"/>
  <c r="BU110" i="23"/>
  <c r="BT110" i="23"/>
  <c r="BI99" i="23"/>
  <c r="BP76" i="23"/>
  <c r="BQ76" i="23" s="1"/>
  <c r="BK76" i="23"/>
  <c r="BJ76" i="23"/>
  <c r="Z76" i="23"/>
  <c r="BV77" i="23"/>
  <c r="CB76" i="23"/>
  <c r="AQ76" i="23"/>
  <c r="BN76" i="23"/>
  <c r="V76" i="23"/>
  <c r="AY76" i="23"/>
  <c r="BM76" i="23"/>
  <c r="BF76" i="23"/>
  <c r="AO76" i="23"/>
  <c r="AN76" i="23"/>
  <c r="S76" i="23"/>
  <c r="AS76" i="23"/>
  <c r="AP76" i="23"/>
  <c r="BI71" i="23"/>
  <c r="AE74" i="23"/>
  <c r="U74" i="23"/>
  <c r="AW74" i="23"/>
  <c r="AV74" i="23"/>
  <c r="T74" i="23"/>
  <c r="BY87" i="23"/>
  <c r="CA87" i="23"/>
  <c r="BZ87" i="23"/>
  <c r="Y24" i="23"/>
  <c r="BB24" i="23"/>
  <c r="BS24" i="23"/>
  <c r="BL50" i="23"/>
  <c r="T50" i="23"/>
  <c r="AW50" i="23"/>
  <c r="AV50" i="23"/>
  <c r="AE50" i="23"/>
  <c r="U50" i="23"/>
  <c r="CA27" i="23"/>
  <c r="BZ27" i="23"/>
  <c r="BY27" i="23"/>
  <c r="B9" i="40"/>
  <c r="B39" i="10"/>
  <c r="CC119" i="23"/>
  <c r="AC119" i="23"/>
  <c r="AB119" i="23"/>
  <c r="AM119" i="23"/>
  <c r="AL119" i="23"/>
  <c r="AJ119" i="23"/>
  <c r="AD119" i="23"/>
  <c r="AA119" i="23"/>
  <c r="AI119" i="23"/>
  <c r="AK119" i="23"/>
  <c r="BT112" i="23"/>
  <c r="BU112" i="23"/>
  <c r="BO264" i="23"/>
  <c r="BH264" i="23"/>
  <c r="U125" i="23"/>
  <c r="T125" i="23"/>
  <c r="AE125" i="23"/>
  <c r="AV125" i="23"/>
  <c r="AW125" i="23"/>
  <c r="BP70" i="23"/>
  <c r="BQ70" i="23" s="1"/>
  <c r="AY70" i="23"/>
  <c r="BV71" i="23"/>
  <c r="V70" i="23"/>
  <c r="BF70" i="23"/>
  <c r="AN70" i="23"/>
  <c r="AQ70" i="23"/>
  <c r="Z70" i="23"/>
  <c r="BK70" i="23"/>
  <c r="BJ70" i="23"/>
  <c r="S70" i="23"/>
  <c r="CB70" i="23"/>
  <c r="BM70" i="23"/>
  <c r="BN70" i="23"/>
  <c r="AS70" i="23"/>
  <c r="AP70" i="23"/>
  <c r="AO70" i="23"/>
  <c r="Y93" i="23"/>
  <c r="BS93" i="23"/>
  <c r="BN98" i="23"/>
  <c r="AO98" i="23"/>
  <c r="AP98" i="23"/>
  <c r="AN98" i="23"/>
  <c r="BM98" i="23"/>
  <c r="BK98" i="23"/>
  <c r="Z98" i="23"/>
  <c r="BV99" i="23"/>
  <c r="BP98" i="23"/>
  <c r="BQ98" i="23" s="1"/>
  <c r="BF98" i="23"/>
  <c r="AY98" i="23"/>
  <c r="CB98" i="23"/>
  <c r="S98" i="23"/>
  <c r="V98" i="23"/>
  <c r="BJ98" i="23"/>
  <c r="AQ98" i="23"/>
  <c r="AS98" i="23"/>
  <c r="U60" i="23"/>
  <c r="T60" i="23"/>
  <c r="AE60" i="23"/>
  <c r="AW60" i="23"/>
  <c r="AV60" i="23"/>
  <c r="CA62" i="23"/>
  <c r="BZ62" i="23"/>
  <c r="BY62" i="23"/>
  <c r="BS53" i="23"/>
  <c r="Y53" i="23"/>
  <c r="BI23" i="23"/>
  <c r="AL50" i="23"/>
  <c r="AC50" i="23"/>
  <c r="AM50" i="23"/>
  <c r="AK50" i="23"/>
  <c r="AJ50" i="23"/>
  <c r="AI50" i="23"/>
  <c r="AD50" i="23"/>
  <c r="AB50" i="23"/>
  <c r="AA50" i="23"/>
  <c r="CC50" i="23"/>
  <c r="BI38" i="23"/>
  <c r="BV150" i="23"/>
  <c r="Z149" i="23"/>
  <c r="BJ149" i="23"/>
  <c r="AY149" i="23"/>
  <c r="AQ149" i="23"/>
  <c r="BP149" i="23"/>
  <c r="BQ149" i="23" s="1"/>
  <c r="BN149" i="23"/>
  <c r="BM149" i="23"/>
  <c r="AN149" i="23"/>
  <c r="AO149" i="23"/>
  <c r="BK149" i="23"/>
  <c r="CB149" i="23"/>
  <c r="AP149" i="23"/>
  <c r="AS149" i="23"/>
  <c r="BF149" i="23"/>
  <c r="V149" i="23"/>
  <c r="S149" i="23"/>
  <c r="BN120" i="23"/>
  <c r="BM120" i="23"/>
  <c r="BK120" i="23"/>
  <c r="AP120" i="23"/>
  <c r="AO120" i="23"/>
  <c r="CB120" i="23"/>
  <c r="BF120" i="23"/>
  <c r="BP120" i="23"/>
  <c r="BQ120" i="23" s="1"/>
  <c r="BJ120" i="23"/>
  <c r="AY120" i="23"/>
  <c r="AN120" i="23"/>
  <c r="Z120" i="23"/>
  <c r="AS120" i="23"/>
  <c r="AQ120" i="23"/>
  <c r="BV121" i="23"/>
  <c r="V120" i="23"/>
  <c r="S120" i="23"/>
  <c r="BU108" i="23"/>
  <c r="BT108" i="23"/>
  <c r="AA113" i="23"/>
  <c r="AD113" i="23"/>
  <c r="AC113" i="23"/>
  <c r="AK113" i="23"/>
  <c r="AL113" i="23"/>
  <c r="AJ113" i="23"/>
  <c r="CC113" i="23"/>
  <c r="AI113" i="23"/>
  <c r="AM113" i="23"/>
  <c r="AB113" i="23"/>
  <c r="BT118" i="23"/>
  <c r="BU118" i="23"/>
  <c r="Y60" i="23"/>
  <c r="BS60" i="23"/>
  <c r="CD26" i="23"/>
  <c r="AX26" i="23"/>
  <c r="BO171" i="23"/>
  <c r="BH171" i="23"/>
  <c r="F7" i="36"/>
  <c r="B129" i="16"/>
  <c r="B128" i="16"/>
  <c r="C24" i="11"/>
  <c r="B55" i="10" s="1"/>
  <c r="F55" i="10" s="1"/>
  <c r="B139" i="16"/>
  <c r="B124" i="16"/>
  <c r="BF131" i="23"/>
  <c r="AY131" i="23"/>
  <c r="BV132" i="23"/>
  <c r="CB131" i="23"/>
  <c r="BP131" i="23"/>
  <c r="BQ131" i="23" s="1"/>
  <c r="BN131" i="23"/>
  <c r="AN131" i="23"/>
  <c r="AS131" i="23"/>
  <c r="AQ131" i="23"/>
  <c r="Z131" i="23"/>
  <c r="V131" i="23"/>
  <c r="BM131" i="23"/>
  <c r="AP131" i="23"/>
  <c r="BK131" i="23"/>
  <c r="AO131" i="23"/>
  <c r="S131" i="23"/>
  <c r="BJ131" i="23"/>
  <c r="BH230" i="23"/>
  <c r="BO230" i="23"/>
  <c r="AW140" i="23"/>
  <c r="T140" i="23"/>
  <c r="AV140" i="23"/>
  <c r="U140" i="23"/>
  <c r="AE140" i="23"/>
  <c r="AE149" i="23"/>
  <c r="AW149" i="23"/>
  <c r="AV149" i="23"/>
  <c r="T149" i="23"/>
  <c r="U149" i="23"/>
  <c r="V144" i="23"/>
  <c r="AQ144" i="23"/>
  <c r="CB144" i="23"/>
  <c r="AP144" i="23"/>
  <c r="BP144" i="23"/>
  <c r="BQ144" i="23" s="1"/>
  <c r="AO144" i="23"/>
  <c r="AN144" i="23"/>
  <c r="S144" i="23"/>
  <c r="BJ144" i="23"/>
  <c r="AY144" i="23"/>
  <c r="BN144" i="23"/>
  <c r="BM144" i="23"/>
  <c r="BV145" i="23"/>
  <c r="BK144" i="23"/>
  <c r="AS144" i="23"/>
  <c r="Z144" i="23"/>
  <c r="BF144" i="23"/>
  <c r="BO205" i="23"/>
  <c r="BH205" i="23"/>
  <c r="AE131" i="23"/>
  <c r="AW131" i="23"/>
  <c r="U131" i="23"/>
  <c r="T131" i="23"/>
  <c r="AV131" i="23"/>
  <c r="BH219" i="23"/>
  <c r="BO219" i="23"/>
  <c r="BF86" i="23"/>
  <c r="Z86" i="23"/>
  <c r="AP86" i="23"/>
  <c r="CB86" i="23"/>
  <c r="AO86" i="23"/>
  <c r="AN86" i="23"/>
  <c r="BN86" i="23"/>
  <c r="BP86" i="23"/>
  <c r="BQ86" i="23" s="1"/>
  <c r="V86" i="23"/>
  <c r="BM86" i="23"/>
  <c r="BK86" i="23"/>
  <c r="AS86" i="23"/>
  <c r="AQ86" i="23"/>
  <c r="BJ86" i="23"/>
  <c r="BV87" i="23"/>
  <c r="AY86" i="23"/>
  <c r="S86" i="23"/>
  <c r="Y97" i="23"/>
  <c r="BS97" i="23"/>
  <c r="BU86" i="23"/>
  <c r="BT86" i="23"/>
  <c r="BZ97" i="23"/>
  <c r="BY97" i="23"/>
  <c r="CA97" i="23"/>
  <c r="B114" i="23"/>
  <c r="BH114" i="23" s="1"/>
  <c r="AT114" i="23"/>
  <c r="C114" i="23"/>
  <c r="D114" i="23" s="1"/>
  <c r="X114" i="23"/>
  <c r="W114" i="23"/>
  <c r="CA92" i="23"/>
  <c r="BZ92" i="23"/>
  <c r="BY92" i="23"/>
  <c r="X89" i="23"/>
  <c r="C89" i="23"/>
  <c r="B89" i="23"/>
  <c r="BH89" i="23" s="1"/>
  <c r="AT89" i="23"/>
  <c r="W89" i="23"/>
  <c r="BN73" i="23"/>
  <c r="BF73" i="23"/>
  <c r="AY73" i="23"/>
  <c r="AN73" i="23"/>
  <c r="AS73" i="23"/>
  <c r="AQ73" i="23"/>
  <c r="AP73" i="23"/>
  <c r="CB73" i="23"/>
  <c r="BP73" i="23"/>
  <c r="BQ73" i="23" s="1"/>
  <c r="BM73" i="23"/>
  <c r="BJ73" i="23"/>
  <c r="BK73" i="23"/>
  <c r="AO73" i="23"/>
  <c r="V73" i="23"/>
  <c r="S73" i="23"/>
  <c r="BV74" i="23"/>
  <c r="Z73" i="23"/>
  <c r="BS137" i="23"/>
  <c r="Y137" i="23"/>
  <c r="BU74" i="23"/>
  <c r="BT74" i="23"/>
  <c r="BT56" i="23"/>
  <c r="BU56" i="23"/>
  <c r="C46" i="23"/>
  <c r="D46" i="23" s="1"/>
  <c r="AT46" i="23"/>
  <c r="BG46" i="23" s="1"/>
  <c r="B46" i="23"/>
  <c r="BH46" i="23" s="1"/>
  <c r="AZ46" i="23"/>
  <c r="X46" i="23"/>
  <c r="W46" i="23"/>
  <c r="AJ124" i="23"/>
  <c r="AI124" i="23"/>
  <c r="AM124" i="23"/>
  <c r="AL124" i="23"/>
  <c r="CC124" i="23"/>
  <c r="AD124" i="23"/>
  <c r="AC124" i="23"/>
  <c r="AK124" i="23"/>
  <c r="AB124" i="23"/>
  <c r="AA124" i="23"/>
  <c r="Y34" i="23"/>
  <c r="BB34" i="23"/>
  <c r="BS34" i="23"/>
  <c r="F11" i="19"/>
  <c r="F8" i="19" s="1"/>
  <c r="F8" i="10"/>
  <c r="BS142" i="23"/>
  <c r="Y142" i="23"/>
  <c r="BI149" i="23"/>
  <c r="BI146" i="23"/>
  <c r="BK138" i="23"/>
  <c r="AQ138" i="23"/>
  <c r="AP138" i="23"/>
  <c r="BF138" i="23"/>
  <c r="AY138" i="23"/>
  <c r="V138" i="23"/>
  <c r="AN138" i="23"/>
  <c r="S138" i="23"/>
  <c r="AS138" i="23"/>
  <c r="AO138" i="23"/>
  <c r="Z138" i="23"/>
  <c r="CB138" i="23"/>
  <c r="BJ138" i="23"/>
  <c r="BP138" i="23"/>
  <c r="BQ138" i="23" s="1"/>
  <c r="BV139" i="23"/>
  <c r="BN138" i="23"/>
  <c r="BM138" i="23"/>
  <c r="BS124" i="23"/>
  <c r="Y124" i="23"/>
  <c r="Y148" i="23"/>
  <c r="BS148" i="23"/>
  <c r="BY136" i="23"/>
  <c r="CA136" i="23"/>
  <c r="BZ136" i="23"/>
  <c r="AC125" i="23"/>
  <c r="CC125" i="23"/>
  <c r="AL125" i="23"/>
  <c r="AK125" i="23"/>
  <c r="AJ125" i="23"/>
  <c r="AD125" i="23"/>
  <c r="AB125" i="23"/>
  <c r="AA125" i="23"/>
  <c r="AM125" i="23"/>
  <c r="AI125" i="23"/>
  <c r="BI147" i="23"/>
  <c r="BI126" i="23"/>
  <c r="CC142" i="23"/>
  <c r="AK142" i="23"/>
  <c r="AC142" i="23"/>
  <c r="AD142" i="23"/>
  <c r="AB142" i="23"/>
  <c r="AI142" i="23"/>
  <c r="AJ142" i="23"/>
  <c r="AL142" i="23"/>
  <c r="AM142" i="23"/>
  <c r="AA142" i="23"/>
  <c r="AE109" i="23"/>
  <c r="AV109" i="23"/>
  <c r="T109" i="23"/>
  <c r="AW109" i="23"/>
  <c r="U109" i="23"/>
  <c r="BK109" i="23"/>
  <c r="BJ109" i="23"/>
  <c r="AN109" i="23"/>
  <c r="BN109" i="23"/>
  <c r="BF109" i="23"/>
  <c r="BV110" i="23"/>
  <c r="BP109" i="23"/>
  <c r="BQ109" i="23" s="1"/>
  <c r="BM109" i="23"/>
  <c r="AQ109" i="23"/>
  <c r="S109" i="23"/>
  <c r="AY109" i="23"/>
  <c r="AS109" i="23"/>
  <c r="AP109" i="23"/>
  <c r="AO109" i="23"/>
  <c r="Z109" i="23"/>
  <c r="V109" i="23"/>
  <c r="CB109" i="23"/>
  <c r="X99" i="23"/>
  <c r="W99" i="23"/>
  <c r="C99" i="23"/>
  <c r="D99" i="23" s="1"/>
  <c r="B99" i="23"/>
  <c r="BO99" i="23" s="1"/>
  <c r="AT99" i="23"/>
  <c r="BT93" i="23"/>
  <c r="BU93" i="23"/>
  <c r="T54" i="23"/>
  <c r="U54" i="23"/>
  <c r="AV54" i="23"/>
  <c r="AW54" i="23"/>
  <c r="AE54" i="23"/>
  <c r="BI81" i="23"/>
  <c r="BS83" i="23"/>
  <c r="Y83" i="23"/>
  <c r="AV97" i="23"/>
  <c r="U97" i="23"/>
  <c r="AW97" i="23"/>
  <c r="AE97" i="23"/>
  <c r="T97" i="23"/>
  <c r="T69" i="23"/>
  <c r="AW69" i="23"/>
  <c r="AV69" i="23"/>
  <c r="AE69" i="23"/>
  <c r="U69" i="23"/>
  <c r="W138" i="23"/>
  <c r="B138" i="23"/>
  <c r="BH138" i="23" s="1"/>
  <c r="X138" i="23"/>
  <c r="AT138" i="23"/>
  <c r="C138" i="23"/>
  <c r="AO85" i="23"/>
  <c r="AS85" i="23"/>
  <c r="S85" i="23"/>
  <c r="V85" i="23"/>
  <c r="BV86" i="23"/>
  <c r="BM85" i="23"/>
  <c r="Z85" i="23"/>
  <c r="AQ85" i="23"/>
  <c r="AY85" i="23"/>
  <c r="AP85" i="23"/>
  <c r="BP85" i="23"/>
  <c r="BQ85" i="23" s="1"/>
  <c r="BN85" i="23"/>
  <c r="BK85" i="23"/>
  <c r="BJ85" i="23"/>
  <c r="BF85" i="23"/>
  <c r="AN85" i="23"/>
  <c r="CB85" i="23"/>
  <c r="CA112" i="23"/>
  <c r="BY112" i="23"/>
  <c r="BZ112" i="23"/>
  <c r="C105" i="23"/>
  <c r="D105" i="23" s="1"/>
  <c r="AT105" i="23"/>
  <c r="B105" i="23"/>
  <c r="BO105" i="23" s="1"/>
  <c r="X105" i="23"/>
  <c r="W105" i="23"/>
  <c r="BS66" i="23"/>
  <c r="Y66" i="23"/>
  <c r="AK61" i="23"/>
  <c r="AJ61" i="23"/>
  <c r="AI61" i="23"/>
  <c r="AM61" i="23"/>
  <c r="AD61" i="23"/>
  <c r="AC61" i="23"/>
  <c r="AL61" i="23"/>
  <c r="AB61" i="23"/>
  <c r="CC61" i="23"/>
  <c r="AA61" i="23"/>
  <c r="AM33" i="23"/>
  <c r="AL33" i="23"/>
  <c r="AI33" i="23"/>
  <c r="CC33" i="23"/>
  <c r="AK33" i="23"/>
  <c r="AJ33" i="23"/>
  <c r="AD33" i="23"/>
  <c r="AC33" i="23"/>
  <c r="AB33" i="23"/>
  <c r="AA33" i="23"/>
  <c r="BS92" i="23"/>
  <c r="Y92" i="23"/>
  <c r="AE56" i="23"/>
  <c r="AW56" i="23"/>
  <c r="U56" i="23"/>
  <c r="T56" i="23"/>
  <c r="AV56" i="23"/>
  <c r="B44" i="23"/>
  <c r="BO44" i="23" s="1"/>
  <c r="X44" i="23"/>
  <c r="W44" i="23"/>
  <c r="C44" i="23"/>
  <c r="AZ44" i="23"/>
  <c r="AT44" i="23"/>
  <c r="BG44" i="23" s="1"/>
  <c r="AA43" i="23"/>
  <c r="AC43" i="23"/>
  <c r="AB43" i="23"/>
  <c r="AJ43" i="23"/>
  <c r="AD43" i="23"/>
  <c r="CC43" i="23"/>
  <c r="AL43" i="23"/>
  <c r="AM43" i="23"/>
  <c r="AK43" i="23"/>
  <c r="AI43" i="23"/>
  <c r="AB23" i="23"/>
  <c r="AD23" i="23"/>
  <c r="AC23" i="23"/>
  <c r="AA23" i="23"/>
  <c r="AM23" i="23"/>
  <c r="CC23" i="23"/>
  <c r="AL23" i="23"/>
  <c r="AK23" i="23"/>
  <c r="AJ23" i="23"/>
  <c r="AI23" i="23"/>
  <c r="BZ43" i="23"/>
  <c r="BY43" i="23"/>
  <c r="CA43" i="23"/>
  <c r="BU63" i="23"/>
  <c r="BT63" i="23"/>
  <c r="BI80" i="23"/>
  <c r="AI21" i="23"/>
  <c r="AD21" i="23"/>
  <c r="AC21" i="23"/>
  <c r="AB21" i="23"/>
  <c r="AA21" i="23"/>
  <c r="AM21" i="23"/>
  <c r="AL21" i="23"/>
  <c r="AK21" i="23"/>
  <c r="AJ21" i="23"/>
  <c r="CC21" i="23"/>
  <c r="BS10" i="23"/>
  <c r="Y10" i="23"/>
  <c r="BB10" i="23"/>
  <c r="BU48" i="23"/>
  <c r="BT48" i="23"/>
  <c r="BI30" i="23"/>
  <c r="CA44" i="23"/>
  <c r="BZ44" i="23"/>
  <c r="BY44" i="23"/>
  <c r="CC39" i="23"/>
  <c r="AM39" i="23"/>
  <c r="AL39" i="23"/>
  <c r="AC39" i="23"/>
  <c r="AI39" i="23"/>
  <c r="AD39" i="23"/>
  <c r="AK39" i="23"/>
  <c r="AJ39" i="23"/>
  <c r="AB39" i="23"/>
  <c r="AA39" i="23"/>
  <c r="AN65" i="23"/>
  <c r="BV66" i="23"/>
  <c r="BK65" i="23"/>
  <c r="BF65" i="23"/>
  <c r="V65" i="23"/>
  <c r="BP65" i="23"/>
  <c r="BQ65" i="23" s="1"/>
  <c r="Z65" i="23"/>
  <c r="S65" i="23"/>
  <c r="CB65" i="23"/>
  <c r="BM65" i="23"/>
  <c r="AQ65" i="23"/>
  <c r="AP65" i="23"/>
  <c r="AO65" i="23"/>
  <c r="BN65" i="23"/>
  <c r="AS65" i="23"/>
  <c r="BJ65" i="23"/>
  <c r="AY65" i="23"/>
  <c r="T9" i="23"/>
  <c r="BL9" i="23"/>
  <c r="AV9" i="23"/>
  <c r="U9" i="23"/>
  <c r="AW9" i="23"/>
  <c r="AE9" i="23"/>
  <c r="Y63" i="23"/>
  <c r="BS63" i="23"/>
  <c r="BI50" i="23"/>
  <c r="BU14" i="23"/>
  <c r="BT14" i="23"/>
  <c r="BI15" i="23"/>
  <c r="AT78" i="23"/>
  <c r="C78" i="23"/>
  <c r="X78" i="23"/>
  <c r="W78" i="23"/>
  <c r="B78" i="23"/>
  <c r="BO78" i="23" s="1"/>
  <c r="BZ3" i="23"/>
  <c r="BY3" i="23"/>
  <c r="CA3" i="23"/>
  <c r="BO129" i="23" l="1"/>
  <c r="F304" i="23"/>
  <c r="AU91" i="23"/>
  <c r="B1" i="39"/>
  <c r="C11" i="39" s="1"/>
  <c r="C14" i="36" s="1"/>
  <c r="B68" i="10" s="1"/>
  <c r="BO26" i="23"/>
  <c r="AU108" i="23"/>
  <c r="BO132" i="23"/>
  <c r="BO140" i="23"/>
  <c r="BH47" i="23"/>
  <c r="BO71" i="23"/>
  <c r="BO55" i="23"/>
  <c r="AU10" i="23"/>
  <c r="AU38" i="23"/>
  <c r="BO120" i="23"/>
  <c r="BO36" i="23"/>
  <c r="AU35" i="23"/>
  <c r="BH146" i="23"/>
  <c r="AU95" i="23"/>
  <c r="BO64" i="23"/>
  <c r="AU39" i="23"/>
  <c r="AU93" i="23"/>
  <c r="BO56" i="23"/>
  <c r="BO128" i="23"/>
  <c r="AU77" i="23"/>
  <c r="BO73" i="23"/>
  <c r="AU68" i="23"/>
  <c r="AU117" i="23"/>
  <c r="AU71" i="23"/>
  <c r="BO24" i="23"/>
  <c r="AU52" i="23"/>
  <c r="BO12" i="23"/>
  <c r="AU17" i="23"/>
  <c r="BO139" i="23"/>
  <c r="BO16" i="23"/>
  <c r="AU126" i="23"/>
  <c r="BO40" i="23"/>
  <c r="AU48" i="23"/>
  <c r="BO60" i="23"/>
  <c r="AU7" i="23"/>
  <c r="AU97" i="23"/>
  <c r="AU59" i="23"/>
  <c r="BO108" i="23"/>
  <c r="BO4" i="23"/>
  <c r="BO81" i="23"/>
  <c r="BH94" i="23"/>
  <c r="AU149" i="23"/>
  <c r="BO121" i="23"/>
  <c r="AU104" i="23"/>
  <c r="BH39" i="23"/>
  <c r="BI4" i="23"/>
  <c r="AU89" i="23"/>
  <c r="BO69" i="23"/>
  <c r="AU78" i="23"/>
  <c r="BH143" i="23"/>
  <c r="AU142" i="23"/>
  <c r="AY4" i="23"/>
  <c r="B102" i="16" s="1"/>
  <c r="BO145" i="23"/>
  <c r="BO103" i="23"/>
  <c r="AU13" i="23"/>
  <c r="BH14" i="23"/>
  <c r="AU5" i="23"/>
  <c r="Z4" i="23"/>
  <c r="B28" i="16" s="1"/>
  <c r="BO59" i="23"/>
  <c r="BO10" i="23"/>
  <c r="BN3" i="23"/>
  <c r="D77" i="23"/>
  <c r="BH57" i="23"/>
  <c r="BH61" i="23"/>
  <c r="AU45" i="23"/>
  <c r="AP3" i="23"/>
  <c r="AP152" i="23" s="1"/>
  <c r="F5" i="26" s="1"/>
  <c r="E5" i="26" s="1"/>
  <c r="C5" i="26" s="1"/>
  <c r="AU49" i="23"/>
  <c r="AU8" i="23"/>
  <c r="AU80" i="23"/>
  <c r="BH19" i="23"/>
  <c r="AU131" i="23"/>
  <c r="D126" i="23"/>
  <c r="AU61" i="23"/>
  <c r="AU92" i="23"/>
  <c r="BO77" i="23"/>
  <c r="AU101" i="23"/>
  <c r="AU32" i="23"/>
  <c r="BH30" i="23"/>
  <c r="BH126" i="23"/>
  <c r="BO65" i="23"/>
  <c r="AU87" i="23"/>
  <c r="BH122" i="23"/>
  <c r="AU140" i="23"/>
  <c r="BO29" i="23"/>
  <c r="AU40" i="23"/>
  <c r="BH7" i="23"/>
  <c r="AU44" i="23"/>
  <c r="BO52" i="23"/>
  <c r="BH41" i="23"/>
  <c r="D59" i="23"/>
  <c r="BO114" i="23"/>
  <c r="BO147" i="23"/>
  <c r="BH123" i="23"/>
  <c r="AU23" i="23"/>
  <c r="BO42" i="23"/>
  <c r="BH5" i="23"/>
  <c r="BO101" i="23"/>
  <c r="BM3" i="23"/>
  <c r="BH25" i="23"/>
  <c r="BH148" i="23"/>
  <c r="AU115" i="23"/>
  <c r="AU82" i="23"/>
  <c r="BO91" i="23"/>
  <c r="BO74" i="23"/>
  <c r="BJ3" i="23"/>
  <c r="S3" i="23"/>
  <c r="V3" i="23" s="1"/>
  <c r="BH124" i="23"/>
  <c r="BK2" i="23"/>
  <c r="AU109" i="23"/>
  <c r="BO68" i="23"/>
  <c r="BH44" i="23"/>
  <c r="AU69" i="23"/>
  <c r="AZ2" i="23"/>
  <c r="BC2" i="23" s="1"/>
  <c r="AU112" i="23"/>
  <c r="D71" i="23"/>
  <c r="AU143" i="23"/>
  <c r="AU55" i="23"/>
  <c r="AU65" i="23"/>
  <c r="BO54" i="23"/>
  <c r="BO6" i="23"/>
  <c r="AU34" i="23"/>
  <c r="BH96" i="23"/>
  <c r="D7" i="23"/>
  <c r="BH135" i="23"/>
  <c r="AU24" i="23"/>
  <c r="BH35" i="23"/>
  <c r="BO136" i="23"/>
  <c r="S2" i="23"/>
  <c r="V2" i="23" s="1"/>
  <c r="AU9" i="23"/>
  <c r="AU60" i="23"/>
  <c r="D91" i="23"/>
  <c r="BO102" i="23"/>
  <c r="BO66" i="23"/>
  <c r="BO33" i="23"/>
  <c r="AU16" i="23"/>
  <c r="BH50" i="23"/>
  <c r="BH104" i="23"/>
  <c r="BH63" i="23"/>
  <c r="BH48" i="23"/>
  <c r="BH72" i="23"/>
  <c r="BO70" i="23"/>
  <c r="BH84" i="23"/>
  <c r="D68" i="23"/>
  <c r="AU94" i="23"/>
  <c r="BO138" i="23"/>
  <c r="AU58" i="23"/>
  <c r="BO89" i="23"/>
  <c r="D115" i="23"/>
  <c r="BO111" i="23"/>
  <c r="BO130" i="23"/>
  <c r="BH15" i="23"/>
  <c r="BO93" i="23"/>
  <c r="BO27" i="23"/>
  <c r="BH125" i="23"/>
  <c r="AU114" i="23"/>
  <c r="AU137" i="23"/>
  <c r="AU51" i="23"/>
  <c r="AU88" i="23"/>
  <c r="D149" i="23"/>
  <c r="BO53" i="23"/>
  <c r="AU100" i="23"/>
  <c r="D108" i="23"/>
  <c r="AU138" i="23"/>
  <c r="AU107" i="23"/>
  <c r="D138" i="23"/>
  <c r="BO31" i="23"/>
  <c r="AU64" i="23"/>
  <c r="BH133" i="23"/>
  <c r="BH62" i="23"/>
  <c r="BH113" i="23"/>
  <c r="B163" i="16"/>
  <c r="C21" i="9" s="1"/>
  <c r="E21" i="9" s="1"/>
  <c r="AU79" i="23"/>
  <c r="AU106" i="23"/>
  <c r="AU42" i="23"/>
  <c r="AU18" i="23"/>
  <c r="BO18" i="23"/>
  <c r="AU25" i="23"/>
  <c r="BH22" i="23"/>
  <c r="BH2" i="23"/>
  <c r="BH28" i="23"/>
  <c r="AU4" i="23"/>
  <c r="AW4" i="23" s="1"/>
  <c r="BH99" i="23"/>
  <c r="D104" i="23"/>
  <c r="BO85" i="23"/>
  <c r="AU26" i="23"/>
  <c r="BO141" i="23"/>
  <c r="CB2" i="23"/>
  <c r="BH34" i="23"/>
  <c r="D117" i="23"/>
  <c r="BW85" i="23"/>
  <c r="BX85" i="23"/>
  <c r="AH85" i="23"/>
  <c r="AG85" i="23"/>
  <c r="AF85" i="23"/>
  <c r="AU105" i="23"/>
  <c r="BH38" i="23"/>
  <c r="BC21" i="23"/>
  <c r="BA21" i="23"/>
  <c r="AU70" i="23"/>
  <c r="BX113" i="23"/>
  <c r="BW113" i="23"/>
  <c r="AG113" i="23"/>
  <c r="AH113" i="23"/>
  <c r="AF113" i="23"/>
  <c r="BO32" i="23"/>
  <c r="BJ4" i="23"/>
  <c r="BX90" i="23"/>
  <c r="BW90" i="23"/>
  <c r="AH90" i="23"/>
  <c r="AG90" i="23"/>
  <c r="AF90" i="23"/>
  <c r="AH127" i="23"/>
  <c r="AG127" i="23"/>
  <c r="BX127" i="23"/>
  <c r="BW127" i="23"/>
  <c r="AF127" i="23"/>
  <c r="BX65" i="23"/>
  <c r="AH65" i="23"/>
  <c r="BW65" i="23"/>
  <c r="AG65" i="23"/>
  <c r="AF65" i="23"/>
  <c r="BX61" i="23"/>
  <c r="AF61" i="23"/>
  <c r="BW61" i="23"/>
  <c r="AH61" i="23"/>
  <c r="AG61" i="23"/>
  <c r="AJ152" i="23"/>
  <c r="B19" i="24" s="1"/>
  <c r="AH76" i="23"/>
  <c r="AF76" i="23"/>
  <c r="AG76" i="23"/>
  <c r="BX76" i="23"/>
  <c r="BW76" i="23"/>
  <c r="B138" i="16"/>
  <c r="B136" i="16"/>
  <c r="B7" i="39" s="1"/>
  <c r="C12" i="36" s="1"/>
  <c r="B135" i="16"/>
  <c r="C135" i="16" s="1"/>
  <c r="BO21" i="23"/>
  <c r="AF98" i="23"/>
  <c r="BX98" i="23"/>
  <c r="AG98" i="23"/>
  <c r="BW98" i="23"/>
  <c r="AH98" i="23"/>
  <c r="BF3" i="23"/>
  <c r="AU83" i="23"/>
  <c r="AH11" i="23"/>
  <c r="AG11" i="23"/>
  <c r="AF11" i="23"/>
  <c r="BE11" i="23"/>
  <c r="BX11" i="23"/>
  <c r="BW11" i="23"/>
  <c r="BX68" i="23"/>
  <c r="BW68" i="23"/>
  <c r="AH68" i="23"/>
  <c r="AG68" i="23"/>
  <c r="AF68" i="23"/>
  <c r="AG124" i="23"/>
  <c r="AF124" i="23"/>
  <c r="AH124" i="23"/>
  <c r="BW124" i="23"/>
  <c r="BX124" i="23"/>
  <c r="BO116" i="23"/>
  <c r="BC9" i="23"/>
  <c r="BA9" i="23"/>
  <c r="D69" i="23"/>
  <c r="BH127" i="23"/>
  <c r="AG111" i="23"/>
  <c r="BW111" i="23"/>
  <c r="BX111" i="23"/>
  <c r="AH111" i="23"/>
  <c r="AF111" i="23"/>
  <c r="AU84" i="23"/>
  <c r="BH83" i="23"/>
  <c r="BX17" i="23"/>
  <c r="BW17" i="23"/>
  <c r="AH17" i="23"/>
  <c r="BE17" i="23"/>
  <c r="AG17" i="23"/>
  <c r="AF17" i="23"/>
  <c r="BW34" i="23"/>
  <c r="BE34" i="23"/>
  <c r="BX34" i="23"/>
  <c r="AF34" i="23"/>
  <c r="AG34" i="23"/>
  <c r="AH78" i="23"/>
  <c r="AG78" i="23"/>
  <c r="AF78" i="23"/>
  <c r="BX78" i="23"/>
  <c r="BW78" i="23"/>
  <c r="AF33" i="23"/>
  <c r="AG33" i="23"/>
  <c r="BX33" i="23"/>
  <c r="BW33" i="23"/>
  <c r="BE33" i="23"/>
  <c r="BC4" i="23"/>
  <c r="BA4" i="23"/>
  <c r="BH51" i="23"/>
  <c r="S4" i="23"/>
  <c r="V4" i="23" s="1"/>
  <c r="AU81" i="23"/>
  <c r="BW9" i="23"/>
  <c r="BX9" i="23"/>
  <c r="AG9" i="23"/>
  <c r="AF9" i="23"/>
  <c r="BE9" i="23"/>
  <c r="AH9" i="23"/>
  <c r="BC38" i="23"/>
  <c r="BA38" i="23"/>
  <c r="AU86" i="23"/>
  <c r="B22" i="16"/>
  <c r="B24" i="16" s="1"/>
  <c r="B38" i="16" s="1"/>
  <c r="D82" i="23"/>
  <c r="AI152" i="23"/>
  <c r="BO131" i="23"/>
  <c r="BW52" i="23"/>
  <c r="AH52" i="23"/>
  <c r="AG52" i="23"/>
  <c r="AF52" i="23"/>
  <c r="BX52" i="23"/>
  <c r="AK152" i="23"/>
  <c r="B22" i="24" s="1"/>
  <c r="BX23" i="23"/>
  <c r="AF23" i="23"/>
  <c r="BE23" i="23"/>
  <c r="BW23" i="23"/>
  <c r="AG23" i="23"/>
  <c r="AH23" i="23"/>
  <c r="BW106" i="23"/>
  <c r="AF106" i="23"/>
  <c r="AH106" i="23"/>
  <c r="AG106" i="23"/>
  <c r="BX106" i="23"/>
  <c r="AG88" i="23"/>
  <c r="AF88" i="23"/>
  <c r="BW88" i="23"/>
  <c r="BX88" i="23"/>
  <c r="AH88" i="23"/>
  <c r="BE48" i="23"/>
  <c r="AG48" i="23"/>
  <c r="BX48" i="23"/>
  <c r="BW48" i="23"/>
  <c r="AH48" i="23"/>
  <c r="AF48" i="23"/>
  <c r="B7" i="40"/>
  <c r="B10" i="40"/>
  <c r="AU63" i="23"/>
  <c r="BH115" i="23"/>
  <c r="AU122" i="23"/>
  <c r="BX55" i="23"/>
  <c r="BW55" i="23"/>
  <c r="AH55" i="23"/>
  <c r="AG55" i="23"/>
  <c r="AF55" i="23"/>
  <c r="AG104" i="23"/>
  <c r="BX104" i="23"/>
  <c r="BW104" i="23"/>
  <c r="AH104" i="23"/>
  <c r="AF104" i="23"/>
  <c r="AH58" i="23"/>
  <c r="AF58" i="23"/>
  <c r="AG58" i="23"/>
  <c r="BX58" i="23"/>
  <c r="BW58" i="23"/>
  <c r="BE20" i="23"/>
  <c r="AH20" i="23"/>
  <c r="AG20" i="23"/>
  <c r="AF20" i="23"/>
  <c r="BX20" i="23"/>
  <c r="BW20" i="23"/>
  <c r="BX64" i="23"/>
  <c r="BW64" i="23"/>
  <c r="AH64" i="23"/>
  <c r="AG64" i="23"/>
  <c r="AF64" i="23"/>
  <c r="D55" i="23"/>
  <c r="AU150" i="23"/>
  <c r="BH58" i="23"/>
  <c r="BH67" i="23"/>
  <c r="AF92" i="23"/>
  <c r="BX92" i="23"/>
  <c r="AG92" i="23"/>
  <c r="AH92" i="23"/>
  <c r="BW92" i="23"/>
  <c r="BX63" i="23"/>
  <c r="BW63" i="23"/>
  <c r="AH63" i="23"/>
  <c r="AG63" i="23"/>
  <c r="AF63" i="23"/>
  <c r="AF86" i="23"/>
  <c r="BW86" i="23"/>
  <c r="AH86" i="23"/>
  <c r="AG86" i="23"/>
  <c r="BX86" i="23"/>
  <c r="D116" i="23"/>
  <c r="D4" i="23"/>
  <c r="CB4" i="23" s="1"/>
  <c r="D109" i="23"/>
  <c r="D5" i="23"/>
  <c r="AF118" i="23"/>
  <c r="AH118" i="23"/>
  <c r="BW118" i="23"/>
  <c r="BX118" i="23"/>
  <c r="AG118" i="23"/>
  <c r="B5" i="40"/>
  <c r="AU36" i="23"/>
  <c r="AM152" i="23"/>
  <c r="AF128" i="23"/>
  <c r="AH128" i="23"/>
  <c r="BX128" i="23"/>
  <c r="BW128" i="23"/>
  <c r="AG128" i="23"/>
  <c r="BA33" i="23"/>
  <c r="BC33" i="23"/>
  <c r="BH37" i="23"/>
  <c r="BO75" i="23"/>
  <c r="BW137" i="23"/>
  <c r="AH137" i="23"/>
  <c r="BX137" i="23"/>
  <c r="AG137" i="23"/>
  <c r="AF137" i="23"/>
  <c r="D87" i="23"/>
  <c r="AF83" i="23"/>
  <c r="AG83" i="23"/>
  <c r="AH83" i="23"/>
  <c r="BX83" i="23"/>
  <c r="BW83" i="23"/>
  <c r="BH92" i="23"/>
  <c r="B32" i="39"/>
  <c r="B34" i="39" s="1"/>
  <c r="D15" i="36" s="1"/>
  <c r="B2" i="39"/>
  <c r="AU120" i="23"/>
  <c r="D120" i="23"/>
  <c r="BA43" i="23"/>
  <c r="BC43" i="23"/>
  <c r="AH145" i="23"/>
  <c r="AF145" i="23"/>
  <c r="AG145" i="23"/>
  <c r="BW145" i="23"/>
  <c r="BX145" i="23"/>
  <c r="D38" i="23"/>
  <c r="BC13" i="23"/>
  <c r="BA13" i="23"/>
  <c r="AU119" i="23"/>
  <c r="BW132" i="23"/>
  <c r="AH132" i="23"/>
  <c r="AG132" i="23"/>
  <c r="AF132" i="23"/>
  <c r="BX132" i="23"/>
  <c r="BW129" i="23"/>
  <c r="AF129" i="23"/>
  <c r="BX129" i="23"/>
  <c r="AG129" i="23"/>
  <c r="AH129" i="23"/>
  <c r="BC8" i="23"/>
  <c r="BA8" i="23"/>
  <c r="BC45" i="23"/>
  <c r="BA45" i="23"/>
  <c r="AU127" i="23"/>
  <c r="AU21" i="23"/>
  <c r="BX24" i="23"/>
  <c r="BW24" i="23"/>
  <c r="AG24" i="23"/>
  <c r="AF24" i="23"/>
  <c r="BE24" i="23"/>
  <c r="AH24" i="23"/>
  <c r="BW138" i="23"/>
  <c r="BX138" i="23"/>
  <c r="AF138" i="23"/>
  <c r="AH138" i="23"/>
  <c r="AG138" i="23"/>
  <c r="BC6" i="23"/>
  <c r="BA6" i="23"/>
  <c r="BX66" i="23"/>
  <c r="BW66" i="23"/>
  <c r="AG66" i="23"/>
  <c r="AH66" i="23"/>
  <c r="AF66" i="23"/>
  <c r="AU12" i="23"/>
  <c r="D12" i="23"/>
  <c r="AF29" i="23"/>
  <c r="BX29" i="23"/>
  <c r="BW29" i="23"/>
  <c r="AH29" i="23"/>
  <c r="BE29" i="23"/>
  <c r="AG29" i="23"/>
  <c r="AU136" i="23"/>
  <c r="BC7" i="23"/>
  <c r="BA7" i="23"/>
  <c r="D54" i="23"/>
  <c r="AU67" i="23"/>
  <c r="D81" i="23"/>
  <c r="B3" i="39"/>
  <c r="BW69" i="23"/>
  <c r="AH69" i="23"/>
  <c r="AG69" i="23"/>
  <c r="AF69" i="23"/>
  <c r="BX69" i="23"/>
  <c r="AU6" i="23"/>
  <c r="BA40" i="23"/>
  <c r="BC40" i="23"/>
  <c r="BX142" i="23"/>
  <c r="AH142" i="23"/>
  <c r="AF142" i="23"/>
  <c r="AG142" i="23"/>
  <c r="BW142" i="23"/>
  <c r="BW31" i="23"/>
  <c r="BX31" i="23"/>
  <c r="AG31" i="23"/>
  <c r="BE31" i="23"/>
  <c r="AF31" i="23"/>
  <c r="BH82" i="23"/>
  <c r="D13" i="23"/>
  <c r="BX3" i="23"/>
  <c r="BW3" i="23"/>
  <c r="AF3" i="23"/>
  <c r="AH3" i="23"/>
  <c r="AG3" i="23"/>
  <c r="BE3" i="23"/>
  <c r="BC27" i="23"/>
  <c r="BA27" i="23"/>
  <c r="AF146" i="23"/>
  <c r="AH146" i="23"/>
  <c r="AG146" i="23"/>
  <c r="BW146" i="23"/>
  <c r="BX146" i="23"/>
  <c r="BX16" i="23"/>
  <c r="AH16" i="23"/>
  <c r="BE16" i="23"/>
  <c r="BW16" i="23"/>
  <c r="AG16" i="23"/>
  <c r="AF16" i="23"/>
  <c r="AG95" i="23"/>
  <c r="AH95" i="23"/>
  <c r="AF95" i="23"/>
  <c r="BX95" i="23"/>
  <c r="BW95" i="23"/>
  <c r="D142" i="23"/>
  <c r="C22" i="16"/>
  <c r="C24" i="16" s="1"/>
  <c r="B39" i="16" s="1"/>
  <c r="B17" i="24" s="1"/>
  <c r="AU139" i="23"/>
  <c r="D78" i="23"/>
  <c r="BE13" i="23"/>
  <c r="AH13" i="23"/>
  <c r="BX13" i="23"/>
  <c r="BW13" i="23"/>
  <c r="AG13" i="23"/>
  <c r="AF13" i="23"/>
  <c r="BH78" i="23"/>
  <c r="D136" i="23"/>
  <c r="BC47" i="23"/>
  <c r="BA47" i="23"/>
  <c r="AU3" i="23"/>
  <c r="AH116" i="23"/>
  <c r="BX116" i="23"/>
  <c r="AG116" i="23"/>
  <c r="AF116" i="23"/>
  <c r="BW116" i="23"/>
  <c r="BE37" i="23"/>
  <c r="BX37" i="23"/>
  <c r="BW37" i="23"/>
  <c r="AH37" i="23"/>
  <c r="AG37" i="23"/>
  <c r="AF37" i="23"/>
  <c r="AF84" i="23"/>
  <c r="BX84" i="23"/>
  <c r="BW84" i="23"/>
  <c r="AG84" i="23"/>
  <c r="AH84" i="23"/>
  <c r="BC29" i="23"/>
  <c r="BA29" i="23"/>
  <c r="AG102" i="23"/>
  <c r="AF102" i="23"/>
  <c r="BX102" i="23"/>
  <c r="BW102" i="23"/>
  <c r="AH102" i="23"/>
  <c r="BC23" i="23"/>
  <c r="BA23" i="23"/>
  <c r="AG87" i="23"/>
  <c r="AF87" i="23"/>
  <c r="BX87" i="23"/>
  <c r="BW87" i="23"/>
  <c r="AH87" i="23"/>
  <c r="BX10" i="23"/>
  <c r="BW10" i="23"/>
  <c r="BE10" i="23"/>
  <c r="AH10" i="23"/>
  <c r="AG10" i="23"/>
  <c r="AF10" i="23"/>
  <c r="BE41" i="23"/>
  <c r="BX41" i="23"/>
  <c r="AH41" i="23"/>
  <c r="AG41" i="23"/>
  <c r="AF41" i="23"/>
  <c r="BW41" i="23"/>
  <c r="AU43" i="23"/>
  <c r="BA25" i="23"/>
  <c r="BC25" i="23"/>
  <c r="BO49" i="23"/>
  <c r="BO76" i="23"/>
  <c r="BC34" i="23"/>
  <c r="BA34" i="23"/>
  <c r="D119" i="23"/>
  <c r="BC32" i="23"/>
  <c r="BA32" i="23"/>
  <c r="AH39" i="23"/>
  <c r="BX39" i="23"/>
  <c r="AG39" i="23"/>
  <c r="BE39" i="23"/>
  <c r="BW39" i="23"/>
  <c r="AF39" i="23"/>
  <c r="D107" i="23"/>
  <c r="AU96" i="23"/>
  <c r="AU72" i="23"/>
  <c r="D89" i="23"/>
  <c r="BC36" i="23"/>
  <c r="BA36" i="23"/>
  <c r="CC152" i="23"/>
  <c r="B135" i="10" s="1"/>
  <c r="AG81" i="23"/>
  <c r="AF81" i="23"/>
  <c r="BX81" i="23"/>
  <c r="AH81" i="23"/>
  <c r="BW81" i="23"/>
  <c r="BH107" i="23"/>
  <c r="BX148" i="23"/>
  <c r="AH148" i="23"/>
  <c r="BW148" i="23"/>
  <c r="AG148" i="23"/>
  <c r="AF148" i="23"/>
  <c r="BO80" i="23"/>
  <c r="AU99" i="23"/>
  <c r="AH109" i="23"/>
  <c r="BX109" i="23"/>
  <c r="AF109" i="23"/>
  <c r="BW109" i="23"/>
  <c r="AG109" i="23"/>
  <c r="BO43" i="23"/>
  <c r="AG46" i="23"/>
  <c r="BW46" i="23"/>
  <c r="BE46" i="23"/>
  <c r="AH46" i="23"/>
  <c r="AF46" i="23"/>
  <c r="BX46" i="23"/>
  <c r="AU53" i="23"/>
  <c r="BH119" i="23"/>
  <c r="AU62" i="23"/>
  <c r="AU20" i="23"/>
  <c r="AH93" i="23"/>
  <c r="AG93" i="23"/>
  <c r="BW93" i="23"/>
  <c r="BX93" i="23"/>
  <c r="AF93" i="23"/>
  <c r="D67" i="23"/>
  <c r="D48" i="23"/>
  <c r="BH86" i="23"/>
  <c r="D10" i="23"/>
  <c r="AU121" i="23"/>
  <c r="AF44" i="23"/>
  <c r="AH44" i="23"/>
  <c r="AG44" i="23"/>
  <c r="BX44" i="23"/>
  <c r="BW44" i="23"/>
  <c r="BE44" i="23"/>
  <c r="BC41" i="23"/>
  <c r="BA41" i="23"/>
  <c r="AH19" i="23"/>
  <c r="AG19" i="23"/>
  <c r="AF19" i="23"/>
  <c r="BX19" i="23"/>
  <c r="BE19" i="23"/>
  <c r="BW19" i="23"/>
  <c r="BO110" i="23"/>
  <c r="AU57" i="23"/>
  <c r="BX117" i="23"/>
  <c r="BW117" i="23"/>
  <c r="AH117" i="23"/>
  <c r="AG117" i="23"/>
  <c r="AF117" i="23"/>
  <c r="AU90" i="23"/>
  <c r="BX74" i="23"/>
  <c r="BW74" i="23"/>
  <c r="AG74" i="23"/>
  <c r="AF74" i="23"/>
  <c r="AH74" i="23"/>
  <c r="BC22" i="23"/>
  <c r="BA22" i="23"/>
  <c r="BC12" i="23"/>
  <c r="BA12" i="23"/>
  <c r="BA18" i="23"/>
  <c r="BC18" i="23"/>
  <c r="AU146" i="23"/>
  <c r="BO100" i="23"/>
  <c r="D58" i="23"/>
  <c r="BC28" i="23"/>
  <c r="BA28" i="23"/>
  <c r="BO106" i="23"/>
  <c r="BA39" i="23"/>
  <c r="BC39" i="23"/>
  <c r="AH72" i="23"/>
  <c r="AG72" i="23"/>
  <c r="BX72" i="23"/>
  <c r="BW72" i="23"/>
  <c r="AF72" i="23"/>
  <c r="BW121" i="23"/>
  <c r="AF121" i="23"/>
  <c r="AG121" i="23"/>
  <c r="BX121" i="23"/>
  <c r="AH121" i="23"/>
  <c r="BC20" i="23"/>
  <c r="BA20" i="23"/>
  <c r="AG112" i="23"/>
  <c r="AF112" i="23"/>
  <c r="BX112" i="23"/>
  <c r="BW112" i="23"/>
  <c r="AH112" i="23"/>
  <c r="BX71" i="23"/>
  <c r="BW71" i="23"/>
  <c r="AH71" i="23"/>
  <c r="AG71" i="23"/>
  <c r="AF71" i="23"/>
  <c r="BW96" i="23"/>
  <c r="BX96" i="23"/>
  <c r="AF96" i="23"/>
  <c r="AH96" i="23"/>
  <c r="AG96" i="23"/>
  <c r="AF40" i="23"/>
  <c r="BE40" i="23"/>
  <c r="BX40" i="23"/>
  <c r="AG40" i="23"/>
  <c r="AH40" i="23"/>
  <c r="BW40" i="23"/>
  <c r="AU102" i="23"/>
  <c r="D92" i="23"/>
  <c r="BC16" i="23"/>
  <c r="BA16" i="23"/>
  <c r="AH80" i="23"/>
  <c r="BX80" i="23"/>
  <c r="BW80" i="23"/>
  <c r="AG80" i="23"/>
  <c r="AF80" i="23"/>
  <c r="BH90" i="23"/>
  <c r="AU41" i="23"/>
  <c r="AU66" i="23"/>
  <c r="AU47" i="23"/>
  <c r="D80" i="23"/>
  <c r="BO150" i="23"/>
  <c r="AU110" i="23"/>
  <c r="AU125" i="23"/>
  <c r="AU50" i="23"/>
  <c r="AQ152" i="23"/>
  <c r="B11" i="24" s="1"/>
  <c r="BW91" i="23"/>
  <c r="AH91" i="23"/>
  <c r="AG91" i="23"/>
  <c r="AF91" i="23"/>
  <c r="BX91" i="23"/>
  <c r="BX150" i="23"/>
  <c r="BW150" i="23"/>
  <c r="AF150" i="23"/>
  <c r="AG150" i="23"/>
  <c r="AH150" i="23"/>
  <c r="BH117" i="23"/>
  <c r="BA48" i="23"/>
  <c r="BC48" i="23"/>
  <c r="D35" i="23"/>
  <c r="BW22" i="23"/>
  <c r="BE22" i="23"/>
  <c r="BX22" i="23"/>
  <c r="AH22" i="23"/>
  <c r="AG22" i="23"/>
  <c r="AF22" i="23"/>
  <c r="AU33" i="23"/>
  <c r="AU73" i="23"/>
  <c r="D23" i="23"/>
  <c r="BO109" i="23"/>
  <c r="BH112" i="23"/>
  <c r="BX114" i="23"/>
  <c r="BW114" i="23"/>
  <c r="AH114" i="23"/>
  <c r="AG114" i="23"/>
  <c r="AF114" i="23"/>
  <c r="D100" i="23"/>
  <c r="BW59" i="23"/>
  <c r="AF59" i="23"/>
  <c r="AG59" i="23"/>
  <c r="AH59" i="23"/>
  <c r="BX59" i="23"/>
  <c r="BH8" i="23"/>
  <c r="BO97" i="23"/>
  <c r="BX77" i="23"/>
  <c r="AH77" i="23"/>
  <c r="AG77" i="23"/>
  <c r="BW77" i="23"/>
  <c r="AF77" i="23"/>
  <c r="AH30" i="23"/>
  <c r="AG30" i="23"/>
  <c r="AF30" i="23"/>
  <c r="BW30" i="23"/>
  <c r="BX30" i="23"/>
  <c r="BE30" i="23"/>
  <c r="D44" i="23"/>
  <c r="AU27" i="23"/>
  <c r="AU148" i="23"/>
  <c r="AU15" i="23"/>
  <c r="AU28" i="23"/>
  <c r="BE4" i="23"/>
  <c r="BX4" i="23"/>
  <c r="BW4" i="23"/>
  <c r="AG4" i="23"/>
  <c r="AH4" i="23"/>
  <c r="AF4" i="23"/>
  <c r="AF122" i="23"/>
  <c r="AG122" i="23"/>
  <c r="BX122" i="23"/>
  <c r="BW122" i="23"/>
  <c r="AH122" i="23"/>
  <c r="BH87" i="23"/>
  <c r="D18" i="23"/>
  <c r="CB3" i="23"/>
  <c r="BH105" i="23"/>
  <c r="AG103" i="23"/>
  <c r="BX103" i="23"/>
  <c r="BW103" i="23"/>
  <c r="AH103" i="23"/>
  <c r="AF103" i="23"/>
  <c r="BO46" i="23"/>
  <c r="BO144" i="23"/>
  <c r="D16" i="23"/>
  <c r="BA3" i="23"/>
  <c r="BC3" i="23"/>
  <c r="D17" i="23"/>
  <c r="BX15" i="23"/>
  <c r="BW15" i="23"/>
  <c r="AG15" i="23"/>
  <c r="BE15" i="23"/>
  <c r="AF15" i="23"/>
  <c r="AH15" i="23"/>
  <c r="D60" i="23"/>
  <c r="D127" i="23"/>
  <c r="BC44" i="23"/>
  <c r="BA44" i="23"/>
  <c r="AF97" i="23"/>
  <c r="BX97" i="23"/>
  <c r="AH97" i="23"/>
  <c r="AG97" i="23"/>
  <c r="BW97" i="23"/>
  <c r="BC46" i="23"/>
  <c r="BA46" i="23"/>
  <c r="AF131" i="23"/>
  <c r="BX131" i="23"/>
  <c r="AG131" i="23"/>
  <c r="BW131" i="23"/>
  <c r="AH131" i="23"/>
  <c r="AG149" i="23"/>
  <c r="BX149" i="23"/>
  <c r="BW149" i="23"/>
  <c r="AH149" i="23"/>
  <c r="AF149" i="23"/>
  <c r="B129" i="10"/>
  <c r="F129" i="10" s="1"/>
  <c r="B125" i="10"/>
  <c r="AU2" i="23"/>
  <c r="D8" i="23"/>
  <c r="AU147" i="23"/>
  <c r="AH100" i="23"/>
  <c r="BW100" i="23"/>
  <c r="AF100" i="23"/>
  <c r="BX100" i="23"/>
  <c r="AG100" i="23"/>
  <c r="BC50" i="23"/>
  <c r="BA50" i="23"/>
  <c r="AF107" i="23"/>
  <c r="AH107" i="23"/>
  <c r="BX107" i="23"/>
  <c r="AG107" i="23"/>
  <c r="BW107" i="23"/>
  <c r="AU56" i="23"/>
  <c r="AH94" i="23"/>
  <c r="BX94" i="23"/>
  <c r="AG94" i="23"/>
  <c r="BW94" i="23"/>
  <c r="AF94" i="23"/>
  <c r="AU124" i="23"/>
  <c r="AH26" i="23"/>
  <c r="AG26" i="23"/>
  <c r="BE26" i="23"/>
  <c r="AF26" i="23"/>
  <c r="BX26" i="23"/>
  <c r="BW26" i="23"/>
  <c r="D94" i="23"/>
  <c r="D93" i="23"/>
  <c r="AG67" i="23"/>
  <c r="AF67" i="23"/>
  <c r="BX67" i="23"/>
  <c r="BW67" i="23"/>
  <c r="AH67" i="23"/>
  <c r="AU113" i="23"/>
  <c r="BH137" i="23"/>
  <c r="BO45" i="23"/>
  <c r="BA35" i="23"/>
  <c r="BC35" i="23"/>
  <c r="BC11" i="23"/>
  <c r="BA11" i="23"/>
  <c r="AU14" i="23"/>
  <c r="BH11" i="23"/>
  <c r="BH9" i="23"/>
  <c r="D122" i="23"/>
  <c r="BH79" i="23"/>
  <c r="AG141" i="23"/>
  <c r="AF141" i="23"/>
  <c r="BX141" i="23"/>
  <c r="BW141" i="23"/>
  <c r="AH141" i="23"/>
  <c r="AU145" i="23"/>
  <c r="BO88" i="23"/>
  <c r="AU19" i="23"/>
  <c r="AU103" i="23"/>
  <c r="CD152" i="23"/>
  <c r="B94" i="10" s="1"/>
  <c r="F94" i="10" s="1"/>
  <c r="AU129" i="23"/>
  <c r="N3" i="5"/>
  <c r="N31" i="5" s="1"/>
  <c r="A4" i="19"/>
  <c r="B4" i="19"/>
  <c r="C4" i="19" s="1"/>
  <c r="BH13" i="23"/>
  <c r="Y4" i="23"/>
  <c r="B26" i="16" s="1"/>
  <c r="B27" i="16" s="1"/>
  <c r="AF38" i="23"/>
  <c r="BX38" i="23"/>
  <c r="AH38" i="23"/>
  <c r="AG38" i="23"/>
  <c r="BW38" i="23"/>
  <c r="BE38" i="23"/>
  <c r="D40" i="23"/>
  <c r="BA14" i="23"/>
  <c r="BC14" i="23"/>
  <c r="AH21" i="23"/>
  <c r="AG21" i="23"/>
  <c r="AF21" i="23"/>
  <c r="BE21" i="23"/>
  <c r="BW21" i="23"/>
  <c r="BX21" i="23"/>
  <c r="AU133" i="23"/>
  <c r="AG134" i="23"/>
  <c r="AF134" i="23"/>
  <c r="BX134" i="23"/>
  <c r="AH134" i="23"/>
  <c r="BW134" i="23"/>
  <c r="AU111" i="23"/>
  <c r="BC19" i="23"/>
  <c r="BA19" i="23"/>
  <c r="D131" i="23"/>
  <c r="D25" i="23"/>
  <c r="BC30" i="23"/>
  <c r="BA30" i="23"/>
  <c r="BE8" i="23"/>
  <c r="BX8" i="23"/>
  <c r="BW8" i="23"/>
  <c r="AH8" i="23"/>
  <c r="AG8" i="23"/>
  <c r="AF8" i="23"/>
  <c r="AU141" i="23"/>
  <c r="M3" i="5"/>
  <c r="M31" i="5" s="1"/>
  <c r="B3" i="19"/>
  <c r="C3" i="19" s="1"/>
  <c r="A3" i="19"/>
  <c r="BW139" i="23"/>
  <c r="AH139" i="23"/>
  <c r="AG139" i="23"/>
  <c r="AF139" i="23"/>
  <c r="BX139" i="23"/>
  <c r="D140" i="23"/>
  <c r="BX35" i="23"/>
  <c r="AH35" i="23"/>
  <c r="BW35" i="23"/>
  <c r="AG35" i="23"/>
  <c r="AF35" i="23"/>
  <c r="BE35" i="23"/>
  <c r="BO134" i="23"/>
  <c r="BW14" i="23"/>
  <c r="AF14" i="23"/>
  <c r="AH14" i="23"/>
  <c r="BX14" i="23"/>
  <c r="AG14" i="23"/>
  <c r="BE14" i="23"/>
  <c r="BH98" i="23"/>
  <c r="AH126" i="23"/>
  <c r="AG126" i="23"/>
  <c r="BX126" i="23"/>
  <c r="BW126" i="23"/>
  <c r="AF126" i="23"/>
  <c r="AU130" i="23"/>
  <c r="AU135" i="23"/>
  <c r="BX43" i="23"/>
  <c r="BE43" i="23"/>
  <c r="AF43" i="23"/>
  <c r="BW43" i="23"/>
  <c r="AH43" i="23"/>
  <c r="AG43" i="23"/>
  <c r="AU123" i="23"/>
  <c r="AU132" i="23"/>
  <c r="D53" i="23"/>
  <c r="AU74" i="23"/>
  <c r="AG136" i="23"/>
  <c r="AF136" i="23"/>
  <c r="BX136" i="23"/>
  <c r="BW136" i="23"/>
  <c r="AH136" i="23"/>
  <c r="BH95" i="23"/>
  <c r="B6" i="19"/>
  <c r="C6" i="19" s="1"/>
  <c r="A6" i="19"/>
  <c r="P3" i="5"/>
  <c r="P31" i="5" s="1"/>
  <c r="B138" i="10"/>
  <c r="B143" i="10"/>
  <c r="F143" i="10" s="1"/>
  <c r="BW99" i="23"/>
  <c r="AG99" i="23"/>
  <c r="AF99" i="23"/>
  <c r="BX99" i="23"/>
  <c r="AH99" i="23"/>
  <c r="BX108" i="23"/>
  <c r="AH108" i="23"/>
  <c r="AG108" i="23"/>
  <c r="AF108" i="23"/>
  <c r="BW108" i="23"/>
  <c r="BW115" i="23"/>
  <c r="AH115" i="23"/>
  <c r="AG115" i="23"/>
  <c r="AF115" i="23"/>
  <c r="BX115" i="23"/>
  <c r="AF120" i="23"/>
  <c r="AH120" i="23"/>
  <c r="BW120" i="23"/>
  <c r="BX120" i="23"/>
  <c r="AG120" i="23"/>
  <c r="BC49" i="23"/>
  <c r="BA49" i="23"/>
  <c r="C19" i="9"/>
  <c r="E19" i="9" s="1"/>
  <c r="B19" i="9"/>
  <c r="BW51" i="23"/>
  <c r="BX51" i="23"/>
  <c r="AH51" i="23"/>
  <c r="AG51" i="23"/>
  <c r="AF51" i="23"/>
  <c r="BX12" i="23"/>
  <c r="AF12" i="23"/>
  <c r="BW12" i="23"/>
  <c r="AH12" i="23"/>
  <c r="AG12" i="23"/>
  <c r="BE12" i="23"/>
  <c r="AU118" i="23"/>
  <c r="B57" i="24"/>
  <c r="B61" i="24" s="1"/>
  <c r="B145" i="10" s="1"/>
  <c r="F145" i="10" s="1"/>
  <c r="B49" i="24"/>
  <c r="B58" i="24"/>
  <c r="B71" i="24"/>
  <c r="AG101" i="23"/>
  <c r="AF101" i="23"/>
  <c r="AH101" i="23"/>
  <c r="BX101" i="23"/>
  <c r="BW101" i="23"/>
  <c r="BX133" i="23"/>
  <c r="BW133" i="23"/>
  <c r="AG133" i="23"/>
  <c r="AH133" i="23"/>
  <c r="AF133" i="23"/>
  <c r="BX147" i="23"/>
  <c r="BW147" i="23"/>
  <c r="AF147" i="23"/>
  <c r="AH147" i="23"/>
  <c r="AG147" i="23"/>
  <c r="BE32" i="23"/>
  <c r="AG32" i="23"/>
  <c r="AF32" i="23"/>
  <c r="BX32" i="23"/>
  <c r="BW32" i="23"/>
  <c r="AG56" i="23"/>
  <c r="BX56" i="23"/>
  <c r="BW56" i="23"/>
  <c r="AH56" i="23"/>
  <c r="AF56" i="23"/>
  <c r="BW27" i="23"/>
  <c r="BE27" i="23"/>
  <c r="AH27" i="23"/>
  <c r="AG27" i="23"/>
  <c r="AF27" i="23"/>
  <c r="BX27" i="23"/>
  <c r="BX119" i="23"/>
  <c r="AG119" i="23"/>
  <c r="BW119" i="23"/>
  <c r="AH119" i="23"/>
  <c r="AF119" i="23"/>
  <c r="BC24" i="23"/>
  <c r="BA24" i="23"/>
  <c r="BW54" i="23"/>
  <c r="AH54" i="23"/>
  <c r="AG54" i="23"/>
  <c r="BX54" i="23"/>
  <c r="AF54" i="23"/>
  <c r="BX42" i="23"/>
  <c r="BE42" i="23"/>
  <c r="AG42" i="23"/>
  <c r="BW42" i="23"/>
  <c r="AH42" i="23"/>
  <c r="AF42" i="23"/>
  <c r="AU75" i="23"/>
  <c r="BH4" i="23"/>
  <c r="AH143" i="23"/>
  <c r="AG143" i="23"/>
  <c r="BW143" i="23"/>
  <c r="BX143" i="23"/>
  <c r="AF143" i="23"/>
  <c r="BX18" i="23"/>
  <c r="BE18" i="23"/>
  <c r="BW18" i="23"/>
  <c r="AH18" i="23"/>
  <c r="AG18" i="23"/>
  <c r="AF18" i="23"/>
  <c r="D34" i="23"/>
  <c r="B18" i="10"/>
  <c r="F18" i="10" s="1"/>
  <c r="F19" i="10"/>
  <c r="AH75" i="23"/>
  <c r="AG75" i="23"/>
  <c r="AF75" i="23"/>
  <c r="BW75" i="23"/>
  <c r="BX75" i="23"/>
  <c r="AG123" i="23"/>
  <c r="AF123" i="23"/>
  <c r="BX123" i="23"/>
  <c r="AH123" i="23"/>
  <c r="BW123" i="23"/>
  <c r="BW60" i="23"/>
  <c r="AF60" i="23"/>
  <c r="AH60" i="23"/>
  <c r="AG60" i="23"/>
  <c r="BX60" i="23"/>
  <c r="AU128" i="23"/>
  <c r="AU134" i="23"/>
  <c r="BO17" i="23"/>
  <c r="C16" i="36"/>
  <c r="B56" i="10"/>
  <c r="F56" i="10" s="1"/>
  <c r="AE152" i="23"/>
  <c r="B15" i="12"/>
  <c r="BX2" i="23"/>
  <c r="BW2" i="23"/>
  <c r="B8" i="16"/>
  <c r="A2" i="27" s="1"/>
  <c r="B7" i="16"/>
  <c r="AG2" i="23"/>
  <c r="BE2" i="23"/>
  <c r="AF2" i="23"/>
  <c r="AU98" i="23"/>
  <c r="C7" i="36"/>
  <c r="D7" i="36" s="1"/>
  <c r="C15" i="11"/>
  <c r="B57" i="10" s="1"/>
  <c r="F57" i="10" s="1"/>
  <c r="BA37" i="23"/>
  <c r="BC37" i="23"/>
  <c r="BF4" i="23"/>
  <c r="BC15" i="23"/>
  <c r="BA15" i="23"/>
  <c r="BH149" i="23"/>
  <c r="X152" i="23"/>
  <c r="B10" i="24" s="1"/>
  <c r="AG82" i="23"/>
  <c r="BW82" i="23"/>
  <c r="BX82" i="23"/>
  <c r="AH82" i="23"/>
  <c r="AF82" i="23"/>
  <c r="AG89" i="23"/>
  <c r="AF89" i="23"/>
  <c r="AH89" i="23"/>
  <c r="BX89" i="23"/>
  <c r="BW89" i="23"/>
  <c r="BC31" i="23"/>
  <c r="BA31" i="23"/>
  <c r="D95" i="23"/>
  <c r="BH23" i="23"/>
  <c r="T2" i="23"/>
  <c r="T152" i="23" s="1"/>
  <c r="B147" i="10" s="1"/>
  <c r="B89" i="16"/>
  <c r="J2" i="34" s="1"/>
  <c r="BG2" i="23"/>
  <c r="B21" i="16"/>
  <c r="B107" i="16"/>
  <c r="BC5" i="23"/>
  <c r="BA5" i="23"/>
  <c r="D45" i="23"/>
  <c r="AU85" i="23"/>
  <c r="BH142" i="23"/>
  <c r="AG73" i="23"/>
  <c r="AF73" i="23"/>
  <c r="BX73" i="23"/>
  <c r="BW73" i="23"/>
  <c r="AH73" i="23"/>
  <c r="D112" i="23"/>
  <c r="AU37" i="23"/>
  <c r="AH5" i="23"/>
  <c r="AG5" i="23"/>
  <c r="BX5" i="23"/>
  <c r="BW5" i="23"/>
  <c r="AF5" i="23"/>
  <c r="BE5" i="23"/>
  <c r="BE25" i="23"/>
  <c r="AG25" i="23"/>
  <c r="AF25" i="23"/>
  <c r="AH25" i="23"/>
  <c r="BX25" i="23"/>
  <c r="BW25" i="23"/>
  <c r="D86" i="23"/>
  <c r="AU31" i="23"/>
  <c r="D19" i="23"/>
  <c r="AG45" i="23"/>
  <c r="BE45" i="23"/>
  <c r="BX45" i="23"/>
  <c r="BW45" i="23"/>
  <c r="AH45" i="23"/>
  <c r="AF45" i="23"/>
  <c r="B6" i="39"/>
  <c r="AG110" i="23"/>
  <c r="AF110" i="23"/>
  <c r="BW110" i="23"/>
  <c r="BX110" i="23"/>
  <c r="AH110" i="23"/>
  <c r="D97" i="23"/>
  <c r="D124" i="23"/>
  <c r="AU144" i="23"/>
  <c r="BO20" i="23"/>
  <c r="BC26" i="23"/>
  <c r="BA26" i="23"/>
  <c r="D42" i="23"/>
  <c r="AU30" i="23"/>
  <c r="BO118" i="23"/>
  <c r="O3" i="5"/>
  <c r="O31" i="5" s="1"/>
  <c r="B5" i="19"/>
  <c r="C5" i="19" s="1"/>
  <c r="A5" i="19"/>
  <c r="BW125" i="23"/>
  <c r="AF125" i="23"/>
  <c r="BX125" i="23"/>
  <c r="AG125" i="23"/>
  <c r="AH125" i="23"/>
  <c r="D101" i="23"/>
  <c r="BA10" i="23"/>
  <c r="BC10" i="23"/>
  <c r="BX53" i="23"/>
  <c r="AH53" i="23"/>
  <c r="AG53" i="23"/>
  <c r="AF53" i="23"/>
  <c r="BW53" i="23"/>
  <c r="BW79" i="23"/>
  <c r="AH79" i="23"/>
  <c r="BX79" i="23"/>
  <c r="AG79" i="23"/>
  <c r="AF79" i="23"/>
  <c r="BX6" i="23"/>
  <c r="BW6" i="23"/>
  <c r="AH6" i="23"/>
  <c r="AG6" i="23"/>
  <c r="AF6" i="23"/>
  <c r="BE6" i="23"/>
  <c r="D49" i="23"/>
  <c r="D43" i="23"/>
  <c r="BA17" i="23"/>
  <c r="BC17" i="23"/>
  <c r="AF47" i="23"/>
  <c r="BE47" i="23"/>
  <c r="AH47" i="23"/>
  <c r="AG47" i="23"/>
  <c r="BX47" i="23"/>
  <c r="BW47" i="23"/>
  <c r="BK4" i="23"/>
  <c r="BX105" i="23"/>
  <c r="AH105" i="23"/>
  <c r="AG105" i="23"/>
  <c r="BW105" i="23"/>
  <c r="AF105" i="23"/>
  <c r="AF49" i="23"/>
  <c r="BX49" i="23"/>
  <c r="AH49" i="23"/>
  <c r="BW49" i="23"/>
  <c r="BE49" i="23"/>
  <c r="AG49" i="23"/>
  <c r="BE28" i="23"/>
  <c r="AF28" i="23"/>
  <c r="BW28" i="23"/>
  <c r="BX28" i="23"/>
  <c r="AH28" i="23"/>
  <c r="AG28" i="23"/>
  <c r="AG135" i="23"/>
  <c r="AF135" i="23"/>
  <c r="AH135" i="23"/>
  <c r="BW135" i="23"/>
  <c r="BX135" i="23"/>
  <c r="B40" i="10"/>
  <c r="F40" i="10" s="1"/>
  <c r="F39" i="10"/>
  <c r="AG140" i="23"/>
  <c r="BW140" i="23"/>
  <c r="BX140" i="23"/>
  <c r="AH140" i="23"/>
  <c r="AF140" i="23"/>
  <c r="W152" i="23"/>
  <c r="AU22" i="23"/>
  <c r="B155" i="16"/>
  <c r="B152" i="23"/>
  <c r="B14" i="16"/>
  <c r="BF2" i="23"/>
  <c r="AU46" i="23"/>
  <c r="BC42" i="23"/>
  <c r="BA42" i="23"/>
  <c r="BJ2" i="23"/>
  <c r="BI2" i="23"/>
  <c r="D65" i="23"/>
  <c r="B3" i="42"/>
  <c r="C17" i="36"/>
  <c r="B3" i="24"/>
  <c r="B130" i="16"/>
  <c r="C129" i="16"/>
  <c r="C23" i="11"/>
  <c r="B54" i="10" s="1"/>
  <c r="F54" i="10" s="1"/>
  <c r="BE50" i="23"/>
  <c r="AG50" i="23"/>
  <c r="AH50" i="23"/>
  <c r="AF50" i="23"/>
  <c r="BX50" i="23"/>
  <c r="BW50" i="23"/>
  <c r="U2" i="23"/>
  <c r="U152" i="23" s="1"/>
  <c r="B148" i="10" s="1"/>
  <c r="BW57" i="23"/>
  <c r="AF57" i="23"/>
  <c r="AH57" i="23"/>
  <c r="AG57" i="23"/>
  <c r="BX57" i="23"/>
  <c r="D27" i="23"/>
  <c r="AU76" i="23"/>
  <c r="BO2" i="23"/>
  <c r="BM2" i="23" s="1"/>
  <c r="D50" i="23"/>
  <c r="AH130" i="23"/>
  <c r="AG130" i="23"/>
  <c r="AF130" i="23"/>
  <c r="BX130" i="23"/>
  <c r="BW130" i="23"/>
  <c r="D52" i="23"/>
  <c r="BX62" i="23"/>
  <c r="BW62" i="23"/>
  <c r="AH62" i="23"/>
  <c r="AG62" i="23"/>
  <c r="AF62" i="23"/>
  <c r="AU11" i="23"/>
  <c r="AG36" i="23"/>
  <c r="AF36" i="23"/>
  <c r="BX36" i="23"/>
  <c r="BW36" i="23"/>
  <c r="BE36" i="23"/>
  <c r="AH36" i="23"/>
  <c r="AU29" i="23"/>
  <c r="D32" i="23"/>
  <c r="AH70" i="23"/>
  <c r="BW70" i="23"/>
  <c r="AG70" i="23"/>
  <c r="AF70" i="23"/>
  <c r="BX70" i="23"/>
  <c r="AF7" i="23"/>
  <c r="BX7" i="23"/>
  <c r="BW7" i="23"/>
  <c r="AH7" i="23"/>
  <c r="AG7" i="23"/>
  <c r="BE7" i="23"/>
  <c r="BX144" i="23"/>
  <c r="BW144" i="23"/>
  <c r="AF144" i="23"/>
  <c r="AH144" i="23"/>
  <c r="AG144" i="23"/>
  <c r="B24" i="35"/>
  <c r="L3" i="5"/>
  <c r="L31" i="5" s="1"/>
  <c r="A2" i="19"/>
  <c r="B2" i="19"/>
  <c r="B95" i="10"/>
  <c r="F95" i="10" s="1"/>
  <c r="D11" i="39" l="1"/>
  <c r="D14" i="36" s="1"/>
  <c r="B9" i="39"/>
  <c r="C13" i="36" s="1"/>
  <c r="B66" i="10" s="1"/>
  <c r="B67" i="10" s="1"/>
  <c r="F67" i="10" s="1"/>
  <c r="B25" i="10"/>
  <c r="B101" i="16"/>
  <c r="C9" i="39"/>
  <c r="D13" i="36" s="1"/>
  <c r="BN4" i="23"/>
  <c r="B30" i="24"/>
  <c r="B19" i="16"/>
  <c r="C29" i="16" s="1"/>
  <c r="B59" i="16" s="1"/>
  <c r="B81" i="16"/>
  <c r="B82" i="16" s="1"/>
  <c r="B16" i="16"/>
  <c r="AH2" i="23"/>
  <c r="B55" i="16" s="1"/>
  <c r="S152" i="23"/>
  <c r="B17" i="12" s="1"/>
  <c r="B109" i="16"/>
  <c r="C110" i="16" s="1"/>
  <c r="BA2" i="23"/>
  <c r="B16" i="12" s="1"/>
  <c r="B14" i="12" s="1"/>
  <c r="BM4" i="23"/>
  <c r="B100" i="16" s="1"/>
  <c r="F2" i="19" s="1"/>
  <c r="L5" i="19"/>
  <c r="A55" i="19"/>
  <c r="F66" i="10"/>
  <c r="B48" i="24"/>
  <c r="B50" i="24" s="1"/>
  <c r="B140" i="10" s="1"/>
  <c r="B41" i="24"/>
  <c r="B40" i="24"/>
  <c r="B39" i="24"/>
  <c r="C9" i="9"/>
  <c r="E9" i="9" s="1"/>
  <c r="B120" i="16"/>
  <c r="B37" i="24"/>
  <c r="B137" i="10" s="1"/>
  <c r="F137" i="10" s="1"/>
  <c r="B86" i="16"/>
  <c r="A40" i="19"/>
  <c r="L4" i="19"/>
  <c r="B59" i="24"/>
  <c r="B23" i="24"/>
  <c r="L6" i="19"/>
  <c r="A70" i="19"/>
  <c r="C70" i="19" s="1"/>
  <c r="B33" i="16"/>
  <c r="B58" i="16" s="1"/>
  <c r="B9" i="24"/>
  <c r="B13" i="24" s="1"/>
  <c r="C58" i="16"/>
  <c r="B149" i="10"/>
  <c r="F149" i="10" s="1"/>
  <c r="F147" i="10"/>
  <c r="B118" i="16"/>
  <c r="B56" i="16"/>
  <c r="B8" i="40" s="1"/>
  <c r="B54" i="16"/>
  <c r="B80" i="16"/>
  <c r="B5" i="26" s="1"/>
  <c r="AW2" i="23"/>
  <c r="AW152" i="23" s="1"/>
  <c r="B18" i="24"/>
  <c r="B31" i="24"/>
  <c r="B32" i="24" s="1"/>
  <c r="B132" i="10" s="1"/>
  <c r="F132" i="10" s="1"/>
  <c r="L3" i="19"/>
  <c r="A25" i="19"/>
  <c r="B69" i="10"/>
  <c r="F69" i="10" s="1"/>
  <c r="F68" i="10"/>
  <c r="J3" i="34"/>
  <c r="J5" i="34"/>
  <c r="C30" i="11" s="1"/>
  <c r="B9" i="16"/>
  <c r="C8" i="9"/>
  <c r="E8" i="9" s="1"/>
  <c r="J10" i="34"/>
  <c r="C26" i="11" s="1"/>
  <c r="B61" i="10" s="1"/>
  <c r="F61" i="10" s="1"/>
  <c r="C2" i="19"/>
  <c r="D2" i="19" s="1"/>
  <c r="H8" i="19"/>
  <c r="L2" i="19"/>
  <c r="A10" i="19"/>
  <c r="B108" i="16"/>
  <c r="B3" i="35"/>
  <c r="B4" i="35" s="1"/>
  <c r="B109" i="10" s="1"/>
  <c r="B123" i="16"/>
  <c r="B2" i="20" s="1"/>
  <c r="B172" i="16"/>
  <c r="B29" i="39" s="1"/>
  <c r="D115" i="16"/>
  <c r="BN2" i="23"/>
  <c r="B61" i="16"/>
  <c r="B60" i="16"/>
  <c r="C7" i="16"/>
  <c r="B141" i="10"/>
  <c r="F141" i="10" s="1"/>
  <c r="F135" i="10"/>
  <c r="B29" i="16" l="1"/>
  <c r="F25" i="10"/>
  <c r="B26" i="10"/>
  <c r="F26" i="10" s="1"/>
  <c r="B27" i="10"/>
  <c r="F27" i="10" s="1"/>
  <c r="B103" i="16"/>
  <c r="B104" i="16" s="1"/>
  <c r="A6" i="26"/>
  <c r="C20" i="11" s="1"/>
  <c r="B53" i="16"/>
  <c r="A1" i="31" s="1"/>
  <c r="B110" i="16"/>
  <c r="A25" i="8" s="1"/>
  <c r="B25" i="8" s="1"/>
  <c r="E183" i="9"/>
  <c r="B159" i="16" s="1"/>
  <c r="B10" i="11" s="1"/>
  <c r="B24" i="24"/>
  <c r="B127" i="10" s="1"/>
  <c r="F127" i="10" s="1"/>
  <c r="B60" i="24"/>
  <c r="B155" i="10" s="1"/>
  <c r="F155" i="10" s="1"/>
  <c r="A2" i="21"/>
  <c r="C17" i="11" s="1"/>
  <c r="B4" i="40" s="1"/>
  <c r="E2" i="19"/>
  <c r="G8" i="19" s="1"/>
  <c r="B5" i="20" s="1"/>
  <c r="B46" i="24"/>
  <c r="B44" i="24" s="1"/>
  <c r="B139" i="10" s="1"/>
  <c r="B63" i="24"/>
  <c r="A5" i="26"/>
  <c r="C19" i="11" s="1"/>
  <c r="E11" i="39"/>
  <c r="B11" i="39"/>
  <c r="B126" i="10"/>
  <c r="F126" i="10" s="1"/>
  <c r="C34" i="11"/>
  <c r="B28" i="10" l="1"/>
  <c r="F28" i="10" s="1"/>
  <c r="B115" i="16"/>
  <c r="B116" i="16" s="1"/>
  <c r="A2" i="26"/>
  <c r="C35" i="11"/>
  <c r="B153" i="10"/>
  <c r="F153" i="10" s="1"/>
  <c r="B45" i="10"/>
  <c r="F45" i="10" s="1"/>
  <c r="C5" i="20"/>
  <c r="B103" i="10" s="1"/>
  <c r="F103" i="10" s="1"/>
  <c r="B6" i="40"/>
  <c r="B49" i="10"/>
  <c r="B146" i="10"/>
  <c r="F146" i="10" s="1"/>
  <c r="B154" i="10"/>
  <c r="F154" i="10" s="1"/>
  <c r="B3" i="38"/>
  <c r="C10" i="36"/>
  <c r="B46" i="10" s="1"/>
  <c r="F46" i="10" s="1"/>
  <c r="B2" i="17"/>
  <c r="A2" i="17"/>
  <c r="C2" i="17"/>
  <c r="D2" i="17"/>
  <c r="C115" i="16" l="1"/>
  <c r="B50" i="10"/>
  <c r="F50" i="10" s="1"/>
  <c r="F49" i="10"/>
  <c r="D16" i="11"/>
  <c r="C16" i="11"/>
  <c r="B44" i="10" s="1"/>
  <c r="F44" i="10" s="1"/>
  <c r="B33" i="39"/>
  <c r="C15" i="36" s="1"/>
  <c r="B70" i="10" s="1"/>
  <c r="F303" i="23"/>
  <c r="C1" i="39"/>
  <c r="F70" i="10" l="1"/>
  <c r="B71" i="10"/>
  <c r="F71" i="10" s="1"/>
  <c r="G2" i="10" l="1"/>
  <c r="G1" i="10" s="1"/>
  <c r="B116" i="10" s="1"/>
</calcChain>
</file>

<file path=xl/sharedStrings.xml><?xml version="1.0" encoding="utf-8"?>
<sst xmlns="http://schemas.openxmlformats.org/spreadsheetml/2006/main" count="1050" uniqueCount="910">
  <si>
    <t>INPUT STEPS</t>
  </si>
  <si>
    <t xml:space="preserve">This is what YOU gonna do!
</t>
  </si>
  <si>
    <t xml:space="preserve">Description
</t>
  </si>
  <si>
    <t>Analyze your source data</t>
  </si>
  <si>
    <t xml:space="preserve">There must be a source table/view from where the data should be loaded.
Normally you should work with the odl_dwh_raw database and create your views there using the DWH data vault tables only. This is true at least for dimensional data. It should eventually end up in the odl_dwh_raw. Fact based data are not always suited to be in the DWH and you might end up with working with views or tables in the "ODL Staged" area.
You can also create your own custom source view. Just make sure you include all columns you need!
</t>
  </si>
  <si>
    <t>Enter some data about your data</t>
  </si>
  <si>
    <t>fill in the fields in sheet "Options" ("yellow and boxed"=mandatory, "grayed out and boxed"=optional)</t>
  </si>
  <si>
    <t>Add the columns. Decide the keys</t>
  </si>
  <si>
    <t>List the column names in sheet Columns start with the wk-key, Make sure all of the columns really exists in the source table/view!</t>
  </si>
  <si>
    <t>Deploy, Schedule, and execute</t>
  </si>
  <si>
    <t>There are two possible output modes 1)STARSCHEMA and 2)UNLOAD. StarSchema will produce ICEBERG tables with SCD-2 and UNLOAD will use unmanaged athena tables.
When you run the python script that will produce the final AWS Steps files the script will use the output from one of the tow OUTPUT sheets. OUTPUT Star for STARSCHEMA and OUTPUT UNLOAD for UNLOAD.
If you go to one of those two output sheets you can see the SQL that is produced and test it in AWS Athena and check if they work as intended or not! Good Luck with your tables!</t>
  </si>
  <si>
    <t>How to partition a table on the date</t>
  </si>
  <si>
    <t>add a column and set Partition By to 1</t>
  </si>
  <si>
    <t>write the below text in the source condition column</t>
  </si>
  <si>
    <t>'='[:date_yyyy_mm_dd]'</t>
  </si>
  <si>
    <t>please not the trailing ' in the text above. This makes sure that excel will not treat this as a formula</t>
  </si>
  <si>
    <t>in the column Sample Condition ju can enter a sample date</t>
  </si>
  <si>
    <t>'2023-11-01</t>
  </si>
  <si>
    <t>Your input</t>
  </si>
  <si>
    <t>Description</t>
  </si>
  <si>
    <t>Default Value</t>
  </si>
  <si>
    <t>Default Value Source</t>
  </si>
  <si>
    <t>Solution Name</t>
  </si>
  <si>
    <t>uc0039</t>
  </si>
  <si>
    <t>From solution</t>
  </si>
  <si>
    <t>Current Table Version</t>
  </si>
  <si>
    <t>This is for iceberg tables so that we can generate ALTER TABLE ADD COLUMNS</t>
  </si>
  <si>
    <t>Stage/Source view Target Database</t>
  </si>
  <si>
    <t>Database where the source view/table should be created</t>
  </si>
  <si>
    <t>Template</t>
  </si>
  <si>
    <t>Stage View Name</t>
  </si>
  <si>
    <t>View name for the source view that will be created for you!</t>
  </si>
  <si>
    <t>Load Method Number</t>
  </si>
  <si>
    <t>Read more about load methods on oogway documentation</t>
  </si>
  <si>
    <t>SOURCE TABLE/VIEW</t>
  </si>
  <si>
    <t>Source database</t>
  </si>
  <si>
    <t>Database where the source table is located. Normally this should be odl_dwh_raw. You might leave this blank if you have a custom source view.</t>
  </si>
  <si>
    <t>source table/view name</t>
  </si>
  <si>
    <t>Table/View name of the source data. This table is normally a so called STOV-view in the odl_dwh_raw database. Leave blank if you have a custom source view.</t>
  </si>
  <si>
    <t>load_date column name</t>
  </si>
  <si>
    <t>read_out_date</t>
  </si>
  <si>
    <t>Name of the column in source view that should be used for load_date (make sure it casts to a timestamp). If you leave it blank then "current_timestamp" will be used.THIS COLUMN WILL BE USED FOR FILTERING DATA ON INCREMENTAL LOAD</t>
  </si>
  <si>
    <t>last_modified_timestamp column name</t>
  </si>
  <si>
    <t>timestamp</t>
  </si>
  <si>
    <t>Column name to use for the last modified date of the row. If left blank then "current_timestamp" will be used instead. Only used for dimensional tables. Must cast to timestamp.</t>
  </si>
  <si>
    <t>last_modified_timestamp data type</t>
  </si>
  <si>
    <t>What is the source data type for the last_modified_timestamp? String, Date, Timestamp???</t>
  </si>
  <si>
    <t>Distinct values only? [0,1]</t>
  </si>
  <si>
    <t>Set to 1 if you would like to select only distinct rows from the source view.</t>
  </si>
  <si>
    <t>Source View</t>
  </si>
  <si>
    <t>Custom Source View? [0,1]</t>
  </si>
  <si>
    <t>If you set this to 1 then you need to enter your source view as a select statment in sheeet "Custom Source View"</t>
  </si>
  <si>
    <t>Disable table prefix? [0,1]</t>
  </si>
  <si>
    <t>If you create a table that is not considered to be either a fact or a dim set this value to 1. Otherwise leave it as 0.</t>
  </si>
  <si>
    <t>Target db</t>
  </si>
  <si>
    <t>Database for the target table</t>
  </si>
  <si>
    <t>From Solution</t>
  </si>
  <si>
    <t>factVCSSLast90</t>
  </si>
  <si>
    <t>Name of the target table without the prefix "dim" or "fact"</t>
  </si>
  <si>
    <t>Physical Table Name</t>
  </si>
  <si>
    <t>Full name of the target table. Dimensions will be prefixed "dim" and facts "fact".</t>
  </si>
  <si>
    <t>Target Storage</t>
  </si>
  <si>
    <t>s3 bucket</t>
  </si>
  <si>
    <t>uc0039-vgcs-odl-prod</t>
  </si>
  <si>
    <t>s3 prefix</t>
  </si>
  <si>
    <t>Folder name in the s3 bucket</t>
  </si>
  <si>
    <t>db</t>
  </si>
  <si>
    <t>Is Dimension table? [0,1]</t>
  </si>
  <si>
    <t>Set to 1 if this is a dimensional table. It will add the columns "last_modified_date" and "isCurrent" to the dimensional table.</t>
  </si>
  <si>
    <t>Use SCD-2</t>
  </si>
  <si>
    <t>Volvo DMA</t>
  </si>
  <si>
    <t>Use DMA on this table</t>
  </si>
  <si>
    <t>Should the target rows for this table be filtered so that only vehicles with the selected purpose code/codes will be selected? If your use case needs DMA and this is the vehicle dimenson that you should set this value to 1.</t>
  </si>
  <si>
    <t>vehicleplatformid column name</t>
  </si>
  <si>
    <t>The source table needs to include the vehicleplatformidentifer in order to work with DMA. Name the source column for the vehicle platform identifier.</t>
  </si>
  <si>
    <t>DMA Purpose Codes</t>
  </si>
  <si>
    <t>The purpose codes are almost always the same for all tables in the use case. You only need to use DMA for the vehicle dimension and then INNER JOIN dimVehicle with your fact tables.</t>
  </si>
  <si>
    <t>P3</t>
  </si>
  <si>
    <t>RND</t>
  </si>
  <si>
    <t>Enable CDC Light Table</t>
  </si>
  <si>
    <t>Advanced Options</t>
  </si>
  <si>
    <t>hash key column name</t>
  </si>
  <si>
    <t>Used for slowly changing detection. A hash key for all non business/natural key columns.</t>
  </si>
  <si>
    <t>hashkey</t>
  </si>
  <si>
    <t>from solution</t>
  </si>
  <si>
    <t>Column name for the load date timestamp in the target table</t>
  </si>
  <si>
    <t>load_date</t>
  </si>
  <si>
    <t>last_modifed_date column name</t>
  </si>
  <si>
    <t>Column name for the last modified timestamp in the target table</t>
  </si>
  <si>
    <t>last_modified_timestamp</t>
  </si>
  <si>
    <t>Case Sensetive Value Columns? [0,1]</t>
  </si>
  <si>
    <t>0 will use the function lower on the columns when calculating the hashkey and joining with dim-tables</t>
  </si>
  <si>
    <t>Case Sensetive Key? [0,1]</t>
  </si>
  <si>
    <t>Max varchar lenght in hashkeys</t>
  </si>
  <si>
    <t>Data types are casted to varchar when creating hash keys. Specify the max length here</t>
  </si>
  <si>
    <t>Iceberg? [0,1]</t>
  </si>
  <si>
    <t xml:space="preserve">Always use ICEBERG when creating a starschema supporting SCD-2. </t>
  </si>
  <si>
    <t>vacuum_max_snapshot_age_seconds</t>
  </si>
  <si>
    <t>optimize_rewrite_delete_file_threshold</t>
  </si>
  <si>
    <t>[1-50]</t>
  </si>
  <si>
    <t>write_target_data_file_size_bytes</t>
  </si>
  <si>
    <t>DEPLOY</t>
  </si>
  <si>
    <t>AWS Account Number</t>
  </si>
  <si>
    <t>761560768765</t>
  </si>
  <si>
    <t>AWS Region</t>
  </si>
  <si>
    <t>eu-west-1</t>
  </si>
  <si>
    <t>AWS Athena Workgroup</t>
  </si>
  <si>
    <t>AWS Athena Database Name</t>
  </si>
  <si>
    <t>Type B - UNLOAD DATA TO S3</t>
  </si>
  <si>
    <t>Create Athena Table</t>
  </si>
  <si>
    <t>For the UNLOAD Use Case where we only need to unload source data to a s3 path we do not really need an athena table. If you want one then set this value to 1.</t>
  </si>
  <si>
    <t>WIP Section =&gt;</t>
  </si>
  <si>
    <t>Cloud Poivder</t>
  </si>
  <si>
    <t>AWS</t>
  </si>
  <si>
    <t>SUPPORTED</t>
  </si>
  <si>
    <t>Azure</t>
  </si>
  <si>
    <t>NIY</t>
  </si>
  <si>
    <t>Data Pipeline Tool</t>
  </si>
  <si>
    <t>AWS Steps, JSON (needs a few lambdas)</t>
  </si>
  <si>
    <t>Apache AirFlow, Python</t>
  </si>
  <si>
    <t>Microsoft Fabric Data Factory, Python</t>
  </si>
  <si>
    <t>Data Output</t>
  </si>
  <si>
    <t>AWS S3, csv files (only for small datasets)</t>
  </si>
  <si>
    <t>AWS S3, parquet (data sharing with S3)</t>
  </si>
  <si>
    <t>AWS S3, parquet with Athena tables</t>
  </si>
  <si>
    <t>Currently implemented (se above)</t>
  </si>
  <si>
    <t>Iceberg tables (parquest) in AWS Athena</t>
  </si>
  <si>
    <t>Workload</t>
  </si>
  <si>
    <t>AWS Athena SQL</t>
  </si>
  <si>
    <t>Implemented</t>
  </si>
  <si>
    <t>AWS Athena Spark</t>
  </si>
  <si>
    <t>AWS Glue Python, using PySparcSql</t>
  </si>
  <si>
    <t>Cost Analysis</t>
  </si>
  <si>
    <t>This is supposed to be a cost analysis for the workload you have selected based on the expected amout of data to process.</t>
  </si>
  <si>
    <t>Execution Time Analysis</t>
  </si>
  <si>
    <t xml:space="preserve">This is supposed to be a analysis of the execution job based on the amout of data to process and the workload you have selected. </t>
  </si>
  <si>
    <t>For dimension table using SCD-4: Create a factless fact that build a bridge between main and mini dimension.</t>
  </si>
  <si>
    <t>This is only applicable for dimension tables using one or more SCD-4 Columns</t>
  </si>
  <si>
    <t>Target Column Name</t>
  </si>
  <si>
    <t>Source Column Name</t>
  </si>
  <si>
    <t>Target Data Type</t>
  </si>
  <si>
    <t>Source Data Type</t>
  </si>
  <si>
    <t>SCD-Type No</t>
  </si>
  <si>
    <t>Calculation</t>
  </si>
  <si>
    <t>Partition by</t>
  </si>
  <si>
    <t>Is Business Key?</t>
  </si>
  <si>
    <t>Is Technical Key?</t>
  </si>
  <si>
    <t>Lookup Dimension</t>
  </si>
  <si>
    <t>JOIN TYPE (LEFT or INNER)</t>
  </si>
  <si>
    <t>Inferred Members</t>
  </si>
  <si>
    <t>Source Condition</t>
  </si>
  <si>
    <t xml:space="preserve">Sample Condition </t>
  </si>
  <si>
    <t>Table Version</t>
  </si>
  <si>
    <t>Comment</t>
  </si>
  <si>
    <t>wkVehicle</t>
  </si>
  <si>
    <t>bigint</t>
  </si>
  <si>
    <t>has_communicated_last_90_days</t>
  </si>
  <si>
    <t>lake_arrival_date</t>
  </si>
  <si>
    <t>string</t>
  </si>
  <si>
    <t>2023-11-01</t>
  </si>
  <si>
    <t>Enter your custom select statment that will select the source data to populate</t>
  </si>
  <si>
    <t>WITH _vcss_clean as (
select 
wkVehicle,
CAST(REPLACE(molastsms,'T',' ') as timestamp) as molastsms
,CAST(REPLACE(molastudp,'T',' ') as timestamp) as molastudp
,lakearrivaldate
from uc0039.factVCSS
),
_max_vcss_90 AS (   
SELECT  DISTINCT
                wkVehicle
                , CAST(max(molastsms) as date) latest_sms
                , CAST(max(molastudp) as date)  latest_udp 
                ,'[:date_yyyy_mm_dd]' lake_arrival_date
            FROM 
                _vcss_clean  t1 
            where 
                lakearrivaldate &lt;= '[:date_yyyy_mm_dd]' 
            GROUP BY t1.wkVehicle
),
_has_communicated_last_90 AS (
SELECT 
           wkVehicle, 1 as has_communicated_last_90_days, latest_sms  ,   latest_udp,   lake_arrival_date
            FROM 
                _max_vcss_90 
            WHERE 
                ((latest_sms &gt; (cast('[:date_yyyy_mm_dd]' as date)  - INTERVAL  '90' DAY)) 
                OR (latest_udp &gt; (cast('[:date_yyyy_mm_dd]' as date) - INTERVAL  '90' DAY)))
),
_no_communication_last_90 AS (
select wkVehicle, 0 as has_communicated_last_90_days, null as latest_sms, null as latest_udp, 
'[:date_yyyy_mm_dd]' as lake_arrival_date
 from uc0039.dimVehicle 
WHERE wkVehicle NOT in (select wkVehicle from _has_communicated_last_90)
)
SELECT 
wkVehicle, has_communicated_last_90_days,cast( latest_udp as date) as latest_udp,cast(latest_sms as date) as latest_sms,
cast(lake_arrival_date as varchar)  as lake_arrival_date
FROM _has_communicated_last_90 
UNION ALL 
SELECT wkVehicle, has_communicated_last_90_days, 
CAST(latest_udp as date),
cast(latest_sms as date), 
cast(lake_arrival_date as varchar)  as lake_arrival_date
FROM _no_communication_last_90</t>
  </si>
  <si>
    <t>Dim1</t>
  </si>
  <si>
    <t>Dim2</t>
  </si>
  <si>
    <t>Dim3</t>
  </si>
  <si>
    <t>Dim4</t>
  </si>
  <si>
    <t>Dim5</t>
  </si>
  <si>
    <t>List of key columns in source</t>
  </si>
  <si>
    <t>Column name in dimension</t>
  </si>
  <si>
    <t>column name in dimension</t>
  </si>
  <si>
    <t>List of key columns in Source</t>
  </si>
  <si>
    <t>SOURCE COLUMNS IN DIM1</t>
  </si>
  <si>
    <t>SORECE COLUMNS IN DIM2</t>
  </si>
  <si>
    <t>SOURCE COLUMNS IN DIM3</t>
  </si>
  <si>
    <t>SOURCE COLUMNS IN DIM4</t>
  </si>
  <si>
    <t>SOURCE COLUMNS IN DIM5</t>
  </si>
  <si>
    <t>UNIQUE1</t>
  </si>
  <si>
    <t>UNIQUE2</t>
  </si>
  <si>
    <t>UNIQUE LIST OF SOURCE COLUMNS USED IN THE JOINS</t>
  </si>
  <si>
    <t>&lt;/table&gt;</t>
  </si>
  <si>
    <t>A fact table containing all vehicles and an idication if the vehicle has comminicated (vcss) the last 90 days or not. 1 menas that the vehicle has communicated and 0 means that it has not.
One full partition per calender day.</t>
  </si>
  <si>
    <t>Source View Description</t>
  </si>
  <si>
    <t>Custom source view</t>
  </si>
  <si>
    <t>Key</t>
  </si>
  <si>
    <t>Value</t>
  </si>
  <si>
    <t>Possible values</t>
  </si>
  <si>
    <t>Raw Database</t>
  </si>
  <si>
    <t>raw_tracking</t>
  </si>
  <si>
    <t>RAW table name</t>
  </si>
  <si>
    <t>RAW Ingestion Type</t>
  </si>
  <si>
    <t>API</t>
  </si>
  <si>
    <t>API,DMS,CSV</t>
  </si>
  <si>
    <t>RAW Table Prefix</t>
  </si>
  <si>
    <t>te2odl</t>
  </si>
  <si>
    <t>RAW Ingestion</t>
  </si>
  <si>
    <t>Hourly</t>
  </si>
  <si>
    <t>Daily, Hourly</t>
  </si>
  <si>
    <t>DMA</t>
  </si>
  <si>
    <t>Purpose codes</t>
  </si>
  <si>
    <t>VLAR db</t>
  </si>
  <si>
    <t>snapshot_vlar</t>
  </si>
  <si>
    <t>odl_usecases.usecase_purposes</t>
  </si>
  <si>
    <t>VLAR Table</t>
  </si>
  <si>
    <t>vlar_current</t>
  </si>
  <si>
    <t>source alias</t>
  </si>
  <si>
    <t>f</t>
  </si>
  <si>
    <t>vlar alias</t>
  </si>
  <si>
    <t>vlar</t>
  </si>
  <si>
    <t xml:space="preserve"> WITH _dma AS ( SELECT [:documentid_column_name] documentid , cast([:dateexpression] as varchar(10)) dma_validation_date , t.* , v.purpose_code , v.usage_from , v.usage_to FROM ( [:source_database].[:source_table_name] t LEFT JOIN snapshot_vlar.vlar_current v ON (t.[:source_vpi_column_name] = v.vpi) ) WHERE CASE WHEN v.purpose_code IS NOT NULL THEN [:dateexpression] BETWEEN v.usage_from AND v.usage_to ELSE 1 = 1 END ) SELECT DISTINCT [:source_columns] FROM _dma WHERE ((t1.purpose_code IS NULL) OR (t1.purpose_code IN ( SELECT purpose_code FROM odl_usecases.usecase_purposes WHERE (usecase_id = '[:purpose_usecase_code]') )) )</t>
  </si>
  <si>
    <t>CUSTOM TABLE TO JOIN WITH SOURCE</t>
  </si>
  <si>
    <t>Error Codes</t>
  </si>
  <si>
    <t>Code</t>
  </si>
  <si>
    <t>Text</t>
  </si>
  <si>
    <t>Triggered</t>
  </si>
  <si>
    <t>Subject</t>
  </si>
  <si>
    <t>DMA Is enabled but no column name in source table where we can find the vehicle platform id.</t>
  </si>
  <si>
    <t>Source database is missing</t>
  </si>
  <si>
    <t>SOURCE DATABASE</t>
  </si>
  <si>
    <t>Custom source view option is seleced but no custom source view has been entered.</t>
  </si>
  <si>
    <t>CUSTOM SOURCE VIEW</t>
  </si>
  <si>
    <t>No logical table name has been entered.</t>
  </si>
  <si>
    <t>TARGET TABLE</t>
  </si>
  <si>
    <t>No business/natural key for the table has been given.</t>
  </si>
  <si>
    <t>No wk-key for the dimension has been entered.</t>
  </si>
  <si>
    <t>no target columns has been entered</t>
  </si>
  <si>
    <t>DMA is enabled but no purpose code/codes has been given</t>
  </si>
  <si>
    <t>No S3 bucket has been given.</t>
  </si>
  <si>
    <t>S3</t>
  </si>
  <si>
    <t>No target database has been given.</t>
  </si>
  <si>
    <t>TARGET DATABASE</t>
  </si>
  <si>
    <t>Custom Source view' must be set to 0 or 1.</t>
  </si>
  <si>
    <t>Source table/view name is missing</t>
  </si>
  <si>
    <t>SOURCE TABLE</t>
  </si>
  <si>
    <t>Custom Source View must be starts with either WITH or SELECT</t>
  </si>
  <si>
    <t>Custom Source view can not include "create view" clause.</t>
  </si>
  <si>
    <t>We will not try to validate your custom source view but it seems to lack a select statement. Please check!</t>
  </si>
  <si>
    <t>There are no columns in the target table!!!</t>
  </si>
  <si>
    <t>SUM</t>
  </si>
  <si>
    <t>REPLACE_TAG</t>
  </si>
  <si>
    <t>VALUE</t>
  </si>
  <si>
    <t>Section</t>
  </si>
  <si>
    <t>[:REPLACE_CURRENT_DATE]</t>
  </si>
  <si>
    <t>Current Date</t>
  </si>
  <si>
    <t>[:REPLACE_CODEGEN_VERSION]</t>
  </si>
  <si>
    <t>Version Number of the excel template used</t>
  </si>
  <si>
    <t>[:REPLACE_TEMPLATE_NUMBER]</t>
  </si>
  <si>
    <t>Data Load Template Number used</t>
  </si>
  <si>
    <t>[:REPLACE_SOLUTION_NAME]</t>
  </si>
  <si>
    <t>Name of the solution</t>
  </si>
  <si>
    <t>[:REPLACE_SOLUTION_LONG_NAME]</t>
  </si>
  <si>
    <t>DO NOT USE</t>
  </si>
  <si>
    <t>Long soulution name</t>
  </si>
  <si>
    <t>[:REPLACE_DEPLOY_TO_ENVIRONMENT]</t>
  </si>
  <si>
    <t>prod</t>
  </si>
  <si>
    <t>To what enviroment the stuff should be deloyd to. Use cdk to let the cdk project decide this</t>
  </si>
  <si>
    <t>[:REPLACE_AWS_STEPS_NAME]</t>
  </si>
  <si>
    <t>Name of the AWS Steps State Machine</t>
  </si>
  <si>
    <t>[:REPLACE_RESOURCE_IDENTIFIER]</t>
  </si>
  <si>
    <t>SYNONYM</t>
  </si>
  <si>
    <t>[:REPLACE_AWS_STEPS_NAME_MINI_DIMENSION]</t>
  </si>
  <si>
    <t>[:REPLACE_MINI_DIMENSION_RESOURCE_NAME]</t>
  </si>
  <si>
    <t>[:REPLACE_AWS_STEPS_LOOP_NAME]</t>
  </si>
  <si>
    <t>[:REPLACE_HTML_DOC_FILENAME]</t>
  </si>
  <si>
    <t>[:REPLACE_AWS_ENVIRONMENT_UPPERCASE]</t>
  </si>
  <si>
    <t>[:REPLACE_AWS_REGION]</t>
  </si>
  <si>
    <t>[:REPLACE_AWS_ACCOUNT_NUMBER]</t>
  </si>
  <si>
    <t>AWS ATHENA</t>
  </si>
  <si>
    <t>[:REPLACE_ATHENA_OUTPUT_LOCATION]</t>
  </si>
  <si>
    <t>[:REPLACE_AWS_ATHENA_OUTPUT_S3_LOCATION]</t>
  </si>
  <si>
    <t>[:REPLACE_ATHENA_WORKGROUP]</t>
  </si>
  <si>
    <t>Synonym</t>
  </si>
  <si>
    <t>[:REPLACE_BUCKET_NAME]</t>
  </si>
  <si>
    <t>AWS S3 bucket for all tables in the solution</t>
  </si>
  <si>
    <t>[:REPLACE_TARGET_BUCKET]</t>
  </si>
  <si>
    <t>AWS S3 bucket for all tables in the solution (synonym)</t>
  </si>
  <si>
    <t>[:REPLACE_TARGET_ROOT_PREFIX]</t>
  </si>
  <si>
    <t>Root prefix for all tables in the solution</t>
  </si>
  <si>
    <t>[:REPLACE_PREFIX]</t>
  </si>
  <si>
    <t>AWS S3 prefix specific for this table</t>
  </si>
  <si>
    <t>[:REPLACE_TARGET_PREFIX]</t>
  </si>
  <si>
    <t>[:REPLACE_TARGET_TABLE_PREFIX]</t>
  </si>
  <si>
    <t>[:REPLACE_TARGET_TABLE_S3_LOCATION]</t>
  </si>
  <si>
    <t>[:REPLACE_FULL_SOURCE_TABLE_NAME]</t>
  </si>
  <si>
    <t>[:REPLACE_SOURCE_TABLE_NAME]</t>
  </si>
  <si>
    <t>[:REPLACE_SOURCE_DATABASE]</t>
  </si>
  <si>
    <t>Blank if not in use if use source view is set to 1</t>
  </si>
  <si>
    <t>[:REPLACE_DATABASE_NAME]</t>
  </si>
  <si>
    <t>[:REPLACE_TARGET_DATABASE_NAME]</t>
  </si>
  <si>
    <t>[:REPLACE_TABLE_NAME]</t>
  </si>
  <si>
    <t>[:REPLACE_TARGET_TABLE_NAME]</t>
  </si>
  <si>
    <t>[:REPLACE_DROP_TABLE]</t>
  </si>
  <si>
    <t>[:REPLACE_DROP_TARGET_TABLE]</t>
  </si>
  <si>
    <t>[:REPLACE_APPLY_DMA ON TABLE]</t>
  </si>
  <si>
    <t>Should we join this table with DMA?</t>
  </si>
  <si>
    <t>[:REPLACE_USE_SCD_2]</t>
  </si>
  <si>
    <t>SCD-2 enabled for the table?</t>
  </si>
  <si>
    <t>[:REPLACE_STAGE_VIEW]</t>
  </si>
  <si>
    <t>[:REPLACE_CREATE_TARGET_TABLE]</t>
  </si>
  <si>
    <t>[:REPLACE_CREATE_TARGET_TABLE_EXTERNAL]</t>
  </si>
  <si>
    <t>[:REPLACE_MISSING_MEMBER]</t>
  </si>
  <si>
    <t>[:REPLACE_POPULATE_DATA]</t>
  </si>
  <si>
    <t>[:REPLACE_POPULATE_DATA_INCREMENTALY]</t>
  </si>
  <si>
    <t>[:REPLACE_SET_ISCURRENT_0]</t>
  </si>
  <si>
    <t>[:REPLACE_SET_ISCURRENT_1]</t>
  </si>
  <si>
    <t>[:REPLACE_CREATE_VIEW]</t>
  </si>
  <si>
    <t>[:REPLACE_DROP_STAGE_VIEW]</t>
  </si>
  <si>
    <t>[:REPLACE_DROP_SOURCE_VIEW]</t>
  </si>
  <si>
    <t>[:REPLACE_SOURCE_VIEW_NAME]</t>
  </si>
  <si>
    <t>[:REPLACE_SOURCE_VIEW]</t>
  </si>
  <si>
    <t>[:REPLACE_IS_SOURCE_VIEW_IN_USE]</t>
  </si>
  <si>
    <t>[:REPLACE_OPTIMIZE_TABLE]</t>
  </si>
  <si>
    <t>[:REPLACE_VACUUM_TABLE]</t>
  </si>
  <si>
    <t>[:REPLACE_VERIFY_WK_UNIQUE]</t>
  </si>
  <si>
    <t>[:REPLACE_VERIFY_WK_NOT_NULL]</t>
  </si>
  <si>
    <t>[:REPLACE_VERIFY_BK_UNIQUE]</t>
  </si>
  <si>
    <t>EXTERNAL TABLE</t>
  </si>
  <si>
    <t>[:REPLACE_UNLOAD_TABLE]</t>
  </si>
  <si>
    <t>[:REPLACE_UNLOAD_TARGET_PARTITION]</t>
  </si>
  <si>
    <t>[:REPLACE_ADD_PARTITION]</t>
  </si>
  <si>
    <t>[:REPLACE_ADD_TARGET_PARTITION]</t>
  </si>
  <si>
    <t>[:REPLACE_VERIFY_PARTITION_ROW_COUNT]</t>
  </si>
  <si>
    <t>[:REPLACE_VERIFY_TARGET_PARTITION_ROW_COUNT]</t>
  </si>
  <si>
    <t>RAW API, RAW DMS AND STAGED BUCKETS</t>
  </si>
  <si>
    <t>[:REPLACE_RAW_BUCKET_NAME]</t>
  </si>
  <si>
    <t>odl-raw.prod.shared.eu-west-1.prod.aws.vgthosting.net</t>
  </si>
  <si>
    <t>[:REPLACE_RAW_DMS_BUCKET_NAME]</t>
  </si>
  <si>
    <t>raw-dms-odl-prod</t>
  </si>
  <si>
    <t>[:REPLACE_STAGED_BUCKET_NAME]</t>
  </si>
  <si>
    <t>staged-odl-prod</t>
  </si>
  <si>
    <t>RAW TABLE</t>
  </si>
  <si>
    <t>[:REPLACE_CREATE_RAW_TABLE]</t>
  </si>
  <si>
    <t>[:REPLACE_ADD_RAW_PARTITION]</t>
  </si>
  <si>
    <t>[:REPLACE_RAW_DATABASE_NAME]</t>
  </si>
  <si>
    <t>[:REPLACE_RAW_TABLE_NAME]</t>
  </si>
  <si>
    <t>[:REPLACE_RAW_PREFIX]</t>
  </si>
  <si>
    <t>[:REPLACE_RAW_PARTITION_PREFIX]</t>
  </si>
  <si>
    <t>[:REPLACE_RAW_BUCKET]</t>
  </si>
  <si>
    <t>[:REPLACE_RAW_PARTITION_S3_PATH]</t>
  </si>
  <si>
    <t>DIMENSION TABLE USED BY FACT TABLES</t>
  </si>
  <si>
    <t>[:REPLACE_LIST_OF_QUALIFIED_DIMENSIONS]</t>
  </si>
  <si>
    <t>[:REPLACE_LIST_OF_DIMENSIONS]</t>
  </si>
  <si>
    <t>[:REPLACE_DIM1_JOINS]</t>
  </si>
  <si>
    <t>[:REPLACE_DIM2_JOINS]</t>
  </si>
  <si>
    <t>[:REPLACE_DIM3_JOINS]</t>
  </si>
  <si>
    <t>[:REPLACE_DIM4_JOINS]</t>
  </si>
  <si>
    <t>[:REPLACE_DIM5_JOINS]</t>
  </si>
  <si>
    <t>[:REPLACE_STAGE_VIEW_SELECT]</t>
  </si>
  <si>
    <t>DOCUMENTATION</t>
  </si>
  <si>
    <t>[:REPLACE_TABLE_DESCRIPTION]</t>
  </si>
  <si>
    <t>[:REPLACE_TABLE_TARGET_TABLE_HTML]</t>
  </si>
  <si>
    <t>[:REPLACE_SOURCE_VIEW_VISABILITY]</t>
  </si>
  <si>
    <t>[:REPLACE_SOURCE_TABLE_VISABILITY]</t>
  </si>
  <si>
    <t>[:REPLACE_SOURCE_VIEW_DESCRIPTION]</t>
  </si>
  <si>
    <t>[:REPLACE_DIMENSIONS_JOIN_CONDITION_TABLE]</t>
  </si>
  <si>
    <t>[:REPLACE_TEMPLATE_VARIABLES_TABLE]</t>
  </si>
  <si>
    <t>A list over available variables</t>
  </si>
  <si>
    <t>[:REPLACE_HTML_TABLE_OF_TEMPLATES]</t>
  </si>
  <si>
    <t>[:REPLACE_HTML_TABLE_OF_DIMENSIONS]</t>
  </si>
  <si>
    <t>[:REPLACE_USE_SOURCE_VIEW]</t>
  </si>
  <si>
    <t>SCD-4</t>
  </si>
  <si>
    <t>[:REPLACE_MINI_DIM_DROP_TABLE]</t>
  </si>
  <si>
    <t>[:REPLACE_CREATE_MINI_DIMENSION]</t>
  </si>
  <si>
    <t>[:REPLACE_POPULATE_MINI_DIMENSION]</t>
  </si>
  <si>
    <t>[:REPLACE_SET_ISCURRENT_0_MINI_DIMENSION]</t>
  </si>
  <si>
    <t>[:REPLACE_DROP_TABLE_MINI_DIMENSION]</t>
  </si>
  <si>
    <t>[:REPLACE_TABLE_NAME_MINI_DIMENSION]</t>
  </si>
  <si>
    <t>[:REPLACE_FULL_TABLE_NAME_MINI_DIMENSION]</t>
  </si>
  <si>
    <t>[:REPLACE_MISSING_MEMBER_MINI_DIMENSION]</t>
  </si>
  <si>
    <t>[:REPLACE_SET_ISCURRENT_1_MINI_DIMENSION]</t>
  </si>
  <si>
    <t>[:REPLACE_OPTIMIZE_TABLE_MINI_DIMENSION]</t>
  </si>
  <si>
    <t>[:REPLACE_USE_MINI_DIMENSION]</t>
  </si>
  <si>
    <t>Do we have any SCD-4 columns</t>
  </si>
  <si>
    <t>[:REPLACE_TARGET_TABLE_NAME_MINI_DIMENSION]</t>
  </si>
  <si>
    <t>[:REPLACE_SCD4_CREATE_FACTLESSFACT_TABLE]</t>
  </si>
  <si>
    <t>[:REPLACE_SCD4_DROP_FACTLESSFACT_TABLE]</t>
  </si>
  <si>
    <t>[:REPLACE_SCD4_POPULATE_FACTLESSFACT_TABLE]</t>
  </si>
  <si>
    <t>[:REPLACE_SCD4_FACTLESSFACT_SET_ISLATEST]</t>
  </si>
  <si>
    <t>[:REPLACE_HTML_SHOW_MINI_DIMENSION]</t>
  </si>
  <si>
    <t>[:REPLACE_SCD4_OPTIMIZE_FACTLESSFACT_TABLE]</t>
  </si>
  <si>
    <t>[:REPLACE_SCD4_FACTLESSFACT_DROP_TABLE]</t>
  </si>
  <si>
    <t>[:REPLACE_GENERATED_SOURCE_TABLE_SELECT]</t>
  </si>
  <si>
    <t>[:REPLACE_SCD4_FACTLESSFACT_CREATE_INITIAL_LOAD_VIEW]</t>
  </si>
  <si>
    <t>[:REPLACE_SCD4_FACTLESSFACT_INSERT_INITIAL_DATA]</t>
  </si>
  <si>
    <t>[:REPLACE_LIST_OF_BK_IN_SOURCE]</t>
  </si>
  <si>
    <t>[:REPLACE_LIST_OF_BK_IN_SOURCE_VIEW]</t>
  </si>
  <si>
    <t>[:REPLACE_TEST_SOURCE_BK]</t>
  </si>
  <si>
    <t>[:REPLACE_SCD4_INITIAL_LOAD_MINI_DIM_SOURCE_TABLE_NAME]</t>
  </si>
  <si>
    <t>[:REPLACE_SCD4_INITIAL_LOAD_POPULATE_MINI_DIM]</t>
  </si>
  <si>
    <t>[:REPLACE_SCD4_INITIAL_LOAD_POPULATE_FACTLESSFACT]</t>
  </si>
  <si>
    <t>[:REPLACE_SCD4_INITIAL_LOAD_MINI_DIM]</t>
  </si>
  <si>
    <t>[:REPLACE_SQL_CUSTOM_SOURCE_VIEW]</t>
  </si>
  <si>
    <t>fill in the fields in sheet meta ("yellow and boxed"=mandatory, "grayed out and boxed"=optional)</t>
  </si>
  <si>
    <t>Run the output below =&gt; TODO Implement this in AWS Steps</t>
  </si>
  <si>
    <t>Veification</t>
  </si>
  <si>
    <t>OUTPUT STEPS</t>
  </si>
  <si>
    <t>SQL to execute. AWS Steps will soon be created!</t>
  </si>
  <si>
    <t>ADHOC TESTING</t>
  </si>
  <si>
    <t>Drop table is only intended for intial loads</t>
  </si>
  <si>
    <t>Only for the initial load flow. Remember that for Iceberg tables the s3 data is autmatically dropped. For other kind of tables the s3 data is not dropped and you need to clean up the s3 bucket your self.</t>
  </si>
  <si>
    <t xml:space="preserve">Create stage view for initial load
</t>
  </si>
  <si>
    <t>Create the target table</t>
  </si>
  <si>
    <t>This will create the target table.Initial flow but included in the incremental load flow aswell.</t>
  </si>
  <si>
    <t>UPSERT data into the table using MERGE</t>
  </si>
  <si>
    <t>UPSERT data into the table using MERGE for Incremental loads</t>
  </si>
  <si>
    <t>Set IsCurrent=0 for all</t>
  </si>
  <si>
    <t>Clean up the database by dropping the temporarily created stage view</t>
  </si>
  <si>
    <t>Create AWS Steps</t>
  </si>
  <si>
    <t>Run pythonscript dmb.py to create the AWS Steps JSON files. Those files is then supposed to be deployed</t>
  </si>
  <si>
    <t>Will create the AWS Steps</t>
  </si>
  <si>
    <t>verify source.Before deploying.... This is important</t>
  </si>
  <si>
    <t>Debug your stage view if necessary</t>
  </si>
  <si>
    <t>MINIDIMENSION</t>
  </si>
  <si>
    <t>Create</t>
  </si>
  <si>
    <t>Populate Mini Dimension</t>
  </si>
  <si>
    <t>data vault column names</t>
  </si>
  <si>
    <t>ldts_load_date, ds_extract_date,rs_source</t>
  </si>
  <si>
    <t>data valut columns with data type</t>
  </si>
  <si>
    <t>ldts_load_date timestamp, ds_extract_date date, rs_source string</t>
  </si>
  <si>
    <t xml:space="preserve">targetdatabase </t>
  </si>
  <si>
    <t>hash key prefix</t>
  </si>
  <si>
    <t>table_name</t>
  </si>
  <si>
    <t>hash key</t>
  </si>
  <si>
    <t>bk</t>
  </si>
  <si>
    <t>BK for haskey</t>
  </si>
  <si>
    <t>CREATE LIVE TABLE</t>
  </si>
  <si>
    <t>TBLPROPERTIES ("myCompanyPipeline.quality" = "mapping")</t>
  </si>
  <si>
    <t>TBLPROPERTIES ("myCompanyPipeline.quality" = "bronze")</t>
  </si>
  <si>
    <t>TBLPROPERTIES ("myCompanyPipeline.quality" = "gold")</t>
  </si>
  <si>
    <t>TBLPROPERTIES ("myCompanyPipeline.quality" = "silver")</t>
  </si>
  <si>
    <t>PARTITIONED BY (order_date)</t>
  </si>
  <si>
    <t>[:REPLACE_DLT_CREATE_GOLD_TABLE]</t>
  </si>
  <si>
    <t>Template Number</t>
  </si>
  <si>
    <t>Name</t>
  </si>
  <si>
    <t>Status</t>
  </si>
  <si>
    <t>In Use</t>
  </si>
  <si>
    <t>load dimension table as Iceberg</t>
  </si>
  <si>
    <t>KIMBALL dimensional table. Supports SCD-1 and SCD-2. SCD-1 will update rows in the dimension and SCD-2 will add a new member each time an SCD-2 attribute is updated.</t>
  </si>
  <si>
    <t>In production</t>
  </si>
  <si>
    <t>load fact table as EXTERNAL_TABLE (hive)</t>
  </si>
  <si>
    <t>KIMBALL fact-table as External Table. If not partitioned the entire content will be replaced for each load. If partitioned by date then a new partition will be created each day.</t>
  </si>
  <si>
    <t>load fact table as ICEBERG TABLE</t>
  </si>
  <si>
    <t>KIMBALL fact-table as ICEBERG Table. Will update records already in the table and insert new records.</t>
  </si>
  <si>
    <t>DATA VAULT Load hub</t>
  </si>
  <si>
    <t>DEV</t>
  </si>
  <si>
    <t>DATA VAULT Load sat</t>
  </si>
  <si>
    <t>DATA VAULT Load Link</t>
  </si>
  <si>
    <t>Create source view</t>
  </si>
  <si>
    <t>Just creates the view mentioned in Custom Source View</t>
  </si>
  <si>
    <t>Create and load partitioned external table from source</t>
  </si>
  <si>
    <t>Creates EXTERNAL TABLE and loads partitions with UNLOAD</t>
  </si>
  <si>
    <t>AWS Athena</t>
  </si>
  <si>
    <t>AWS Steps</t>
  </si>
  <si>
    <t>RAW-TO-STAGED parquet to iceberg</t>
  </si>
  <si>
    <t>RAW TO STAGED. RAW Parquet files to STAGED Ice berg</t>
  </si>
  <si>
    <t>Development</t>
  </si>
  <si>
    <t>CREATE EXTERNAL TABLE odl_dwh_raw.scd4demo_source(
  vehicleplatformid string, 
 country_of_operation string,
  softwareversion string, 
  Date_modified timestamp
  )
ROW FORMAT DELIMITED 
  FIELDS TERMINATED BY ',' 
STORED AS INPUTFORMAT 
  'org.apache.hadoop.mapred.TextInputFormat' 
OUTPUTFORMAT 
  'org.apache.hadoop.hive.ql.io.HiveIgnoreKeyTextOutputFormat'
LOCATION
  's3://uc0039-vgcs-odl-prod/samples/scd4/source_table/'
TBLPROPERTIES (
  'has_encrypted_data'='false', 
 'skip.header.line.count'='1',
  'transient_lastDdlTime'='1630919347')</t>
  </si>
  <si>
    <t>Logical Name</t>
  </si>
  <si>
    <t>Create Table</t>
  </si>
  <si>
    <t>Table Name</t>
  </si>
  <si>
    <t>stage view name</t>
  </si>
  <si>
    <t>stage view name SCD4</t>
  </si>
  <si>
    <t>BUSINESS KEY</t>
  </si>
  <si>
    <t>ROW KEY</t>
  </si>
  <si>
    <t>KEY COLUMNS</t>
  </si>
  <si>
    <t>ALL TARGET COLUMNS</t>
  </si>
  <si>
    <t>TARGET COLUMNS WITH hashkey AND LOAD_DATE AND LAST_MODIFIED_DATE
FOR DIMENSIONS</t>
  </si>
  <si>
    <t>SAME AS ABOVE BUT FOR FACTs
COLUMN LAST_MODIFIED_DATE is EXCLUDED (NOT ANY MORE 2023-12-22)
TARGET COLUMNS</t>
  </si>
  <si>
    <t>SAME AS ABOVE BUT SOURCE TABLE COLUMNS</t>
  </si>
  <si>
    <t>SAME AS ABOVE WITHOUT PARTITION COLS</t>
  </si>
  <si>
    <t>SAME AS ABOVE BUT WITH wk included</t>
  </si>
  <si>
    <t>INSERT THE -1</t>
  </si>
  <si>
    <t>COLUMNS WITH LOAD_DATE, LAST_MODIFIED_DATE (only for dim) AND HASHKEY</t>
  </si>
  <si>
    <t>COLUMNS WITH DT, WITHOUT HASHKEY</t>
  </si>
  <si>
    <t>Wk-key</t>
  </si>
  <si>
    <t>concat 1,
CASE SENSITIVE</t>
  </si>
  <si>
    <t>concat 2
NOT CASE SENSEITIVE (all lower)</t>
  </si>
  <si>
    <t xml:space="preserve">CONCAT COLUMNS
USED FOR THE hashkey
</t>
  </si>
  <si>
    <t>CONCAT BUSINESS KEY
2023-09-27=&gt; What is this? Remove?</t>
  </si>
  <si>
    <t>Vehicle</t>
  </si>
  <si>
    <t>PARTITIONED BY</t>
  </si>
  <si>
    <t>FULL PARTITIONED BY FOR HIVE TABLES</t>
  </si>
  <si>
    <t>PARTITIONED BY (ICEBERG)</t>
  </si>
  <si>
    <t>COLUMNS WITH DT INCL HASHKEY and LOAD_DATE
FOR NON ICEBERG</t>
  </si>
  <si>
    <t>DIM EXTRA COLS INCL DATATYPE
2024-02-02</t>
  </si>
  <si>
    <t>DIM EXTRA COLS EXCL DATATYPE
2024-02-02</t>
  </si>
  <si>
    <t>incl src for SCD4</t>
  </si>
  <si>
    <t>COLUMNS WITH DT INCL HASHKEY and LOAD_DATE and partition columns
ICE BERG OPTION</t>
  </si>
  <si>
    <t>LOCATION</t>
  </si>
  <si>
    <t>HASH KEY
This is a hash for all non-key columns used for SCD-2
2023-09-28 =&gt; C33 blir nu en tom hash om man inte vill ha SCD-2</t>
  </si>
  <si>
    <t>HASH KEY FRO SCD4 MINI DIMENSION
WITHOUT ALIAS</t>
  </si>
  <si>
    <t>Non Iceberg</t>
  </si>
  <si>
    <t xml:space="preserve">ROW FORMAT SERDE </t>
  </si>
  <si>
    <t>org.apache.hadoop.hive.ql.io.parquet.serde.ParquetHiveSerDe</t>
  </si>
  <si>
    <t xml:space="preserve">STORED AS INPUTFORMAT </t>
  </si>
  <si>
    <t>org.apache.hadoop.hive.ql.io.parquet.MapredParquetInputFormat</t>
  </si>
  <si>
    <t xml:space="preserve">OUTPUTFORMAT </t>
  </si>
  <si>
    <t>org.apache.hadoop.hive.ql.io.parquet.MapredParquetOutputFormat</t>
  </si>
  <si>
    <t>Current View</t>
  </si>
  <si>
    <t>COMPARE BUSINESS KEY
Used for merge with UPDATE</t>
  </si>
  <si>
    <t>COMPARE BUSINESS KEY and hashkey
Used for dim MERGE (slowly changing)</t>
  </si>
  <si>
    <t xml:space="preserve">COMPARE BUSINESS KEY and  NO hashkey
Used for fact MERGE </t>
  </si>
  <si>
    <t>dim extra cols</t>
  </si>
  <si>
    <t>CREATE TABLE COLUMN LIST FOR ICEBERG. Note that the partition columns are part of the column list.</t>
  </si>
  <si>
    <t xml:space="preserve">Create table COLUMN LIST FOR external table. </t>
  </si>
  <si>
    <t>ICEBERG OPTION</t>
  </si>
  <si>
    <t>Table Properties for ICEBERG</t>
  </si>
  <si>
    <t>TBLPROPERTIES</t>
  </si>
  <si>
    <t>SOURCE as d columns</t>
  </si>
  <si>
    <t>The Last 0 is IsCurrent. Set to 0 initially</t>
  </si>
  <si>
    <t>UPDATE COLUMNS 1</t>
  </si>
  <si>
    <t>UPDATE COLUMNS</t>
  </si>
  <si>
    <t>MAX LOAD DATE</t>
  </si>
  <si>
    <t>List wk keys</t>
  </si>
  <si>
    <t>MERGE</t>
  </si>
  <si>
    <t>MERGE TARGET TABLE ALIAS</t>
  </si>
  <si>
    <t>trg</t>
  </si>
  <si>
    <t>MERGE SOURCE TABLE ALIAS</t>
  </si>
  <si>
    <t>src</t>
  </si>
  <si>
    <t>Target table</t>
  </si>
  <si>
    <t>NON wk columns with alias f and CAST.
This is for the stage view</t>
  </si>
  <si>
    <t>NON wk columns with f as alias</t>
  </si>
  <si>
    <t>NON wk columns</t>
  </si>
  <si>
    <t>BK in source view</t>
  </si>
  <si>
    <t>wk key new stuff 2023-09-17</t>
  </si>
  <si>
    <t>cast(uuid() as varchar)</t>
  </si>
  <si>
    <t>wk key without alias</t>
  </si>
  <si>
    <t>SOURCE EXPRESSION FOR the wk-key DIM ONLY</t>
  </si>
  <si>
    <t>source columns for business key</t>
  </si>
  <si>
    <t>all source columns</t>
  </si>
  <si>
    <t>ALSO USED IN ADD-IN DMA
2023-09-15 / C101 is only the selected columns in the columns sheet</t>
  </si>
  <si>
    <t>last modified date to use in the stage view</t>
  </si>
  <si>
    <t>current date as LOAD DATE</t>
  </si>
  <si>
    <t>lastmodifed DMA</t>
  </si>
  <si>
    <t>DMA
2023-09-17/MMA working on cell C106</t>
  </si>
  <si>
    <t>WITH LIMIT 10 ON!!!!</t>
  </si>
  <si>
    <t>select</t>
  </si>
  <si>
    <t>SELECT For the source table</t>
  </si>
  <si>
    <t xml:space="preserve">Source view/table to use </t>
  </si>
  <si>
    <t>Source Table</t>
  </si>
  <si>
    <t>Generated Source SQL for dimensions</t>
  </si>
  <si>
    <t>Custom Source View Name</t>
  </si>
  <si>
    <t>Stage View FULL NAME SCD4</t>
  </si>
  <si>
    <t>Stage View Full Name</t>
  </si>
  <si>
    <t>Merge ON Query for INCREMENTAL LOADS</t>
  </si>
  <si>
    <t xml:space="preserve">stage_view select for fact tables </t>
  </si>
  <si>
    <t>Temp table name (during incremental load)</t>
  </si>
  <si>
    <t>Target table full name</t>
  </si>
  <si>
    <t>s3 path</t>
  </si>
  <si>
    <t>s3 path incl partition</t>
  </si>
  <si>
    <t>full prefix</t>
  </si>
  <si>
    <t>WHERE</t>
  </si>
  <si>
    <t>FULL WHERE CLAUSE</t>
  </si>
  <si>
    <t>Custom Source View</t>
  </si>
  <si>
    <t>TBL PROPERTIES</t>
  </si>
  <si>
    <t>VERIFY</t>
  </si>
  <si>
    <t>fact where</t>
  </si>
  <si>
    <t>user data errors</t>
  </si>
  <si>
    <t>number of duplicated target column names</t>
  </si>
  <si>
    <t>Number of columns in the target table</t>
  </si>
  <si>
    <t>UNLOAD ICEBERG TABLES TO PARQUET</t>
  </si>
  <si>
    <t>unload columns</t>
  </si>
  <si>
    <t>COPY ICEBERG DATA BY UNLOADING IT TO A NEW LOCATION</t>
  </si>
  <si>
    <t>SOURCE COLUMNS AS TARGET COLUMNS</t>
  </si>
  <si>
    <t>CDC TABLE NAME</t>
  </si>
  <si>
    <t>CDC FINAL</t>
  </si>
  <si>
    <t>CDC TBL1</t>
  </si>
  <si>
    <t>CDC TBL2</t>
  </si>
  <si>
    <t>CDC LIGHT</t>
  </si>
  <si>
    <t>partition by column name</t>
  </si>
  <si>
    <t>RAW-TO-STAGED</t>
  </si>
  <si>
    <t>RAW FULL TABLE NAME</t>
  </si>
  <si>
    <t>TEMPLATE</t>
  </si>
  <si>
    <t>ADHOC TEST</t>
  </si>
  <si>
    <t>NEW 2023-09-17</t>
  </si>
  <si>
    <t>SCD4 MINI DIMENSION</t>
  </si>
  <si>
    <t>CREATE SOURCE VIEW</t>
  </si>
  <si>
    <t>Alias</t>
  </si>
  <si>
    <t>JOIN</t>
  </si>
  <si>
    <t>wk-key lookup</t>
  </si>
  <si>
    <t>ALL COLUMNS NEEDED FOR FACT (table alias f) (Special for template #33)</t>
  </si>
  <si>
    <t>JOIN TYPE</t>
  </si>
  <si>
    <t>JOIN TYPE CLEANED</t>
  </si>
  <si>
    <t>ALL SOURCE COLUMNS</t>
  </si>
  <si>
    <t>ALL COLUMNS</t>
  </si>
  <si>
    <t>ALL JOINS</t>
  </si>
  <si>
    <t>dimension column</t>
  </si>
  <si>
    <t>SOURCE COLUMN</t>
  </si>
  <si>
    <t>JOIN CONDITION</t>
  </si>
  <si>
    <t>SOURCE COLUMNS</t>
  </si>
  <si>
    <t>SQL</t>
  </si>
  <si>
    <t>VIEW</t>
  </si>
  <si>
    <t>THIS IS A GENERATED STAGE VIEW FOR FACT TABLES</t>
  </si>
  <si>
    <t>GENERATED SOURCE VIEW FOR DIMENSIONAL TABLES</t>
  </si>
  <si>
    <t>2024-01-03: Source view for dimension tables that extracts data directly from source table but still uses last_modified_date. In this case we will need to select only the latest</t>
  </si>
  <si>
    <t>2024-01-04: Source View for iceberg fact tables</t>
  </si>
  <si>
    <t>CREATE TABLE</t>
  </si>
  <si>
    <t>SOURCE DATA TYPE (TEMP)</t>
  </si>
  <si>
    <t>SOURCE DATATYPE(FINAL)</t>
  </si>
  <si>
    <t>IF THIS IS A WK-KEY</t>
  </si>
  <si>
    <t>TARGET DATATYPE</t>
  </si>
  <si>
    <t>SOURCE DATATYPE</t>
  </si>
  <si>
    <t>SOURCE COLUMN NAME IN COLHELPER</t>
  </si>
  <si>
    <t>SOURCE COLUMN NAME IN COLHELPER (TEMP SE COL F)</t>
  </si>
  <si>
    <t>Sheet</t>
  </si>
  <si>
    <t>Columns</t>
  </si>
  <si>
    <t>Col</t>
  </si>
  <si>
    <t>O</t>
  </si>
  <si>
    <t>M</t>
  </si>
  <si>
    <t>SCD-TYPE</t>
  </si>
  <si>
    <t>WKKEy</t>
  </si>
  <si>
    <t>source condition</t>
  </si>
  <si>
    <t>SOURCE COLUMN NAME AS ENTERED</t>
  </si>
  <si>
    <t>TARGET DATA TYPE AS ENTERED</t>
  </si>
  <si>
    <t>SOURCE DATA TYPE AS ENTERED</t>
  </si>
  <si>
    <t>TABLE VERSION</t>
  </si>
  <si>
    <t>Target Columns incl partition cols incl datatype</t>
  </si>
  <si>
    <t>SOURCE BK</t>
  </si>
  <si>
    <t>SOURCE BK COL NAME</t>
  </si>
  <si>
    <t>Target Columns Excl partition cols col and datatyp</t>
  </si>
  <si>
    <t>Target Columns incl partition cols incl datatype SCD4</t>
  </si>
  <si>
    <t>TARGET SCD4 EXCL DATATYPE</t>
  </si>
  <si>
    <t>PARTITION BY (NON ICEBERG)</t>
  </si>
  <si>
    <t>PARTITION BY ICEBERG</t>
  </si>
  <si>
    <t>COALESCE CASE SENSITIVE</t>
  </si>
  <si>
    <t>COALESCE CASE INSENSITIVE</t>
  </si>
  <si>
    <t>COALESCE CASE SENSITIVE SCD4 WITHOUT table alias (reading from stage view)</t>
  </si>
  <si>
    <t>COALESCE CASE SENSITIVE SCD4 WITH src</t>
  </si>
  <si>
    <t>MERGE TARGET KEY COLUMN</t>
  </si>
  <si>
    <t>MERGE SOURCE KEY COLUMN</t>
  </si>
  <si>
    <t>MERGE KEY TARGET = SOURCE</t>
  </si>
  <si>
    <t>SCD-4 FACTLESSFACT JOIN MAIN and MINI DIMENSION using alias d from the dim and m for mini</t>
  </si>
  <si>
    <t>SCD-4 COLUMN NAME with out table alias (target)</t>
  </si>
  <si>
    <t>SCD-4 SRC COLUMNS WIT ALIAS "src" INTENTION IS TO USE THIS SELECTING FROM STAGE_VIEW</t>
  </si>
  <si>
    <t>SCD-4 MERGE TARGET COLUMN</t>
  </si>
  <si>
    <t>MERGE SCD-4 MINI DIMENSION TARGER = SOURCE</t>
  </si>
  <si>
    <t>NON KEY</t>
  </si>
  <si>
    <t>MERGE SOURCE COLUMN</t>
  </si>
  <si>
    <t>FOR MERGE UPDATES (SCD)</t>
  </si>
  <si>
    <t>FOR MERGE SCD Type 4</t>
  </si>
  <si>
    <t>warehousekey</t>
  </si>
  <si>
    <t>src with coalesce</t>
  </si>
  <si>
    <t>SCD-4 Target Column Names</t>
  </si>
  <si>
    <t>src with coalesce SCD-4</t>
  </si>
  <si>
    <t>Source columns with alias</t>
  </si>
  <si>
    <t>BK IN SOURCE</t>
  </si>
  <si>
    <t>PARTITION BY COLS IN SOURCE</t>
  </si>
  <si>
    <t>BK IN SOURECE WITH ALIAS</t>
  </si>
  <si>
    <t>PARTITION BY COLS IN SOURCE WITH ALIAS</t>
  </si>
  <si>
    <t>SOURCE COLUMN AS TARGET COLUMN</t>
  </si>
  <si>
    <t>-1 TEST</t>
  </si>
  <si>
    <t>SELECT FROM SOURCE TABLE</t>
  </si>
  <si>
    <t>Table alias f</t>
  </si>
  <si>
    <t>The -1</t>
  </si>
  <si>
    <t>The - 1 MINI DIMENSION</t>
  </si>
  <si>
    <t>Test for fact tables</t>
  </si>
  <si>
    <t>timestamp and date from string casting ALIAS f</t>
  </si>
  <si>
    <t>SOURCE COL ALIAS f</t>
  </si>
  <si>
    <t>TARGET COLUMN DUPLICATED</t>
  </si>
  <si>
    <t>TARGET COLUMN DUPLICATED (0 or 1)</t>
  </si>
  <si>
    <t>SOURCE CONDITION</t>
  </si>
  <si>
    <t>PARTITION BY S3 PATH</t>
  </si>
  <si>
    <t>SAMPLE PARTITION SOURCE CONDITION</t>
  </si>
  <si>
    <t>SAMPLE PARTITION BY S3 PATH</t>
  </si>
  <si>
    <t>IS COLUMN NAME ENTERED</t>
  </si>
  <si>
    <t>LAST JOIN FOR THE STAGE VIEW</t>
  </si>
  <si>
    <t>LAST SELECT FRO THE STAGE VIEW</t>
  </si>
  <si>
    <t>ALTER TABLE ADD COLUMN</t>
  </si>
  <si>
    <t>NEW TARGET COLUMNS</t>
  </si>
  <si>
    <t>NEW SOURCE COLUMNS</t>
  </si>
  <si>
    <t>HTML</t>
  </si>
  <si>
    <t>NUMBER OF SCD-4 COLUMNS</t>
  </si>
  <si>
    <t>QUALIFIED DIM TABLE NAME</t>
  </si>
  <si>
    <t>Suffix</t>
  </si>
  <si>
    <t>_history</t>
  </si>
  <si>
    <t>target database</t>
  </si>
  <si>
    <t>Type 4 Table Name</t>
  </si>
  <si>
    <t>FULL TABLE NAME</t>
  </si>
  <si>
    <t>wk-key column name</t>
  </si>
  <si>
    <t>wk-key column name incl datatype</t>
  </si>
  <si>
    <t>columns incl data type</t>
  </si>
  <si>
    <t>columns exl datatype</t>
  </si>
  <si>
    <t>VALUES</t>
  </si>
  <si>
    <t>CREATE SCD-4 MINI DIMENSION TABLE</t>
  </si>
  <si>
    <t>STAGE VIEW FOR MINI DIMENSION</t>
  </si>
  <si>
    <t>HASHKEY</t>
  </si>
  <si>
    <t>WHEN NOT MATCHED THEN INSERT</t>
  </si>
  <si>
    <t>SCD-4 Columns</t>
  </si>
  <si>
    <t>SCD-4 key without ALIAS</t>
  </si>
  <si>
    <t>SCD-4 wkKey with ALIAS</t>
  </si>
  <si>
    <t>SCD-4 VALUES</t>
  </si>
  <si>
    <t>SCD-4 SELECT UNIQE VALUES FROM STAGE VIEW 
src</t>
  </si>
  <si>
    <t>THE MINI DIMENSION WILL BE AN SCD-TYPE 0 = No updates</t>
  </si>
  <si>
    <t>NULL DATE</t>
  </si>
  <si>
    <t>UPDATE IS CURRENT 0</t>
  </si>
  <si>
    <t>UPDATE IS CURRENT 1</t>
  </si>
  <si>
    <t>DROP TABLE</t>
  </si>
  <si>
    <t>MISSING VALUES</t>
  </si>
  <si>
    <t>MISSIN COLUMNS</t>
  </si>
  <si>
    <t>Create factless fact bridge</t>
  </si>
  <si>
    <t>qualified tablename</t>
  </si>
  <si>
    <t>location</t>
  </si>
  <si>
    <t>CREATE FACTLESS FACT BRIDGE FOR SCD-4 MINI DIMENSION AND MAIN DIM</t>
  </si>
  <si>
    <t>DROP FACTLESSFACT</t>
  </si>
  <si>
    <t>COLUMNS IN FACTLESSFACT</t>
  </si>
  <si>
    <t>COLUMNS IN src INSERT</t>
  </si>
  <si>
    <t>drop mini dim</t>
  </si>
  <si>
    <t>MERGE SCD-4 FACTLESSFCT</t>
  </si>
  <si>
    <t>INSERT INTO FACTLESSFACT</t>
  </si>
  <si>
    <t>SRC WHEN UPDATE FACTLESFACT isLatest</t>
  </si>
  <si>
    <t>set isLatest=0</t>
  </si>
  <si>
    <t>set isLatest=1, ValidToDate=null for the latest record. RUN THIS AS A LAST STEP IN INITAL LOAD AS WELL!!!</t>
  </si>
  <si>
    <t>set ValidFromDate to null for the first records</t>
  </si>
  <si>
    <t>MERGE INTO uc0039.factVehicleVehiclehistory as trg USING (SELECT wkvehicle,   min(ValidFromDate) as ValidFromDate  FROM uc0039.factVehicleVehiclehistory GROUP BY wkvehicle) as src ON trg. wkvehicle =  src.wkvehicle AND src.ValidFromDate=trg.ValidFromDate  WHEN MATCHED THEN UPDATE set validfromdate=null</t>
  </si>
  <si>
    <t>set ValidToDate = Lastes ValidFromDate - 1 sec for the previous record</t>
  </si>
  <si>
    <t>INTIAL LOAD</t>
  </si>
  <si>
    <t>table</t>
  </si>
  <si>
    <t>odl_dwh_raw.common_dim_vehicle_tea2plus_history</t>
  </si>
  <si>
    <t>initial load view name</t>
  </si>
  <si>
    <t>SELECT FOR INTIAL LOAD MINIDIM</t>
  </si>
  <si>
    <t>INITIAL LOAD MINI DIM</t>
  </si>
  <si>
    <t>INITIALLOAD VIEW</t>
  </si>
  <si>
    <t>SELECT FOR INITIAL LOAD FACTLESSFACT</t>
  </si>
  <si>
    <t>WITH
  _md AS (
   SELECT DISTINCT
     vehicleplatformid
   , mainswpartnumber
   , last_modified_timestamp ValidFromDate
   FROM
     odl_dwh_raw.common_dim_vehicle_tea2plus_history
) 
, _final AS (
   SELECT
     d.wkvehicle
   , hist.wkVehicle_history
   , _md.ValidFromDate
   FROM
     ((_md
   INNER JOIN uc0039.dimVehicle d ON (_md.vehicleplatformid = d.vehicleplatformid))
   INNER JOIN uc0039.dimVehicle_history hist ON (_md.mainswpartnumber = hist.tea2_mainswpartnumber))
) 
, _w AS (
   SELECT
     *
   , (COALESCE(lead(validfromdate) OVER (PARTITION BY wkVehicle ORDER BY validfromdate ASC), CAST(current_timestamp AS timestamp)) - INTERVAL  '1' SECOND) ValidToDate
   , COALESCE(lead(wkvehicle_history) OVER (PARTITION BY wkVehicle ORDER BY validfromdate ASC), 0) next_wkvehicle_history
   FROM
     _final
   ORDER BY validfromdate DESC
) 
SELECT
  wkvehicle
, wkvehicle_history
, next_wkvehicle_history
, validfromdate
, validtodate
, 0 isLatest
FROM
  _w
WHERE (wkVehicle_history &lt;&gt; next_wkVehicle_History)</t>
  </si>
  <si>
    <t>INITIAL LOAD FACTLESS FACT</t>
  </si>
  <si>
    <t xml:space="preserve">TESTING ONLY </t>
  </si>
  <si>
    <t>310648B61FBDCF0AAC7830DDD5BE2770</t>
  </si>
  <si>
    <t>test odl_dwh_raw</t>
  </si>
  <si>
    <t>select vehicleplatformid,count(*) from odl_dwh_raw.common_dim_vehicle_tea2plus_history
group by vehicleplatformid
having count(*)&gt;1
limit 10</t>
  </si>
  <si>
    <t>select * from odl_dwh_raw.common_dim_vehicle_tea2plus_history where vehicleplatformid='0A412679EFD1CFF1161625326D801FDC' limit 10</t>
  </si>
  <si>
    <t>select vehicleplatformid,count(distinct mainswpartnumber) 
from odl_dwh_raw.common_dim_vehicle_tea2plus_history 
group by vehicleplatformid
having count(distinct mainswpartnumber) &gt; 1
limit 10</t>
  </si>
  <si>
    <t>select * from uc0039.factVehicleVehiclehistory WHERE wkvehicle_history=3143700967806464440</t>
  </si>
  <si>
    <t>select * from uc0039.dimvehicle_history where tea2_mainswpartnumber='24699600'</t>
  </si>
  <si>
    <t>skall ge 3 rader</t>
  </si>
  <si>
    <t>select * from uc0039.factVehicleVehiclehistory WHERE wkvehicle=7123767284171561714 order by ValidFromDate desc</t>
  </si>
  <si>
    <t>select * from odl_dwh_raw.common_dim_vehicle_tea2plus_history 
where vehicleplatformid='0A412679EFD1CFF1161625326D801FDC' 
and mainswpartnumber='24699600'
limit 100</t>
  </si>
  <si>
    <t>select * from uc0039.factVehicleVehiclehistory_initialload_v WHERE wkvehicle=7123767284171561714</t>
  </si>
  <si>
    <t>Version</t>
  </si>
  <si>
    <t>Version Alias</t>
  </si>
  <si>
    <t>Skidbladner</t>
  </si>
  <si>
    <t>Notes</t>
  </si>
  <si>
    <t>to do</t>
  </si>
  <si>
    <t>add</t>
  </si>
  <si>
    <t>source condition on the column</t>
  </si>
  <si>
    <t>source datatype</t>
  </si>
  <si>
    <t>i.e if source data type is string</t>
  </si>
  <si>
    <t>and target is timestamp</t>
  </si>
  <si>
    <t>then</t>
  </si>
  <si>
    <t>we will try to cast the string to a timestamp</t>
  </si>
  <si>
    <t>using</t>
  </si>
  <si>
    <t>cast(from_iso8601_timestamp(SOURCECOL) as timestamp)</t>
  </si>
  <si>
    <t>same thing for string to date</t>
  </si>
  <si>
    <t>cast(from_iso8601_timestamp(SOURCECOL) as date)</t>
  </si>
  <si>
    <t>MERGE INTO FOR ICEBERG TABLES WITH UPDATES</t>
  </si>
  <si>
    <t>This merge will insert not matched rows and UPDATE mathcing.
So this dimension does not support SCD-2 but with the build in time travel snapshots in ICEBERG tables you get a snapshot of the table at a specific point in time.</t>
  </si>
  <si>
    <t>MERGE INTO FOR ICEBERG TABLES WITH SLOWLY CHANGING</t>
  </si>
  <si>
    <t>WHEN NOT MACTHED THEN INSERT</t>
  </si>
  <si>
    <t>WHEN MATCHED THEN UPDATE</t>
  </si>
  <si>
    <t>UPDATE FOR NON SCD-2 COLUMNS</t>
  </si>
  <si>
    <t>THIS ONE IS IN USE</t>
  </si>
  <si>
    <t>This merge will insert not matching rows based on business key and row hashkey. If not matched then insert. This means that if the business key already exists in the target but the hash key for the row is different then a new row with the same business key will be inserted. 
So we can have multiple members with the same business key  but with different warehouse key and load date. The row with the latest load date is the curretly valid member.
Basically we have a dimension that supports "SCD-2".
Since this is a ICEBERG table we also have support for time-travel snapshots if needed!</t>
  </si>
  <si>
    <t>This is MERGE for incremental loads</t>
  </si>
  <si>
    <t>UPDATE iscurrent</t>
  </si>
  <si>
    <t>UPDATE iscurrent for DIMENSIONAL tables</t>
  </si>
  <si>
    <t>INSERT INTO FOR NON ICEBERG TABLE</t>
  </si>
  <si>
    <t>INSERT INTO FOR NON ICEBERG TABLES</t>
  </si>
  <si>
    <t>STEP 1</t>
  </si>
  <si>
    <t>Update all members. Set iscurrent=0</t>
  </si>
  <si>
    <t>STEP 2</t>
  </si>
  <si>
    <t>Update the latest member. Set IsCurrent=1</t>
  </si>
  <si>
    <t>MINI DIMENSION</t>
  </si>
  <si>
    <t>Lists all partitions</t>
  </si>
  <si>
    <t>List all snapshots</t>
  </si>
  <si>
    <t>Rewrites data files into a more optimized layout based their size and number of deelte files</t>
  </si>
  <si>
    <t>ALTER TABLE SET PROPERTIES</t>
  </si>
  <si>
    <t>VACUUM</t>
  </si>
  <si>
    <t>Drop Table (removes files in s3 as well)</t>
  </si>
  <si>
    <t>Describe Formatted</t>
  </si>
  <si>
    <t>SHOW TBLPROPERTIES</t>
  </si>
  <si>
    <t>Show Create Table</t>
  </si>
  <si>
    <t>Test Time Travel</t>
  </si>
  <si>
    <t>Test Delete</t>
  </si>
  <si>
    <t xml:space="preserve">The OPTIMIZE table REWRITE DATA compaction action rewrites data files into a more optimized layout based on their size and number of associated delete files. </t>
  </si>
  <si>
    <t>Test</t>
  </si>
  <si>
    <t>Expected Result</t>
  </si>
  <si>
    <t>Unique wk-key</t>
  </si>
  <si>
    <t>0 rows</t>
  </si>
  <si>
    <t>check uniqne business key</t>
  </si>
  <si>
    <t>check source view</t>
  </si>
  <si>
    <t>wk not null</t>
  </si>
  <si>
    <t>bk is unique for fact</t>
  </si>
  <si>
    <t>TABLE COLUMNS</t>
  </si>
  <si>
    <t>TABLE ROWS</t>
  </si>
  <si>
    <t>HTML TABLE</t>
  </si>
  <si>
    <t>DIM TABLE COLUMN HEADERS</t>
  </si>
  <si>
    <t>COLUMNS COLUMN</t>
  </si>
  <si>
    <t>COLUMNS HEADER TEXT</t>
  </si>
  <si>
    <t>Column Name</t>
  </si>
  <si>
    <t>A</t>
  </si>
  <si>
    <t>Data Type</t>
  </si>
  <si>
    <t>C</t>
  </si>
  <si>
    <t>Business Key</t>
  </si>
  <si>
    <t>H</t>
  </si>
  <si>
    <t>SCD-2</t>
  </si>
  <si>
    <t>E</t>
  </si>
  <si>
    <t>P</t>
  </si>
  <si>
    <t>HTML DIM TABLE COLUMN HEADERS</t>
  </si>
  <si>
    <t>DIMENSIONS</t>
  </si>
  <si>
    <t>Notes:</t>
  </si>
  <si>
    <t>The initial flow will unload data from a start_date to an end_date using "the loop". Then the everyday jonb will just unload the previous day data.</t>
  </si>
  <si>
    <t>SQL To execute in the AWS Steps Statemachine.</t>
  </si>
  <si>
    <t>Adhoc test (WITH a partition key with the variables set, so that you can test it in the console)</t>
  </si>
  <si>
    <t>Create stage view. No stage view for template #33</t>
  </si>
  <si>
    <t>BUCKET</t>
  </si>
  <si>
    <t>DELETE S3</t>
  </si>
  <si>
    <t>PREFIX</t>
  </si>
  <si>
    <t>UNLOAD The Source Data</t>
  </si>
  <si>
    <t>unload the data</t>
  </si>
  <si>
    <t>VERIFY PARTITION ROW COUNT</t>
  </si>
  <si>
    <t>DROP SOURCE VIEW</t>
  </si>
  <si>
    <t>Clean up</t>
  </si>
  <si>
    <t>DROP STAGE VIEW</t>
  </si>
  <si>
    <t>WIP: Calculate hash</t>
  </si>
  <si>
    <t>ALTER TABLE uc0003gtt.vul_raw ADD PARTITION (usecase_created_time = '2023-12-12') LOCATION 's3://uc0003-vgcs-odl-prod/db/vul/vul_raw/2023-12-12/'</t>
  </si>
  <si>
    <t>drop table vul_raw</t>
  </si>
  <si>
    <t>select * from vul_raw limit 10</t>
  </si>
  <si>
    <t>create raw table</t>
  </si>
  <si>
    <t>Partitions</t>
  </si>
  <si>
    <t>SAMPLE Partitions</t>
  </si>
  <si>
    <t>SAMPLE S3 Path</t>
  </si>
  <si>
    <t>BUCKET NAME</t>
  </si>
  <si>
    <t>FULL S3 PATH</t>
  </si>
  <si>
    <t>S3 PATH FOR PARTITIONS</t>
  </si>
  <si>
    <t>FULL PREFIX</t>
  </si>
  <si>
    <t>For the add partition</t>
  </si>
  <si>
    <t>TEST REPLACE [:date_yyyy_mm_dd]</t>
  </si>
  <si>
    <t>2023-05-17</t>
  </si>
  <si>
    <t>RAW</t>
  </si>
  <si>
    <t>UNLOAD SOURCE DATA TO TARGET PATH IN PARQUET FORMAT</t>
  </si>
  <si>
    <t xml:space="preserve">Drop table </t>
  </si>
  <si>
    <t>Create HIVE table</t>
  </si>
  <si>
    <t>ROW FORMAT SERDE</t>
  </si>
  <si>
    <t>STORED AS INPUTFORMAT</t>
  </si>
  <si>
    <t>OUTPUTFORMAT</t>
  </si>
  <si>
    <t>TBL</t>
  </si>
  <si>
    <t>UNLOAD DIRECT FROM CUSTOM SOURCE VIEW</t>
  </si>
  <si>
    <t>CONDITIONS</t>
  </si>
  <si>
    <t>SAMPLE CONDITIONS</t>
  </si>
  <si>
    <t>VERIFY PARTITION ROW COUNT (SAMPLE)</t>
  </si>
  <si>
    <t>PARTITION LOCATION</t>
  </si>
  <si>
    <t>Update Sequense Number</t>
  </si>
  <si>
    <t>Temporary table name</t>
  </si>
  <si>
    <t>Old table name</t>
  </si>
  <si>
    <t>Create new dimension table with new name and new s3 path</t>
  </si>
  <si>
    <t>INSERT MISSING MEMBER</t>
  </si>
  <si>
    <t>Populate data</t>
  </si>
  <si>
    <t>update iscurrent</t>
  </si>
  <si>
    <t>use old table to update the wkKeys on the new table so that the new table has the same wk-keys as the old one.
Use the busines key and iscurrent=1 to match the members</t>
  </si>
  <si>
    <t>drop the old table</t>
  </si>
  <si>
    <t>rename the new table to the old name</t>
  </si>
  <si>
    <t>REAMAINING PROBLEMS</t>
  </si>
  <si>
    <t>Since the new dimension only contains the latest version of each member. Old fact-tables refering to older version (where iscurrent=0) will now point to nothing</t>
  </si>
  <si>
    <t>solution</t>
  </si>
  <si>
    <t>insert also the old members where iscurrent=0 inot the new dim</t>
  </si>
  <si>
    <t>Variable</t>
  </si>
  <si>
    <t>Sample Value</t>
  </si>
  <si>
    <t>[:date_yyyy_mm_dd]</t>
  </si>
  <si>
    <t>2023-05-01</t>
  </si>
  <si>
    <t>[:date_yyyymmdd]</t>
  </si>
  <si>
    <t>20230502</t>
  </si>
  <si>
    <t>[:currentdate_yyyy_mm_dd]</t>
  </si>
  <si>
    <t>Description, what are you trying to find out?</t>
  </si>
  <si>
    <t>SQL Query</t>
  </si>
  <si>
    <t>What is the result? Was is expected? Any issues?</t>
  </si>
  <si>
    <t>Have a look a the target table</t>
  </si>
  <si>
    <t>Have a look in the stage view</t>
  </si>
  <si>
    <t>DESCRIBE source table</t>
  </si>
  <si>
    <t>Check your UNLOADed partitions by load date</t>
  </si>
  <si>
    <t>Check your UNLOADed partitions by lake_arrival_date</t>
  </si>
  <si>
    <t>Since we can not just copy iceberg files to a new location we need to unload it to parquet files to the new location!
Do not forget to delete any existing files in the target bucket before unloading!</t>
  </si>
  <si>
    <t>Start</t>
  </si>
  <si>
    <t>Different kind of use cases</t>
  </si>
  <si>
    <t>This tool supports two kinds of use cases. 
The first one creates a kimball datamodel with SCD-2 support. It will create dimensional- and fact tables in an athena database using Iceberg tables.
The second one is for just producing data as parquet files in a s3 bucket. It will UNLOAD the data from your source table. You will need to specify a partition key for the target table. THis partition key will be used when unloading the data and place it in the correct folder in the S3 bucket. As an option the target table can be created in the athena database. When the unload is complete the unloaded partition will be added to the table. If end users are supposed to download the output parquet files directly from S3 it is not really necessary to create the target as an athena table. However, for testing and data validation purposes doing that can be really helpful.</t>
  </si>
  <si>
    <t>Variables</t>
  </si>
  <si>
    <t>[:date_yyyy_mm_dd]: This variable will be replaced with the date extracted from time or process_date which will be input patameters to the AWS Steps State Machine. If you would like to use the UNLOAD type of job then you will probably also set a source condition on some column in source that represents the 'lake arrival date" so that you only UNLOAD the data for that specific date. Let say that the column name in the source table is 'lake_arrival_date', then you add this column to your target table. Set the partition by to 1 and enter the souce condition '=[:date_yyyy_mm_dd]'. The AWS Steps Statemachine that will be generated in subsequent steps will at run-time replace this variable with that value from the input (as described above).</t>
  </si>
  <si>
    <t>UNLOAD</t>
  </si>
  <si>
    <t>What is UNLOAD in this context?</t>
  </si>
  <si>
    <t xml:space="preserve">Unload will just use the Athena UNLOAD command and copy data from the source table to a location in S3. The file format will be parquet. </t>
  </si>
  <si>
    <t>What is needed in order to get UNLOAD to work?</t>
  </si>
  <si>
    <t>The idea is that we unload data in partitions per date. The current version does not support anything else than that. You need to have column in the target that will be the partition by column. Then you also need to set a condition on this column to '=[:date_yyyy_mm_dd]. Finaly in order to test the generated query (which will now contain this variable [:date_yyyy_mm_dd] you need to set a sample value for it in the columns sheet. I.e ''2023-05-17'</t>
  </si>
  <si>
    <t>The Vehicle Dimension, dimVehicle</t>
  </si>
  <si>
    <t>Target and Source Data Type</t>
  </si>
  <si>
    <t>For each column you need to specify what data type you would like to have in your target table and what the data type IS in the source.
For cases where you have a timestamp or a date column in the source where the data type is string you can specify timestamp or date as the data type for the target table. The scripts that is produced will try to cast the string timestamp and/or the string date to your target data type by using the method "from_iso8601_timestamp". This means that the string representation of the timestamp or date in the source must follow the iso8601 format. If this is not the case then you need to create your own custom source view where you can try different methods to cast those timestamp and dates to your target data type. It might also be an option to use the "calculation" feature. See below.</t>
  </si>
  <si>
    <t>You can use any valid athena compatible function to create a calculated column.
Some examples:
'test'
  The above will add the text 'test' to each row in your target. Also set both the target and source data type to string in this case.
CAST(substr(col1, 1, 10) as date)
 This example will take the first 10 characters from the column col1 and cast it to a date. If possible!
CASE mycol WHEN 'A' THEN 1 WHEN 'B' THEN 1 WHEN 'C' THEN 1 ELSE 0 END
 this will create the a column which will evaluate the 1 if the value in mycol is A,B, or C otherwise 0.</t>
  </si>
  <si>
    <t>Target and Source Column Name</t>
  </si>
  <si>
    <t>For each column you need in your target table you will enter a name. You will also need to enter the source name for the same column. In many cases those are the same but you still need the enter the name for both the target and the source column.
If the target name starts with wk then it is considered to be a reference to a dimensional table and a join with the dimensional table will be created. Please note that you need to specify what/which columns in source matches the natural key of the dimension. You will enter this information the sheet "Dimensions". The wk columns are calculated during loads and the do not have any source column name. So leave the target column blank for all your wk-columns.</t>
  </si>
  <si>
    <t>Souce Condition</t>
  </si>
  <si>
    <t>I you would like to filter the source data on anything then you can enter a where clause in the source condition column but without the key word WHERE.
This feature is still not in place!!!!!</t>
  </si>
  <si>
    <t>What is DMA and why should I use that?</t>
  </si>
  <si>
    <t>Each owner of a vehicle can decide whether VGCS is allowed to use the data related to that vehicle for different purposes such as service and repair, research and development and more. You can read more about DMA on the VGCS Confluence site. When your use case exposes vehicle data you will need to enable DMA. The requestor of the data in the use case need to supply one or more purpose codes that has been approved before you can deliver the data to them.</t>
  </si>
  <si>
    <t>What is needed in order to get DMA to work?</t>
  </si>
  <si>
    <t>VehhiclePlatformID</t>
  </si>
  <si>
    <t>category</t>
  </si>
  <si>
    <t>subcategory 1</t>
  </si>
  <si>
    <t>iceberg</t>
  </si>
  <si>
    <t>Looks like we can not copy the s3 files to a new location, recreate the iceberg table and expect it to automatically load the data in s3 to the table. 
The table will be created ok but it will be empty. If you need to copy the data you can use the UNLOAD command in Athena. There is a custom query you can use in order to do this.</t>
  </si>
  <si>
    <t>reg_task_start</t>
  </si>
  <si>
    <t>check_prev_task_status</t>
  </si>
  <si>
    <t xml:space="preserve"> "reg_task_start": {
            "Type": "Task",
            "Resource": "arn:aws:states:::lambda:invoke",
            "Parameters": {
                "FunctionName": "arn:aws:lambda:eu-west-1:761560768765:function:odl_reg_task_action",
                "Payload": {
                    "task_type": "AWS_STEPS_WORKFLOW",
                    "task_id.$": "$$.Execution.Id",
                    "time.$": "$$.Execution.Input.time",
                    "tag.$": "$$.Execution.Input.tag",
                    "force_rerun.$": "$$.Execution.Input.force_rerun",
                    "set_running_task_to_failed": "False",
                    "use_process_hour": "False",
                    "process_yesterday": "False",
                    "parent_task_id.$": "$$.Execution.Input.parent_task_id",
                    "action": "start",
                    "task_name.$": "$$.StateMachine.Name"
                }
            },
            "Next": "check_prev_task_status",
            "ResultPath": "$.reg_task_start",
            "Retry": [
                {
                    "ErrorEquals": [
                        "States.All"
                    ],
                    "BackoffRate": 2,
                    "IntervalSeconds": 30,
                    "MaxAttempts": 10
                }
            ],
            "Catch": [
                {
                    "ErrorEquals": [
                        "States.ALL"
                    ],
                    "Next": "reg_task_failure",
                    "ResultPath": "$.error-info"
                }
            ]
        },</t>
  </si>
  <si>
    <t xml:space="preserve">  "check_prev_task_status": {
            "Type": "Choice",
            "Choices": [
                {
                    "Variable": "$.reg_task_start.Payload.continue",
                    "BooleanEquals": false,
                    "Next": "Success"
                },
                {
                    "Variable": "$$.Execution.Input.force_rerun",
                    "StringEquals": "True",
                    "Next": "set_sql"
                },
                {
                    "Variable": "$.reg_task_start.Payload.prev.status",
                    "StringEquals": "dns_stoprequest",
                    "Next": "set_sql"
                },
                {
                    "Variable": "$.reg_task_start.Payload.prev.status",
                    "StringEquals": "running",
                    "Next": "set_sql"
                },
                {
                    "Variable": "$.reg_task_start.Payload.prev.status",
                    "StringEquals": "Failed",
                    "Next": "set_sql"
                },
                {
                    "Variable": "$.reg_task_start.Payload.prev.status",
                    "StringEquals": "not found",
                    "Next": "set_sql"
                },
                {
                    "Variable": "$.reg_task_start.Payload.prev.status",
                    "StringEquals": "Success",
                    "Next": "Success"
                },
                {
                    "Variable": "$.reg_task_start.Payload.prev.status",
                    "StringEquals": "already_completed",
                    "Next": "Success"
                }
            ]
        }</t>
  </si>
  <si>
    <t>$eq'[:date_yyyy_mm_dd]'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</si>
</sst>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font>
      <sz val="11"/>
      <color theme="1"/>
      <name val="Calibri"/>
      <family val="2"/>
      <scheme val="minor"/>
    </font>
    <font>
      <sz val="11"/>
      <color theme="0"/>
      <name val="Calibri"/>
      <family val="2"/>
      <scheme val="minor"/>
    </font>
    <font>
      <sz val="11"/>
      <color theme="1"/>
      <name val="Consolas"/>
      <family val="3"/>
    </font>
    <font>
      <sz val="10"/>
      <color rgb="FF16191F"/>
      <name val="Var(--font-family-monospace-iz2"/>
    </font>
    <font>
      <sz val="11"/>
      <color theme="0" tint="-0.249977111117893"/>
      <name val="Calibri"/>
      <family val="2"/>
      <scheme val="minor"/>
    </font>
    <font>
      <sz val="16"/>
      <color theme="0"/>
      <name val="Calibri"/>
      <family val="2"/>
      <scheme val="minor"/>
    </font>
    <font>
      <b/>
      <sz val="11"/>
      <color theme="1"/>
      <name val="Calibri"/>
      <family val="2"/>
      <scheme val="minor"/>
    </font>
    <font>
      <b/>
      <i/>
      <sz val="11"/>
      <color theme="1"/>
      <name val="Calibri"/>
      <family val="2"/>
      <scheme val="minor"/>
    </font>
    <font>
      <sz val="11"/>
      <name val="Calibri"/>
      <family val="2"/>
      <scheme val="minor"/>
    </font>
    <font>
      <sz val="11"/>
      <color theme="0" tint="-0.34998626667073579"/>
      <name val="Calibri"/>
      <family val="2"/>
      <scheme val="minor"/>
    </font>
    <font>
      <i/>
      <sz val="11"/>
      <color theme="1"/>
      <name val="Calibri"/>
      <family val="2"/>
      <scheme val="minor"/>
    </font>
    <font>
      <b/>
      <sz val="11"/>
      <color theme="0"/>
      <name val="Calibri"/>
      <family val="2"/>
      <scheme val="minor"/>
    </font>
    <font>
      <sz val="18"/>
      <color theme="0"/>
      <name val="Calibri"/>
      <family val="2"/>
      <scheme val="minor"/>
    </font>
    <font>
      <sz val="11"/>
      <color theme="0" tint="-0.14999847407452621"/>
      <name val="Calibri"/>
      <family val="2"/>
      <scheme val="minor"/>
    </font>
    <font>
      <sz val="11"/>
      <color rgb="FF16191F"/>
      <name val="Roboto"/>
    </font>
    <font>
      <sz val="11"/>
      <color rgb="FF002060"/>
      <name val="Calibri"/>
      <family val="2"/>
      <scheme val="minor"/>
    </font>
    <font>
      <b/>
      <sz val="16"/>
      <color theme="0"/>
      <name val="Calibri"/>
      <family val="2"/>
      <scheme val="minor"/>
    </font>
    <font>
      <sz val="16"/>
      <color theme="1"/>
      <name val="Calibri"/>
      <family val="2"/>
      <scheme val="minor"/>
    </font>
    <font>
      <u/>
      <sz val="11"/>
      <color theme="10"/>
      <name val="Calibri"/>
      <family val="2"/>
      <scheme val="minor"/>
    </font>
    <font>
      <b/>
      <sz val="11"/>
      <name val="Calibri"/>
      <family val="2"/>
      <scheme val="minor"/>
    </font>
    <font>
      <sz val="11"/>
      <color rgb="FFDCDCAA"/>
      <name val="Consolas"/>
      <family val="3"/>
    </font>
    <font>
      <sz val="20"/>
      <color theme="0"/>
      <name val="Calibri"/>
      <family val="2"/>
      <scheme val="minor"/>
    </font>
    <font>
      <sz val="12"/>
      <color theme="0"/>
      <name val="Calibri"/>
      <family val="2"/>
      <scheme val="minor"/>
    </font>
    <font>
      <i/>
      <sz val="11"/>
      <name val="Calibri"/>
      <family val="2"/>
      <scheme val="minor"/>
    </font>
    <font>
      <sz val="11"/>
      <name val="Consolas"/>
      <family val="3"/>
    </font>
    <font>
      <sz val="11"/>
      <color theme="0" tint="-0.499984740745262"/>
      <name val="Calibri"/>
      <family val="2"/>
      <scheme val="minor"/>
    </font>
    <font>
      <sz val="12"/>
      <color rgb="FF794938"/>
      <name val="Consolas"/>
      <family val="3"/>
    </font>
    <font>
      <sz val="11"/>
      <color rgb="FFCE9178"/>
      <name val="Consolas"/>
      <family val="3"/>
    </font>
    <font>
      <sz val="11"/>
      <color rgb="FF0451A5"/>
      <name val="Consolas"/>
      <family val="3"/>
    </font>
    <font>
      <sz val="11"/>
      <color theme="0"/>
      <name val="Consolas"/>
      <family val="3"/>
    </font>
    <font>
      <sz val="10"/>
      <color rgb="FF16191F"/>
      <name val="Var(--font-family-monospace-yt4"/>
    </font>
    <font>
      <b/>
      <sz val="14"/>
      <color theme="1"/>
      <name val="Calibri"/>
      <family val="2"/>
      <scheme val="minor"/>
    </font>
    <font>
      <sz val="11"/>
      <color rgb="FF000000"/>
      <name val="Consolas"/>
      <family val="3"/>
    </font>
    <font>
      <b/>
      <i/>
      <sz val="14"/>
      <name val="Calibri"/>
      <family val="2"/>
      <scheme val="minor"/>
    </font>
  </fonts>
  <fills count="15">
    <fill>
      <patternFill patternType="none"/>
    </fill>
    <fill>
      <patternFill patternType="gray125"/>
    </fill>
    <fill>
      <patternFill patternType="solid">
        <fgColor theme="1"/>
        <bgColor indexed="64"/>
      </patternFill>
    </fill>
    <fill>
      <patternFill patternType="solid">
        <fgColor rgb="FFFFFF00"/>
        <bgColor indexed="64"/>
      </patternFill>
    </fill>
    <fill>
      <patternFill patternType="solid">
        <fgColor rgb="FF002060"/>
        <bgColor indexed="64"/>
      </patternFill>
    </fill>
    <fill>
      <patternFill patternType="solid">
        <fgColor rgb="FFFFC000"/>
        <bgColor indexed="64"/>
      </patternFill>
    </fill>
    <fill>
      <patternFill patternType="solid">
        <fgColor theme="0"/>
        <bgColor indexed="64"/>
      </patternFill>
    </fill>
    <fill>
      <patternFill patternType="solid">
        <fgColor rgb="FF92D050"/>
        <bgColor indexed="64"/>
      </patternFill>
    </fill>
    <fill>
      <patternFill patternType="solid">
        <fgColor rgb="FF00B050"/>
        <bgColor indexed="64"/>
      </patternFill>
    </fill>
    <fill>
      <patternFill patternType="solid">
        <fgColor rgb="FF0070C0"/>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theme="0" tint="-0.34998626667073579"/>
        <bgColor indexed="64"/>
      </patternFill>
    </fill>
    <fill>
      <patternFill patternType="solid">
        <fgColor rgb="FF00B0F0"/>
        <bgColor indexed="64"/>
      </patternFill>
    </fill>
  </fills>
  <borders count="5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bottom style="hair">
        <color indexed="64"/>
      </bottom>
      <diagonal/>
    </border>
    <border>
      <left style="hair">
        <color indexed="64"/>
      </left>
      <right style="hair">
        <color indexed="64"/>
      </right>
      <top/>
      <bottom/>
      <diagonal/>
    </border>
    <border>
      <left/>
      <right/>
      <top style="hair">
        <color indexed="64"/>
      </top>
      <bottom style="hair">
        <color indexed="64"/>
      </bottom>
      <diagonal/>
    </border>
    <border>
      <left/>
      <right style="hair">
        <color indexed="64"/>
      </right>
      <top style="hair">
        <color indexed="64"/>
      </top>
      <bottom style="hair">
        <color indexed="64"/>
      </bottom>
      <diagonal/>
    </border>
    <border>
      <left/>
      <right/>
      <top style="hair">
        <color indexed="64"/>
      </top>
      <bottom/>
      <diagonal/>
    </border>
    <border>
      <left style="hair">
        <color indexed="64"/>
      </left>
      <right/>
      <top style="hair">
        <color indexed="64"/>
      </top>
      <bottom style="hair">
        <color indexed="64"/>
      </bottom>
      <diagonal/>
    </border>
    <border>
      <left style="medium">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style="medium">
        <color indexed="64"/>
      </left>
      <right style="thin">
        <color indexed="64"/>
      </right>
      <top style="thin">
        <color indexed="64"/>
      </top>
      <bottom style="medium">
        <color indexed="64"/>
      </bottom>
      <diagonal/>
    </border>
    <border>
      <left/>
      <right style="medium">
        <color indexed="64"/>
      </right>
      <top/>
      <bottom style="medium">
        <color indexed="64"/>
      </bottom>
      <diagonal/>
    </border>
    <border>
      <left/>
      <right style="medium">
        <color indexed="64"/>
      </right>
      <top/>
      <bottom/>
      <diagonal/>
    </border>
    <border>
      <left/>
      <right/>
      <top style="medium">
        <color indexed="64"/>
      </top>
      <bottom/>
      <diagonal/>
    </border>
    <border>
      <left/>
      <right/>
      <top/>
      <bottom style="medium">
        <color indexed="64"/>
      </bottom>
      <diagonal/>
    </border>
    <border>
      <left style="hair">
        <color indexed="64"/>
      </left>
      <right/>
      <top style="hair">
        <color indexed="64"/>
      </top>
      <bottom style="medium">
        <color indexed="64"/>
      </bottom>
      <diagonal/>
    </border>
    <border>
      <left style="medium">
        <color indexed="64"/>
      </left>
      <right style="thin">
        <color indexed="64"/>
      </right>
      <top style="thin">
        <color indexed="64"/>
      </top>
      <bottom/>
      <diagonal/>
    </border>
    <border>
      <left/>
      <right style="hair">
        <color indexed="64"/>
      </right>
      <top style="hair">
        <color indexed="64"/>
      </top>
      <bottom style="medium">
        <color indexed="64"/>
      </bottom>
      <diagonal/>
    </border>
    <border>
      <left style="medium">
        <color indexed="64"/>
      </left>
      <right/>
      <top/>
      <bottom/>
      <diagonal/>
    </border>
    <border>
      <left style="medium">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hair">
        <color indexed="64"/>
      </left>
      <right/>
      <top/>
      <bottom/>
      <diagonal/>
    </border>
    <border>
      <left/>
      <right/>
      <top style="hair">
        <color indexed="64"/>
      </top>
      <bottom style="medium">
        <color indexed="64"/>
      </bottom>
      <diagonal/>
    </border>
    <border>
      <left/>
      <right style="hair">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style="hair">
        <color indexed="64"/>
      </right>
      <top style="medium">
        <color indexed="64"/>
      </top>
      <bottom/>
      <diagonal/>
    </border>
    <border>
      <left style="medium">
        <color indexed="64"/>
      </left>
      <right style="hair">
        <color indexed="64"/>
      </right>
      <top style="hair">
        <color indexed="64"/>
      </top>
      <bottom/>
      <diagonal/>
    </border>
    <border>
      <left/>
      <right/>
      <top style="medium">
        <color indexed="64"/>
      </top>
      <bottom style="medium">
        <color indexed="64"/>
      </bottom>
      <diagonal/>
    </border>
    <border>
      <left/>
      <right/>
      <top/>
      <bottom style="hair">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hair">
        <color indexed="64"/>
      </left>
      <right/>
      <top/>
      <bottom style="hair">
        <color indexed="64"/>
      </bottom>
      <diagonal/>
    </border>
    <border>
      <left style="thin">
        <color indexed="64"/>
      </left>
      <right style="medium">
        <color indexed="64"/>
      </right>
      <top style="thin">
        <color indexed="64"/>
      </top>
      <bottom/>
      <diagonal/>
    </border>
    <border>
      <left style="medium">
        <color indexed="64"/>
      </left>
      <right style="hair">
        <color indexed="64"/>
      </right>
      <top style="medium">
        <color indexed="64"/>
      </top>
      <bottom style="hair">
        <color indexed="64"/>
      </bottom>
      <diagonal/>
    </border>
    <border>
      <left style="hair">
        <color indexed="64"/>
      </left>
      <right/>
      <top style="medium">
        <color indexed="64"/>
      </top>
      <bottom style="hair">
        <color indexed="64"/>
      </bottom>
      <diagonal/>
    </border>
  </borders>
  <cellStyleXfs count="2">
    <xf numFmtId="0" fontId="0" fillId="0" borderId="0"/>
    <xf numFmtId="0" fontId="18" fillId="0" borderId="0"/>
  </cellStyleXfs>
  <cellXfs count="307">
    <xf numFmtId="0" fontId="0" fillId="0" borderId="0" xfId="0"/>
    <xf numFmtId="0" fontId="2" fillId="0" borderId="0" xfId="0" applyFont="1" applyAlignment="1">
      <alignment vertical="center"/>
    </xf>
    <xf numFmtId="0" fontId="0" fillId="0" borderId="0" xfId="0" quotePrefix="1"/>
    <xf numFmtId="0" fontId="5" fillId="4" borderId="2" xfId="0" applyFont="1" applyFill="1" applyBorder="1" applyAlignment="1">
      <alignment vertical="center"/>
    </xf>
    <xf numFmtId="0" fontId="7" fillId="0" borderId="0" xfId="0" applyFont="1"/>
    <xf numFmtId="0" fontId="7" fillId="0" borderId="0" xfId="0" applyFont="1" applyAlignment="1">
      <alignment vertical="top"/>
    </xf>
    <xf numFmtId="0" fontId="6" fillId="0" borderId="0" xfId="0" applyFont="1" applyAlignment="1">
      <alignment vertical="top"/>
    </xf>
    <xf numFmtId="0" fontId="3" fillId="0" borderId="0" xfId="0" applyFont="1" applyAlignment="1">
      <alignment horizontal="left" vertical="top"/>
    </xf>
    <xf numFmtId="0" fontId="7" fillId="0" borderId="0" xfId="0" applyFont="1" applyAlignment="1">
      <alignment vertical="top" wrapText="1"/>
    </xf>
    <xf numFmtId="0" fontId="9" fillId="0" borderId="0" xfId="0" applyFont="1"/>
    <xf numFmtId="0" fontId="0" fillId="3" borderId="0" xfId="0" applyFill="1" applyAlignment="1">
      <alignment vertical="top" wrapText="1"/>
    </xf>
    <xf numFmtId="0" fontId="1" fillId="4" borderId="0" xfId="0" applyFont="1" applyFill="1" applyAlignment="1">
      <alignment wrapText="1"/>
    </xf>
    <xf numFmtId="0" fontId="0" fillId="0" borderId="0" xfId="0" applyAlignment="1">
      <alignment horizontal="left" vertical="top"/>
    </xf>
    <xf numFmtId="0" fontId="0" fillId="5" borderId="1" xfId="0" applyFill="1" applyBorder="1" applyAlignment="1">
      <alignment vertical="top" wrapText="1"/>
    </xf>
    <xf numFmtId="0" fontId="9" fillId="0" borderId="0" xfId="0" applyFont="1" applyAlignment="1">
      <alignment vertical="top" wrapText="1"/>
    </xf>
    <xf numFmtId="0" fontId="0" fillId="3" borderId="0" xfId="0" applyFill="1" applyAlignment="1">
      <alignment vertical="top"/>
    </xf>
    <xf numFmtId="0" fontId="11" fillId="4" borderId="2" xfId="0" applyFont="1" applyFill="1" applyBorder="1" applyAlignment="1">
      <alignment vertical="top"/>
    </xf>
    <xf numFmtId="0" fontId="1" fillId="4" borderId="3" xfId="0" applyFont="1" applyFill="1" applyBorder="1" applyAlignment="1">
      <alignment vertical="top"/>
    </xf>
    <xf numFmtId="0" fontId="1" fillId="2" borderId="0" xfId="0" applyFont="1" applyFill="1" applyAlignment="1">
      <alignment vertical="top" wrapText="1"/>
    </xf>
    <xf numFmtId="0" fontId="14" fillId="0" borderId="0" xfId="0" applyFont="1"/>
    <xf numFmtId="0" fontId="1" fillId="4" borderId="5" xfId="0" applyFont="1" applyFill="1" applyBorder="1"/>
    <xf numFmtId="0" fontId="0" fillId="0" borderId="4" xfId="0" applyBorder="1"/>
    <xf numFmtId="0" fontId="1" fillId="4" borderId="6" xfId="0" applyFont="1" applyFill="1" applyBorder="1" applyAlignment="1">
      <alignment vertical="top"/>
    </xf>
    <xf numFmtId="0" fontId="0" fillId="4" borderId="0" xfId="0" applyFill="1" applyAlignment="1">
      <alignment vertical="top"/>
    </xf>
    <xf numFmtId="0" fontId="1" fillId="4" borderId="0" xfId="0" applyFont="1" applyFill="1" applyAlignment="1">
      <alignment vertical="top" wrapText="1"/>
    </xf>
    <xf numFmtId="0" fontId="0" fillId="0" borderId="0" xfId="0" quotePrefix="1" applyAlignment="1">
      <alignment vertical="top" wrapText="1"/>
    </xf>
    <xf numFmtId="0" fontId="0" fillId="4" borderId="7" xfId="0" applyFill="1" applyBorder="1" applyAlignment="1">
      <alignment vertical="top" wrapText="1"/>
    </xf>
    <xf numFmtId="0" fontId="0" fillId="0" borderId="8" xfId="0" applyBorder="1" applyAlignment="1">
      <alignment vertical="top" wrapText="1"/>
    </xf>
    <xf numFmtId="0" fontId="0" fillId="4" borderId="8" xfId="0" applyFill="1" applyBorder="1" applyAlignment="1">
      <alignment vertical="top" wrapText="1"/>
    </xf>
    <xf numFmtId="0" fontId="1" fillId="4" borderId="6" xfId="0" applyFont="1" applyFill="1" applyBorder="1" applyAlignment="1">
      <alignment vertical="top" wrapText="1"/>
    </xf>
    <xf numFmtId="0" fontId="1" fillId="4" borderId="0" xfId="0" applyFont="1" applyFill="1"/>
    <xf numFmtId="0" fontId="10" fillId="0" borderId="0" xfId="0" applyFont="1" applyAlignment="1">
      <alignment vertical="top"/>
    </xf>
    <xf numFmtId="0" fontId="1" fillId="4" borderId="6" xfId="0" applyFont="1" applyFill="1" applyBorder="1"/>
    <xf numFmtId="0" fontId="1" fillId="4" borderId="7" xfId="0" applyFont="1" applyFill="1" applyBorder="1"/>
    <xf numFmtId="0" fontId="1" fillId="4" borderId="9" xfId="0" applyFont="1" applyFill="1" applyBorder="1"/>
    <xf numFmtId="0" fontId="7" fillId="0" borderId="10" xfId="0" applyFont="1" applyBorder="1" applyAlignment="1">
      <alignment vertical="top" wrapText="1"/>
    </xf>
    <xf numFmtId="0" fontId="10" fillId="0" borderId="14" xfId="0" applyFont="1" applyBorder="1" applyAlignment="1">
      <alignment vertical="top"/>
    </xf>
    <xf numFmtId="0" fontId="10" fillId="0" borderId="15" xfId="0" applyFont="1" applyBorder="1" applyAlignment="1">
      <alignment vertical="top"/>
    </xf>
    <xf numFmtId="0" fontId="0" fillId="3" borderId="10" xfId="0" applyFill="1" applyBorder="1"/>
    <xf numFmtId="0" fontId="4" fillId="0" borderId="10" xfId="0" applyFont="1" applyBorder="1"/>
    <xf numFmtId="0" fontId="0" fillId="3" borderId="11" xfId="0" applyFill="1" applyBorder="1"/>
    <xf numFmtId="0" fontId="0" fillId="0" borderId="13" xfId="0" applyBorder="1" applyAlignment="1">
      <alignment vertical="top"/>
    </xf>
    <xf numFmtId="0" fontId="10" fillId="0" borderId="15" xfId="0" applyFont="1" applyBorder="1" applyAlignment="1">
      <alignment vertical="top" wrapText="1"/>
    </xf>
    <xf numFmtId="0" fontId="6" fillId="0" borderId="13" xfId="0" applyFont="1" applyBorder="1" applyAlignment="1">
      <alignment vertical="top"/>
    </xf>
    <xf numFmtId="0" fontId="0" fillId="0" borderId="10" xfId="0" applyBorder="1" applyAlignment="1">
      <alignment vertical="top" wrapText="1"/>
    </xf>
    <xf numFmtId="0" fontId="1" fillId="4" borderId="6" xfId="0" applyFont="1" applyFill="1" applyBorder="1" applyAlignment="1">
      <alignment vertical="center"/>
    </xf>
    <xf numFmtId="0" fontId="1" fillId="4" borderId="5" xfId="0" applyFont="1" applyFill="1" applyBorder="1" applyAlignment="1">
      <alignment vertical="center"/>
    </xf>
    <xf numFmtId="0" fontId="4" fillId="0" borderId="12" xfId="0" applyFont="1" applyBorder="1"/>
    <xf numFmtId="0" fontId="6" fillId="0" borderId="10" xfId="0" applyFont="1" applyBorder="1" applyAlignment="1">
      <alignment vertical="top" wrapText="1"/>
    </xf>
    <xf numFmtId="0" fontId="1" fillId="4" borderId="4" xfId="0" applyFont="1" applyFill="1" applyBorder="1"/>
    <xf numFmtId="0" fontId="13" fillId="6" borderId="10" xfId="0" applyFont="1" applyFill="1" applyBorder="1"/>
    <xf numFmtId="0" fontId="0" fillId="3" borderId="17" xfId="0" applyFill="1" applyBorder="1"/>
    <xf numFmtId="0" fontId="0" fillId="3" borderId="15" xfId="0" applyFill="1" applyBorder="1"/>
    <xf numFmtId="0" fontId="0" fillId="3" borderId="18" xfId="0" applyFill="1" applyBorder="1"/>
    <xf numFmtId="0" fontId="0" fillId="3" borderId="19" xfId="0" applyFill="1" applyBorder="1"/>
    <xf numFmtId="0" fontId="0" fillId="3" borderId="20" xfId="0" applyFill="1" applyBorder="1"/>
    <xf numFmtId="0" fontId="0" fillId="3" borderId="21" xfId="0" applyFill="1" applyBorder="1"/>
    <xf numFmtId="0" fontId="0" fillId="0" borderId="23" xfId="0" applyBorder="1"/>
    <xf numFmtId="0" fontId="0" fillId="0" borderId="22" xfId="0" applyBorder="1"/>
    <xf numFmtId="0" fontId="0" fillId="6" borderId="24" xfId="0" applyFill="1" applyBorder="1"/>
    <xf numFmtId="0" fontId="0" fillId="0" borderId="25" xfId="0" applyBorder="1"/>
    <xf numFmtId="0" fontId="14" fillId="6" borderId="24" xfId="0" applyFont="1" applyFill="1" applyBorder="1"/>
    <xf numFmtId="0" fontId="0" fillId="0" borderId="27" xfId="0" applyBorder="1"/>
    <xf numFmtId="0" fontId="0" fillId="0" borderId="28" xfId="0" applyBorder="1"/>
    <xf numFmtId="0" fontId="0" fillId="3" borderId="29" xfId="0" applyFill="1" applyBorder="1"/>
    <xf numFmtId="0" fontId="0" fillId="0" borderId="26" xfId="0" applyBorder="1"/>
    <xf numFmtId="0" fontId="0" fillId="6" borderId="30" xfId="0" applyFill="1" applyBorder="1"/>
    <xf numFmtId="0" fontId="1" fillId="4" borderId="23" xfId="0" applyFont="1" applyFill="1" applyBorder="1"/>
    <xf numFmtId="0" fontId="1" fillId="4" borderId="22" xfId="0" applyFont="1" applyFill="1" applyBorder="1"/>
    <xf numFmtId="0" fontId="0" fillId="3" borderId="31" xfId="0" applyFill="1" applyBorder="1"/>
    <xf numFmtId="0" fontId="2" fillId="0" borderId="0" xfId="0" applyFont="1" applyAlignment="1">
      <alignment vertical="top" wrapText="1"/>
    </xf>
    <xf numFmtId="0" fontId="1" fillId="0" borderId="0" xfId="0" applyFont="1" applyAlignment="1">
      <alignment vertical="top" wrapText="1"/>
    </xf>
    <xf numFmtId="0" fontId="1" fillId="4" borderId="0" xfId="0" applyFont="1" applyFill="1" applyAlignment="1">
      <alignment vertical="top"/>
    </xf>
    <xf numFmtId="0" fontId="4" fillId="0" borderId="9" xfId="0" applyFont="1" applyBorder="1"/>
    <xf numFmtId="0" fontId="0" fillId="0" borderId="32" xfId="0" applyBorder="1"/>
    <xf numFmtId="0" fontId="0" fillId="0" borderId="33" xfId="0" applyBorder="1"/>
    <xf numFmtId="0" fontId="9" fillId="0" borderId="34" xfId="0" applyFont="1" applyBorder="1"/>
    <xf numFmtId="0" fontId="9" fillId="0" borderId="35" xfId="0" applyFont="1" applyBorder="1"/>
    <xf numFmtId="0" fontId="9" fillId="0" borderId="36" xfId="0" applyFont="1" applyBorder="1"/>
    <xf numFmtId="0" fontId="0" fillId="0" borderId="34" xfId="0" applyBorder="1" applyAlignment="1">
      <alignment vertical="top"/>
    </xf>
    <xf numFmtId="0" fontId="0" fillId="0" borderId="35" xfId="0" applyBorder="1" applyAlignment="1">
      <alignment vertical="top"/>
    </xf>
    <xf numFmtId="0" fontId="0" fillId="0" borderId="36" xfId="0" applyBorder="1" applyAlignment="1">
      <alignment vertical="top"/>
    </xf>
    <xf numFmtId="0" fontId="10" fillId="0" borderId="10" xfId="0" applyFont="1" applyBorder="1" applyAlignment="1">
      <alignment vertical="top"/>
    </xf>
    <xf numFmtId="0" fontId="0" fillId="0" borderId="15" xfId="0" applyBorder="1" applyAlignment="1">
      <alignment vertical="top" wrapText="1"/>
    </xf>
    <xf numFmtId="0" fontId="0" fillId="0" borderId="11" xfId="0" applyBorder="1" applyAlignment="1">
      <alignment vertical="top"/>
    </xf>
    <xf numFmtId="0" fontId="4" fillId="6" borderId="10" xfId="0" applyFont="1" applyFill="1" applyBorder="1"/>
    <xf numFmtId="0" fontId="4" fillId="2" borderId="0" xfId="0" applyFont="1" applyFill="1"/>
    <xf numFmtId="0" fontId="0" fillId="3" borderId="14" xfId="0" applyFill="1" applyBorder="1"/>
    <xf numFmtId="0" fontId="0" fillId="3" borderId="38" xfId="0" applyFill="1" applyBorder="1"/>
    <xf numFmtId="0" fontId="14" fillId="3" borderId="14" xfId="0" applyFont="1" applyFill="1" applyBorder="1"/>
    <xf numFmtId="0" fontId="14" fillId="3" borderId="10" xfId="0" applyFont="1" applyFill="1" applyBorder="1"/>
    <xf numFmtId="0" fontId="7" fillId="0" borderId="13" xfId="0" applyFont="1" applyBorder="1" applyAlignment="1">
      <alignment vertical="top" wrapText="1"/>
    </xf>
    <xf numFmtId="0" fontId="10" fillId="0" borderId="10" xfId="0" applyFont="1" applyBorder="1" applyAlignment="1">
      <alignment vertical="top" wrapText="1"/>
    </xf>
    <xf numFmtId="0" fontId="0" fillId="7" borderId="15" xfId="0" applyFill="1" applyBorder="1" applyAlignment="1">
      <alignment vertical="top"/>
    </xf>
    <xf numFmtId="0" fontId="0" fillId="7" borderId="10" xfId="0" applyFill="1" applyBorder="1" applyAlignment="1">
      <alignment vertical="top"/>
    </xf>
    <xf numFmtId="0" fontId="7" fillId="0" borderId="10" xfId="0" applyFont="1" applyBorder="1" applyAlignment="1">
      <alignment vertical="top"/>
    </xf>
    <xf numFmtId="0" fontId="8" fillId="0" borderId="0" xfId="0" applyFont="1" applyAlignment="1">
      <alignment vertical="center"/>
    </xf>
    <xf numFmtId="0" fontId="15" fillId="0" borderId="10" xfId="0" applyFont="1" applyBorder="1" applyAlignment="1">
      <alignment vertical="top"/>
    </xf>
    <xf numFmtId="0" fontId="0" fillId="3" borderId="40" xfId="0" applyFill="1" applyBorder="1" applyAlignment="1">
      <alignment vertical="top" wrapText="1"/>
    </xf>
    <xf numFmtId="14" fontId="0" fillId="0" borderId="0" xfId="0" applyNumberFormat="1"/>
    <xf numFmtId="0" fontId="0" fillId="0" borderId="23" xfId="0" applyBorder="1" applyAlignment="1">
      <alignment vertical="top" wrapText="1"/>
    </xf>
    <xf numFmtId="0" fontId="0" fillId="0" borderId="27" xfId="0" applyBorder="1" applyAlignment="1">
      <alignment vertical="top" wrapText="1"/>
    </xf>
    <xf numFmtId="0" fontId="0" fillId="0" borderId="32" xfId="0" applyBorder="1" applyAlignment="1">
      <alignment vertical="top" wrapText="1"/>
    </xf>
    <xf numFmtId="0" fontId="0" fillId="0" borderId="33" xfId="0" applyBorder="1" applyAlignment="1">
      <alignment vertical="top" wrapText="1"/>
    </xf>
    <xf numFmtId="0" fontId="0" fillId="0" borderId="28" xfId="0" applyBorder="1" applyAlignment="1">
      <alignment vertical="top"/>
    </xf>
    <xf numFmtId="0" fontId="0" fillId="0" borderId="28" xfId="0" applyBorder="1" applyAlignment="1">
      <alignment vertical="top" wrapText="1"/>
    </xf>
    <xf numFmtId="0" fontId="0" fillId="4" borderId="0" xfId="0" applyFill="1" applyAlignment="1">
      <alignment vertical="top" wrapText="1"/>
    </xf>
    <xf numFmtId="0" fontId="6" fillId="0" borderId="23" xfId="0" applyFont="1" applyBorder="1"/>
    <xf numFmtId="0" fontId="9" fillId="3" borderId="0" xfId="0" applyFont="1" applyFill="1"/>
    <xf numFmtId="0" fontId="0" fillId="8" borderId="0" xfId="0" applyFill="1" applyAlignment="1">
      <alignment vertical="top" wrapText="1"/>
    </xf>
    <xf numFmtId="0" fontId="0" fillId="0" borderId="39" xfId="0" applyBorder="1"/>
    <xf numFmtId="0" fontId="4" fillId="0" borderId="16" xfId="0" applyFont="1" applyBorder="1"/>
    <xf numFmtId="0" fontId="16" fillId="4" borderId="0" xfId="0" applyFont="1" applyFill="1"/>
    <xf numFmtId="0" fontId="17" fillId="0" borderId="0" xfId="0" applyFont="1"/>
    <xf numFmtId="0" fontId="5" fillId="9" borderId="0" xfId="0" applyFont="1" applyFill="1"/>
    <xf numFmtId="0" fontId="0" fillId="0" borderId="41" xfId="0" applyBorder="1"/>
    <xf numFmtId="0" fontId="0" fillId="0" borderId="42" xfId="0" applyBorder="1"/>
    <xf numFmtId="0" fontId="0" fillId="0" borderId="20" xfId="0" applyBorder="1"/>
    <xf numFmtId="0" fontId="0" fillId="0" borderId="40" xfId="0" applyBorder="1" applyAlignment="1">
      <alignment vertical="center"/>
    </xf>
    <xf numFmtId="0" fontId="18" fillId="0" borderId="40" xfId="1" applyBorder="1" applyAlignment="1">
      <alignment vertical="center"/>
    </xf>
    <xf numFmtId="0" fontId="20" fillId="0" borderId="27" xfId="0" applyFont="1" applyBorder="1" applyAlignment="1">
      <alignment vertical="center"/>
    </xf>
    <xf numFmtId="0" fontId="20" fillId="0" borderId="0" xfId="0" applyFont="1" applyAlignment="1">
      <alignment vertical="center"/>
    </xf>
    <xf numFmtId="0" fontId="20" fillId="0" borderId="32" xfId="0" applyFont="1" applyBorder="1" applyAlignment="1">
      <alignment vertical="center"/>
    </xf>
    <xf numFmtId="14" fontId="0" fillId="0" borderId="0" xfId="0" quotePrefix="1" applyNumberFormat="1"/>
    <xf numFmtId="0" fontId="1" fillId="4" borderId="3" xfId="0" applyFont="1" applyFill="1" applyBorder="1" applyAlignment="1">
      <alignment vertical="center"/>
    </xf>
    <xf numFmtId="0" fontId="4" fillId="0" borderId="14" xfId="0" applyFont="1" applyBorder="1"/>
    <xf numFmtId="0" fontId="0" fillId="0" borderId="39" xfId="0" applyBorder="1" applyAlignment="1">
      <alignment vertical="top" wrapText="1"/>
    </xf>
    <xf numFmtId="0" fontId="8" fillId="3" borderId="10" xfId="0" applyFont="1" applyFill="1" applyBorder="1" applyAlignment="1">
      <alignment vertical="top" wrapText="1"/>
    </xf>
    <xf numFmtId="0" fontId="1" fillId="2" borderId="0" xfId="0" applyFont="1" applyFill="1"/>
    <xf numFmtId="0" fontId="0" fillId="0" borderId="0" xfId="0" applyAlignment="1">
      <alignment horizontal="left"/>
    </xf>
    <xf numFmtId="0" fontId="6" fillId="0" borderId="0" xfId="0" applyFont="1"/>
    <xf numFmtId="0" fontId="6" fillId="0" borderId="0" xfId="0" applyFont="1" applyAlignment="1">
      <alignment horizontal="left"/>
    </xf>
    <xf numFmtId="0" fontId="14" fillId="0" borderId="44" xfId="0" applyFont="1" applyBorder="1"/>
    <xf numFmtId="0" fontId="0" fillId="0" borderId="12" xfId="0" applyBorder="1"/>
    <xf numFmtId="0" fontId="0" fillId="0" borderId="0" xfId="0" applyAlignment="1">
      <alignment horizontal="left" indent="1"/>
    </xf>
    <xf numFmtId="0" fontId="0" fillId="0" borderId="39" xfId="0" applyBorder="1" applyAlignment="1">
      <alignment horizontal="left" indent="1"/>
    </xf>
    <xf numFmtId="0" fontId="14" fillId="0" borderId="16" xfId="0" applyFont="1" applyBorder="1"/>
    <xf numFmtId="0" fontId="8" fillId="0" borderId="0" xfId="0" applyFont="1" applyAlignment="1">
      <alignment horizontal="left" indent="1"/>
    </xf>
    <xf numFmtId="0" fontId="19" fillId="0" borderId="0" xfId="0" applyFont="1" applyAlignment="1">
      <alignment horizontal="left"/>
    </xf>
    <xf numFmtId="0" fontId="14" fillId="0" borderId="14" xfId="0" applyFont="1" applyBorder="1"/>
    <xf numFmtId="0" fontId="6" fillId="0" borderId="0" xfId="0" applyFont="1" applyAlignment="1">
      <alignment horizontal="left" indent="1"/>
    </xf>
    <xf numFmtId="0" fontId="6" fillId="0" borderId="39" xfId="0" applyFont="1" applyBorder="1" applyAlignment="1">
      <alignment horizontal="left" indent="1"/>
    </xf>
    <xf numFmtId="0" fontId="0" fillId="0" borderId="39" xfId="0" applyBorder="1" applyAlignment="1">
      <alignment horizontal="left" indent="2"/>
    </xf>
    <xf numFmtId="0" fontId="10" fillId="0" borderId="0" xfId="0" applyFont="1" applyAlignment="1">
      <alignment vertical="top" wrapText="1"/>
    </xf>
    <xf numFmtId="0" fontId="0" fillId="0" borderId="0" xfId="0" applyAlignment="1">
      <alignment wrapText="1"/>
    </xf>
    <xf numFmtId="0" fontId="22" fillId="4" borderId="3" xfId="0" applyFont="1" applyFill="1" applyBorder="1" applyAlignment="1">
      <alignment vertical="center"/>
    </xf>
    <xf numFmtId="0" fontId="8" fillId="0" borderId="0" xfId="0" applyFont="1" applyAlignment="1">
      <alignment vertical="top" wrapText="1"/>
    </xf>
    <xf numFmtId="0" fontId="8" fillId="6" borderId="0" xfId="0" applyFont="1" applyFill="1" applyAlignment="1">
      <alignment vertical="top" wrapText="1"/>
    </xf>
    <xf numFmtId="0" fontId="2" fillId="0" borderId="0" xfId="0" quotePrefix="1" applyFont="1"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10" fillId="10" borderId="10" xfId="0" applyFont="1" applyFill="1" applyBorder="1" applyAlignment="1">
      <alignment vertical="top" wrapText="1"/>
    </xf>
    <xf numFmtId="0" fontId="10" fillId="10" borderId="10" xfId="0" applyFont="1" applyFill="1" applyBorder="1" applyAlignment="1">
      <alignment vertical="center" wrapText="1"/>
    </xf>
    <xf numFmtId="0" fontId="10" fillId="10" borderId="10" xfId="0" applyFont="1" applyFill="1" applyBorder="1"/>
    <xf numFmtId="0" fontId="23" fillId="10" borderId="10" xfId="0" applyFont="1" applyFill="1" applyBorder="1"/>
    <xf numFmtId="0" fontId="23" fillId="10" borderId="10" xfId="0" applyFont="1" applyFill="1" applyBorder="1" applyAlignment="1">
      <alignment vertical="top" wrapText="1"/>
    </xf>
    <xf numFmtId="0" fontId="11" fillId="4" borderId="0" xfId="0" applyFont="1" applyFill="1"/>
    <xf numFmtId="0" fontId="6" fillId="0" borderId="1" xfId="0" applyFont="1" applyBorder="1"/>
    <xf numFmtId="0" fontId="8" fillId="0" borderId="12" xfId="0" applyFont="1" applyBorder="1" applyAlignment="1">
      <alignment vertical="center"/>
    </xf>
    <xf numFmtId="0" fontId="25" fillId="0" borderId="12" xfId="0" applyFont="1" applyBorder="1" applyAlignment="1">
      <alignment vertical="center"/>
    </xf>
    <xf numFmtId="0" fontId="8" fillId="6" borderId="10" xfId="0" applyFont="1" applyFill="1" applyBorder="1"/>
    <xf numFmtId="0" fontId="0" fillId="11" borderId="45" xfId="0" applyFill="1" applyBorder="1"/>
    <xf numFmtId="0" fontId="0" fillId="11" borderId="46" xfId="0" applyFill="1" applyBorder="1"/>
    <xf numFmtId="0" fontId="0" fillId="4" borderId="45" xfId="0" applyFill="1" applyBorder="1"/>
    <xf numFmtId="0" fontId="0" fillId="0" borderId="45" xfId="0" applyBorder="1"/>
    <xf numFmtId="0" fontId="1" fillId="4" borderId="47" xfId="0" applyFont="1" applyFill="1" applyBorder="1" applyAlignment="1">
      <alignment vertical="center"/>
    </xf>
    <xf numFmtId="0" fontId="1" fillId="4" borderId="47" xfId="0" quotePrefix="1" applyFont="1" applyFill="1" applyBorder="1" applyAlignment="1">
      <alignment vertical="center"/>
    </xf>
    <xf numFmtId="0" fontId="8" fillId="5" borderId="1" xfId="0" applyFont="1" applyFill="1" applyBorder="1" applyAlignment="1">
      <alignment vertical="center"/>
    </xf>
    <xf numFmtId="0" fontId="8" fillId="0" borderId="47" xfId="0" applyFont="1" applyBorder="1" applyAlignment="1">
      <alignment vertical="center"/>
    </xf>
    <xf numFmtId="0" fontId="0" fillId="0" borderId="5" xfId="0" applyBorder="1"/>
    <xf numFmtId="0" fontId="0" fillId="0" borderId="6" xfId="0" applyBorder="1" applyAlignment="1">
      <alignment vertical="top" wrapText="1"/>
    </xf>
    <xf numFmtId="0" fontId="0" fillId="0" borderId="7" xfId="0" applyBorder="1"/>
    <xf numFmtId="0" fontId="0" fillId="0" borderId="8" xfId="0" applyBorder="1"/>
    <xf numFmtId="0" fontId="0" fillId="0" borderId="48" xfId="0" applyBorder="1"/>
    <xf numFmtId="0" fontId="0" fillId="0" borderId="49" xfId="0" applyBorder="1" applyAlignment="1">
      <alignment vertical="top" wrapText="1"/>
    </xf>
    <xf numFmtId="0" fontId="0" fillId="0" borderId="49" xfId="0" applyBorder="1"/>
    <xf numFmtId="0" fontId="0" fillId="0" borderId="50" xfId="0" applyBorder="1"/>
    <xf numFmtId="0" fontId="4" fillId="0" borderId="6" xfId="0" applyFont="1" applyBorder="1"/>
    <xf numFmtId="0" fontId="4" fillId="0" borderId="49" xfId="0" applyFont="1" applyBorder="1"/>
    <xf numFmtId="0" fontId="0" fillId="0" borderId="0" xfId="0" applyAlignment="1">
      <alignment horizontal="left" vertical="top" indent="1"/>
    </xf>
    <xf numFmtId="0" fontId="0" fillId="0" borderId="39" xfId="0" applyBorder="1" applyAlignment="1">
      <alignment horizontal="left" vertical="top" indent="1"/>
    </xf>
    <xf numFmtId="0" fontId="0" fillId="0" borderId="51" xfId="0" applyBorder="1" applyAlignment="1">
      <alignment vertical="top" wrapText="1"/>
    </xf>
    <xf numFmtId="0" fontId="0" fillId="0" borderId="4" xfId="0" applyBorder="1" applyAlignment="1">
      <alignment horizontal="left" indent="1"/>
    </xf>
    <xf numFmtId="0" fontId="0" fillId="0" borderId="5" xfId="0" applyBorder="1" applyAlignment="1">
      <alignment horizontal="left" vertical="top" indent="1"/>
    </xf>
    <xf numFmtId="0" fontId="0" fillId="0" borderId="7" xfId="0" applyBorder="1" applyAlignment="1">
      <alignment vertical="top"/>
    </xf>
    <xf numFmtId="0" fontId="0" fillId="0" borderId="8" xfId="0" applyBorder="1" applyAlignment="1">
      <alignment vertical="top"/>
    </xf>
    <xf numFmtId="0" fontId="0" fillId="0" borderId="50" xfId="0" applyBorder="1" applyAlignment="1">
      <alignment vertical="top"/>
    </xf>
    <xf numFmtId="0" fontId="8" fillId="0" borderId="0" xfId="0" quotePrefix="1" applyFont="1"/>
    <xf numFmtId="0" fontId="6" fillId="0" borderId="0" xfId="0" applyFont="1" applyAlignment="1">
      <alignment vertical="top" wrapText="1"/>
    </xf>
    <xf numFmtId="0" fontId="6" fillId="0" borderId="10" xfId="0" quotePrefix="1" applyFont="1" applyBorder="1" applyAlignment="1">
      <alignment vertical="top" wrapText="1"/>
    </xf>
    <xf numFmtId="0" fontId="0" fillId="3" borderId="0" xfId="0" applyFill="1"/>
    <xf numFmtId="0" fontId="8" fillId="5" borderId="47" xfId="0" applyFont="1" applyFill="1" applyBorder="1" applyAlignment="1">
      <alignment vertical="center"/>
    </xf>
    <xf numFmtId="0" fontId="0" fillId="4" borderId="0" xfId="0" applyFill="1"/>
    <xf numFmtId="0" fontId="26" fillId="0" borderId="0" xfId="0" applyFont="1" applyAlignment="1">
      <alignment vertical="top" wrapText="1"/>
    </xf>
    <xf numFmtId="0" fontId="0" fillId="3" borderId="27" xfId="0" applyFill="1" applyBorder="1" applyAlignment="1">
      <alignment vertical="top" wrapText="1"/>
    </xf>
    <xf numFmtId="0" fontId="0" fillId="5" borderId="0" xfId="0" applyFill="1" applyAlignment="1">
      <alignment vertical="top" wrapText="1"/>
    </xf>
    <xf numFmtId="0" fontId="0" fillId="0" borderId="47" xfId="0" applyBorder="1" applyAlignment="1">
      <alignment vertical="top" wrapText="1"/>
    </xf>
    <xf numFmtId="0" fontId="6" fillId="3" borderId="0" xfId="0" applyFont="1" applyFill="1"/>
    <xf numFmtId="0" fontId="8" fillId="6" borderId="0" xfId="0" applyFont="1" applyFill="1"/>
    <xf numFmtId="0" fontId="0" fillId="0" borderId="10" xfId="0" applyBorder="1" applyAlignment="1">
      <alignment vertical="top"/>
    </xf>
    <xf numFmtId="0" fontId="28" fillId="0" borderId="0" xfId="0" applyFont="1" applyAlignment="1">
      <alignment vertical="center"/>
    </xf>
    <xf numFmtId="0" fontId="29" fillId="4" borderId="0" xfId="0" applyFont="1" applyFill="1" applyAlignment="1">
      <alignment vertical="center"/>
    </xf>
    <xf numFmtId="0" fontId="4" fillId="0" borderId="0" xfId="0" applyFont="1" applyAlignment="1">
      <alignment vertical="top" wrapText="1"/>
    </xf>
    <xf numFmtId="22" fontId="8" fillId="0" borderId="0" xfId="0" applyNumberFormat="1" applyFont="1"/>
    <xf numFmtId="0" fontId="14" fillId="3" borderId="44" xfId="0" applyFont="1" applyFill="1" applyBorder="1"/>
    <xf numFmtId="0" fontId="27" fillId="0" borderId="0" xfId="0" applyFont="1" applyAlignment="1">
      <alignment vertical="center"/>
    </xf>
    <xf numFmtId="0" fontId="0" fillId="0" borderId="9" xfId="0" applyBorder="1" applyAlignment="1">
      <alignment vertical="top"/>
    </xf>
    <xf numFmtId="0" fontId="0" fillId="0" borderId="45" xfId="0" applyBorder="1" applyAlignment="1">
      <alignment vertical="top"/>
    </xf>
    <xf numFmtId="0" fontId="0" fillId="0" borderId="9" xfId="0" applyBorder="1"/>
    <xf numFmtId="0" fontId="0" fillId="0" borderId="46" xfId="0" applyBorder="1"/>
    <xf numFmtId="0" fontId="8" fillId="4" borderId="0" xfId="0" applyFont="1" applyFill="1"/>
    <xf numFmtId="0" fontId="4" fillId="0" borderId="0" xfId="0" applyFont="1"/>
    <xf numFmtId="0" fontId="0" fillId="0" borderId="1" xfId="0" applyBorder="1" applyAlignment="1">
      <alignment vertical="top"/>
    </xf>
    <xf numFmtId="0" fontId="0" fillId="10" borderId="1" xfId="0" applyFill="1" applyBorder="1"/>
    <xf numFmtId="0" fontId="4" fillId="12" borderId="0" xfId="0" applyFont="1" applyFill="1"/>
    <xf numFmtId="0" fontId="24" fillId="0" borderId="0" xfId="0" applyFont="1" applyAlignment="1">
      <alignment vertical="center"/>
    </xf>
    <xf numFmtId="0" fontId="4" fillId="0" borderId="2" xfId="0" applyFont="1" applyBorder="1"/>
    <xf numFmtId="0" fontId="4" fillId="0" borderId="47" xfId="0" applyFont="1" applyBorder="1"/>
    <xf numFmtId="0" fontId="4" fillId="0" borderId="3" xfId="0" applyFont="1" applyBorder="1"/>
    <xf numFmtId="0" fontId="0" fillId="0" borderId="6" xfId="0" applyBorder="1" applyAlignment="1">
      <alignment vertical="top"/>
    </xf>
    <xf numFmtId="0" fontId="0" fillId="0" borderId="0" xfId="0" applyAlignment="1">
      <alignment vertical="top"/>
    </xf>
    <xf numFmtId="0" fontId="1" fillId="0" borderId="0" xfId="0" applyFont="1"/>
    <xf numFmtId="0" fontId="2" fillId="3" borderId="18" xfId="0" applyFont="1" applyFill="1" applyBorder="1" applyAlignment="1">
      <alignment vertical="center"/>
    </xf>
    <xf numFmtId="0" fontId="2" fillId="3" borderId="19" xfId="0" applyFont="1" applyFill="1" applyBorder="1" applyAlignment="1">
      <alignment vertical="center"/>
    </xf>
    <xf numFmtId="0" fontId="8" fillId="11" borderId="0" xfId="0" applyFont="1" applyFill="1"/>
    <xf numFmtId="0" fontId="30" fillId="0" borderId="0" xfId="0" applyFont="1" applyAlignment="1">
      <alignment horizontal="left" vertical="center"/>
    </xf>
    <xf numFmtId="0" fontId="14" fillId="11" borderId="0" xfId="0" applyFont="1" applyFill="1" applyAlignment="1">
      <alignment horizontal="left" vertical="center" wrapText="1"/>
    </xf>
    <xf numFmtId="0" fontId="0" fillId="11" borderId="0" xfId="0" applyFill="1"/>
    <xf numFmtId="0" fontId="2" fillId="11" borderId="0" xfId="0" applyFont="1" applyFill="1" applyAlignment="1">
      <alignment vertical="center"/>
    </xf>
    <xf numFmtId="0" fontId="0" fillId="11" borderId="0" xfId="0" applyFill="1" applyAlignment="1">
      <alignment vertical="top" wrapText="1"/>
    </xf>
    <xf numFmtId="0" fontId="4" fillId="11" borderId="0" xfId="0" applyFont="1" applyFill="1"/>
    <xf numFmtId="0" fontId="0" fillId="11" borderId="0" xfId="0" quotePrefix="1" applyFill="1"/>
    <xf numFmtId="0" fontId="8" fillId="11" borderId="0" xfId="0" quotePrefix="1" applyFont="1" applyFill="1"/>
    <xf numFmtId="0" fontId="0" fillId="0" borderId="0" xfId="0" applyAlignment="1">
      <alignment horizontal="left" indent="2"/>
    </xf>
    <xf numFmtId="0" fontId="0" fillId="0" borderId="0" xfId="0" quotePrefix="1" applyAlignment="1">
      <alignment horizontal="left" indent="2"/>
    </xf>
    <xf numFmtId="0" fontId="0" fillId="0" borderId="0" xfId="0" quotePrefix="1" applyAlignment="1">
      <alignment horizontal="left" indent="3"/>
    </xf>
    <xf numFmtId="0" fontId="0" fillId="10" borderId="10" xfId="0" applyFill="1" applyBorder="1"/>
    <xf numFmtId="0" fontId="0" fillId="9" borderId="0" xfId="0" applyFill="1" applyAlignment="1">
      <alignment vertical="top" wrapText="1"/>
    </xf>
    <xf numFmtId="0" fontId="0" fillId="9" borderId="0" xfId="0" applyFill="1"/>
    <xf numFmtId="0" fontId="0" fillId="9" borderId="0" xfId="0" applyFill="1" applyAlignment="1">
      <alignment vertical="top"/>
    </xf>
    <xf numFmtId="0" fontId="0" fillId="13" borderId="0" xfId="0" applyFill="1" applyAlignment="1">
      <alignment vertical="top" wrapText="1"/>
    </xf>
    <xf numFmtId="0" fontId="2" fillId="3" borderId="13" xfId="0" applyFont="1" applyFill="1" applyBorder="1" applyAlignment="1">
      <alignment vertical="center"/>
    </xf>
    <xf numFmtId="0" fontId="2" fillId="3" borderId="37" xfId="0" applyFont="1" applyFill="1" applyBorder="1" applyAlignment="1">
      <alignment vertical="center"/>
    </xf>
    <xf numFmtId="0" fontId="14" fillId="3" borderId="14" xfId="0" applyFont="1" applyFill="1" applyBorder="1" applyAlignment="1">
      <alignment vertical="top" wrapText="1"/>
    </xf>
    <xf numFmtId="0" fontId="2" fillId="3" borderId="39" xfId="0" applyFont="1" applyFill="1" applyBorder="1" applyAlignment="1">
      <alignment vertical="center"/>
    </xf>
    <xf numFmtId="0" fontId="14" fillId="3" borderId="0" xfId="0" applyFont="1" applyFill="1" applyAlignment="1">
      <alignment horizontal="left" vertical="center" wrapText="1"/>
    </xf>
    <xf numFmtId="0" fontId="14" fillId="3" borderId="17" xfId="0" applyFont="1" applyFill="1" applyBorder="1" applyAlignment="1">
      <alignment vertical="top" wrapText="1"/>
    </xf>
    <xf numFmtId="0" fontId="19" fillId="0" borderId="23" xfId="0" applyFont="1" applyBorder="1"/>
    <xf numFmtId="0" fontId="0" fillId="7" borderId="0" xfId="0" applyFill="1"/>
    <xf numFmtId="0" fontId="0" fillId="7" borderId="0" xfId="0" applyFill="1" applyAlignment="1">
      <alignment vertical="top" wrapText="1"/>
    </xf>
    <xf numFmtId="0" fontId="9" fillId="3" borderId="0" xfId="0" applyFont="1" applyFill="1" applyAlignment="1">
      <alignment vertical="top" wrapText="1"/>
    </xf>
    <xf numFmtId="0" fontId="8" fillId="7" borderId="0" xfId="0" applyFont="1" applyFill="1" applyAlignment="1">
      <alignment vertical="top" wrapText="1"/>
    </xf>
    <xf numFmtId="0" fontId="31" fillId="3" borderId="10" xfId="0" applyFont="1" applyFill="1" applyBorder="1" applyAlignment="1">
      <alignment vertical="top" wrapText="1"/>
    </xf>
    <xf numFmtId="0" fontId="0" fillId="0" borderId="2" xfId="0" applyBorder="1"/>
    <xf numFmtId="0" fontId="0" fillId="0" borderId="47" xfId="0" applyBorder="1"/>
    <xf numFmtId="0" fontId="0" fillId="0" borderId="3" xfId="0" applyBorder="1"/>
    <xf numFmtId="0" fontId="14" fillId="3" borderId="7" xfId="0" applyFont="1" applyFill="1" applyBorder="1"/>
    <xf numFmtId="0" fontId="14" fillId="3" borderId="5" xfId="0" applyFont="1" applyFill="1" applyBorder="1"/>
    <xf numFmtId="0" fontId="2" fillId="3" borderId="0" xfId="0" applyFont="1" applyFill="1" applyAlignment="1">
      <alignment vertical="center"/>
    </xf>
    <xf numFmtId="0" fontId="14" fillId="3" borderId="0" xfId="0" applyFont="1" applyFill="1" applyAlignment="1">
      <alignment vertical="top" wrapText="1"/>
    </xf>
    <xf numFmtId="0" fontId="14" fillId="0" borderId="0" xfId="0" applyFont="1" applyAlignment="1">
      <alignment horizontal="left" vertical="center" wrapText="1"/>
    </xf>
    <xf numFmtId="0" fontId="8" fillId="3" borderId="10" xfId="0" applyFont="1" applyFill="1" applyBorder="1"/>
    <xf numFmtId="14" fontId="8" fillId="0" borderId="0" xfId="0" quotePrefix="1" applyNumberFormat="1" applyFont="1"/>
    <xf numFmtId="0" fontId="14" fillId="3" borderId="30" xfId="0" applyFont="1" applyFill="1" applyBorder="1" applyAlignment="1">
      <alignment horizontal="left" vertical="center" wrapText="1"/>
    </xf>
    <xf numFmtId="0" fontId="14" fillId="3" borderId="52" xfId="0" applyFont="1" applyFill="1" applyBorder="1" applyAlignment="1">
      <alignment horizontal="left" vertical="center" wrapText="1"/>
    </xf>
    <xf numFmtId="0" fontId="14" fillId="3" borderId="53" xfId="0" applyFont="1" applyFill="1" applyBorder="1"/>
    <xf numFmtId="0" fontId="14" fillId="3" borderId="54" xfId="0" applyFont="1" applyFill="1" applyBorder="1"/>
    <xf numFmtId="0" fontId="32" fillId="3" borderId="0" xfId="0" applyFont="1" applyFill="1" applyAlignment="1">
      <alignment horizontal="left" vertical="center" indent="3"/>
    </xf>
    <xf numFmtId="0" fontId="14" fillId="3" borderId="12" xfId="0" applyFont="1" applyFill="1" applyBorder="1"/>
    <xf numFmtId="0" fontId="0" fillId="5" borderId="0" xfId="0" applyFill="1"/>
    <xf numFmtId="0" fontId="13" fillId="4" borderId="0" xfId="0" applyFont="1" applyFill="1"/>
    <xf numFmtId="0" fontId="33" fillId="0" borderId="13" xfId="0" applyFont="1" applyBorder="1" applyAlignment="1">
      <alignment vertical="top" wrapText="1"/>
    </xf>
    <xf numFmtId="0" fontId="0" fillId="0" borderId="10" xfId="0" applyBorder="1"/>
    <xf numFmtId="0" fontId="0" fillId="5" borderId="0" xfId="0" applyFill="1" applyAlignment="1">
      <alignment vertical="top"/>
    </xf>
    <xf numFmtId="0" fontId="0" fillId="14" borderId="1" xfId="0" applyFill="1" applyBorder="1" applyAlignment="1">
      <alignment vertical="top" wrapText="1"/>
    </xf>
    <xf numFmtId="0" fontId="6" fillId="14" borderId="1" xfId="0" applyFont="1" applyFill="1" applyBorder="1" applyAlignment="1">
      <alignment vertical="top" wrapText="1"/>
    </xf>
    <xf numFmtId="0" fontId="0" fillId="14" borderId="1" xfId="0" applyFill="1" applyBorder="1"/>
    <xf numFmtId="0" fontId="0" fillId="0" borderId="1" xfId="0" applyBorder="1" applyAlignment="1">
      <alignment vertical="top" wrapText="1"/>
    </xf>
    <xf numFmtId="0" fontId="0" fillId="0" borderId="1" xfId="0" applyBorder="1"/>
    <xf numFmtId="0" fontId="13" fillId="0" borderId="0" xfId="0" applyFont="1"/>
    <xf numFmtId="0" fontId="8" fillId="0" borderId="0" xfId="0" applyFont="1"/>
    <xf numFmtId="0" fontId="14" fillId="0" borderId="0" xfId="0" applyFont="1" applyAlignment="1">
      <alignment wrapText="1"/>
    </xf>
    <xf numFmtId="0" fontId="0" fillId="5" borderId="10" xfId="0" applyFill="1" applyBorder="1" applyAlignment="1">
      <alignment vertical="top"/>
    </xf>
    <xf numFmtId="0" fontId="0" fillId="0" borderId="0" xfId="0"/>
    <xf numFmtId="0" fontId="0" fillId="0" borderId="0" xfId="0" applyAlignment="1">
      <alignment vertical="center"/>
    </xf>
    <xf numFmtId="0" fontId="0" fillId="0" borderId="0" xfId="0" applyAlignment="1">
      <alignment vertical="top" wrapText="1"/>
    </xf>
    <xf numFmtId="0" fontId="21" fillId="4" borderId="0" xfId="0" applyFont="1" applyFill="1" applyAlignment="1">
      <alignment vertical="center"/>
    </xf>
    <xf numFmtId="0" fontId="21" fillId="0" borderId="0" xfId="0" applyFont="1" applyAlignment="1">
      <alignment vertical="center"/>
    </xf>
    <xf numFmtId="0" fontId="19" fillId="7" borderId="43" xfId="0" applyFont="1" applyFill="1" applyBorder="1" applyAlignment="1">
      <alignment vertical="center"/>
    </xf>
    <xf numFmtId="0" fontId="0" fillId="0" borderId="0" xfId="0"/>
    <xf numFmtId="0" fontId="0" fillId="0" borderId="0" xfId="0"/>
    <xf numFmtId="0" fontId="0" fillId="5" borderId="10" xfId="0" applyFill="1" applyBorder="1" applyAlignment="1">
      <alignment vertical="top" wrapText="1"/>
    </xf>
    <xf numFmtId="0" fontId="0" fillId="0" borderId="14" xfId="0" applyBorder="1"/>
    <xf numFmtId="0" fontId="0" fillId="0" borderId="15" xfId="0" applyBorder="1"/>
    <xf numFmtId="0" fontId="0" fillId="5" borderId="10" xfId="0" applyFill="1" applyBorder="1" applyAlignment="1">
      <alignment vertical="top"/>
    </xf>
    <xf numFmtId="0" fontId="0" fillId="5" borderId="37" xfId="0" applyFill="1" applyBorder="1" applyAlignment="1">
      <alignment vertical="top" wrapText="1"/>
    </xf>
    <xf numFmtId="0" fontId="0" fillId="0" borderId="0" xfId="0"/>
    <xf numFmtId="0" fontId="1" fillId="4" borderId="0" xfId="0" applyFont="1" applyFill="1" applyAlignment="1">
      <alignment vertical="center"/>
    </xf>
    <xf numFmtId="0" fontId="0" fillId="0" borderId="0" xfId="0" applyAlignment="1">
      <alignment vertical="center"/>
    </xf>
    <xf numFmtId="0" fontId="12" fillId="4" borderId="4" xfId="0" applyFont="1" applyFill="1" applyBorder="1" applyAlignment="1">
      <alignment vertical="center"/>
    </xf>
    <xf numFmtId="0" fontId="0" fillId="0" borderId="0" xfId="0" applyAlignment="1">
      <alignment vertical="top" wrapText="1"/>
    </xf>
    <xf numFmtId="0" fontId="21" fillId="4" borderId="0" xfId="0" applyFont="1" applyFill="1" applyAlignment="1">
      <alignment vertical="center"/>
    </xf>
    <xf numFmtId="0" fontId="21" fillId="0" borderId="0" xfId="0" applyFont="1" applyAlignment="1">
      <alignment vertical="center"/>
    </xf>
    <xf numFmtId="0" fontId="19" fillId="7" borderId="43" xfId="0" applyFont="1" applyFill="1" applyBorder="1" applyAlignment="1">
      <alignment vertical="center"/>
    </xf>
    <xf numFmtId="0" fontId="0" fillId="0" borderId="43" xfId="0" applyBorder="1"/>
    <xf numFmtId="0" fontId="0" fillId="5" borderId="37" xfId="0" applyFill="1" applyBorder="1" applyAlignment="1">
      <alignment vertical="top"/>
    </xf>
    <xf numFmtId="0" fontId="12" fillId="0" borderId="0" xfId="0" applyFont="1" applyAlignment="1">
      <alignment vertical="center"/>
    </xf>
  </cellXfs>
  <cellStyles count="2">
    <cellStyle name="Hyperlink" xfId="1" builtinId="8"/>
    <cellStyle name="Normal" xfId="0" builtinId="0"/>
  </cellStyles>
  <dxfs count="1">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
  <sheetViews>
    <sheetView showGridLines="0" showRowColHeaders="0" workbookViewId="0">
      <selection activeCell="B24" sqref="B24"/>
    </sheetView>
  </sheetViews>
  <sheetFormatPr defaultRowHeight="15"/>
  <cols>
    <col min="2" max="2" width="31.5703125" style="283" bestFit="1" customWidth="1"/>
    <col min="3" max="3" width="157.85546875" style="283" customWidth="1"/>
  </cols>
  <sheetData>
    <row r="1" spans="1:5" s="284" customFormat="1" ht="36.75" customHeight="1">
      <c r="A1" s="299" t="str">
        <f>"VCGS Team ODL - Data Pipeline - Version " &amp;Version!B1 &amp; "  " &amp; Version!B2 &amp; " - " &amp; Options!B25</f>
        <v>VCGS Team ODL - Data Pipeline - Version 115  Skidbladner - factVCSSLast90</v>
      </c>
      <c r="B1" s="298"/>
      <c r="C1" s="298"/>
      <c r="D1" s="298"/>
      <c r="E1" s="298"/>
    </row>
    <row r="4" spans="1:5" s="284" customFormat="1">
      <c r="A4" s="46" t="s">
        <v>0</v>
      </c>
      <c r="B4" s="45" t="s">
        <v>1</v>
      </c>
      <c r="C4" s="297" t="s">
        <v>2</v>
      </c>
      <c r="D4" s="298"/>
      <c r="E4" s="298"/>
    </row>
    <row r="5" spans="1:5" ht="60.75" customHeight="1">
      <c r="A5" s="273">
        <v>1</v>
      </c>
      <c r="B5" s="282" t="s">
        <v>3</v>
      </c>
      <c r="C5" s="291" t="s">
        <v>4</v>
      </c>
      <c r="D5" s="292"/>
      <c r="E5" s="293"/>
    </row>
    <row r="6" spans="1:5" ht="22.5" customHeight="1">
      <c r="A6" s="273">
        <v>2</v>
      </c>
      <c r="B6" s="282" t="s">
        <v>5</v>
      </c>
      <c r="C6" s="294" t="s">
        <v>6</v>
      </c>
      <c r="D6" s="292"/>
      <c r="E6" s="293"/>
    </row>
    <row r="7" spans="1:5" ht="24" customHeight="1">
      <c r="A7" s="273">
        <v>3</v>
      </c>
      <c r="B7" s="282" t="s">
        <v>7</v>
      </c>
      <c r="C7" s="294" t="s">
        <v>8</v>
      </c>
      <c r="D7" s="292"/>
      <c r="E7" s="293"/>
    </row>
    <row r="8" spans="1:5" ht="18" customHeight="1">
      <c r="A8" s="273">
        <f>IF(Options!B31=1,"",4)</f>
        <v>4</v>
      </c>
      <c r="B8" s="282" t="str">
        <f>IF(Options!B31=1,"", "Describe the relations to used dimensions")</f>
        <v>Describe the relations to used dimensions</v>
      </c>
      <c r="C8" s="294" t="str">
        <f>IF(Options!B31=1,"", "Fill in columns to use when doing a lookup in a used dimensional table.")</f>
        <v>Fill in columns to use when doing a lookup in a used dimensional table.</v>
      </c>
      <c r="D8" s="292"/>
      <c r="E8" s="293"/>
    </row>
    <row r="9" spans="1:5" ht="137.25" customHeight="1">
      <c r="A9" s="273">
        <f>IF(Options!B31=1,4,5)</f>
        <v>5</v>
      </c>
      <c r="B9" s="273" t="s">
        <v>9</v>
      </c>
      <c r="C9" s="295" t="s">
        <v>10</v>
      </c>
      <c r="D9" s="296"/>
      <c r="E9" s="296"/>
    </row>
    <row r="11" spans="1:5">
      <c r="C11" t="s">
        <v>11</v>
      </c>
    </row>
    <row r="12" spans="1:5">
      <c r="C12" s="134" t="s">
        <v>12</v>
      </c>
    </row>
    <row r="13" spans="1:5">
      <c r="C13" s="134" t="s">
        <v>13</v>
      </c>
    </row>
    <row r="14" spans="1:5">
      <c r="C14" s="234" t="s">
        <v>14</v>
      </c>
    </row>
    <row r="15" spans="1:5">
      <c r="C15" s="233" t="s">
        <v>15</v>
      </c>
    </row>
    <row r="16" spans="1:5">
      <c r="C16" s="233" t="s">
        <v>16</v>
      </c>
    </row>
    <row r="17" spans="3:3">
      <c r="C17" s="235" t="s">
        <v>17</v>
      </c>
    </row>
  </sheetData>
  <mergeCells count="7">
    <mergeCell ref="C5:E5"/>
    <mergeCell ref="C8:E8"/>
    <mergeCell ref="C9:E9"/>
    <mergeCell ref="C4:E4"/>
    <mergeCell ref="A1:E1"/>
    <mergeCell ref="C7:E7"/>
    <mergeCell ref="C6:E6"/>
  </mergeCell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F108"/>
  <sheetViews>
    <sheetView zoomScale="85" zoomScaleNormal="85" workbookViewId="0">
      <selection activeCell="B3" sqref="B3"/>
    </sheetView>
  </sheetViews>
  <sheetFormatPr defaultRowHeight="15"/>
  <cols>
    <col min="1" max="1" width="39.5703125" style="283" bestFit="1" customWidth="1"/>
    <col min="2" max="2" width="39.5703125" style="283" customWidth="1"/>
    <col min="3" max="3" width="73" style="283" customWidth="1"/>
    <col min="4" max="4" width="48.7109375" style="283" customWidth="1"/>
    <col min="5" max="5" width="79.7109375" style="283" customWidth="1"/>
  </cols>
  <sheetData>
    <row r="1" spans="1:6" ht="39.75" customHeight="1">
      <c r="A1" s="3" t="str">
        <f>B25</f>
        <v>factVCSSLast90</v>
      </c>
      <c r="B1" s="145" t="s">
        <v>18</v>
      </c>
      <c r="C1" s="124" t="s">
        <v>19</v>
      </c>
      <c r="D1" s="124" t="s">
        <v>20</v>
      </c>
      <c r="E1" s="124" t="s">
        <v>21</v>
      </c>
    </row>
    <row r="2" spans="1:6" s="280" customFormat="1" ht="16.5" customHeight="1">
      <c r="A2" s="96" t="s">
        <v>22</v>
      </c>
      <c r="B2" s="159" t="str">
        <f>D2</f>
        <v>uc0039</v>
      </c>
      <c r="C2" s="146"/>
      <c r="D2" s="280" t="s">
        <v>23</v>
      </c>
      <c r="E2" s="280" t="s">
        <v>24</v>
      </c>
    </row>
    <row r="3" spans="1:6" s="280" customFormat="1" ht="27.75" customHeight="1">
      <c r="A3" s="96" t="s">
        <v>25</v>
      </c>
      <c r="B3" s="158">
        <v>1</v>
      </c>
      <c r="C3" s="146"/>
      <c r="E3" s="146" t="s">
        <v>26</v>
      </c>
    </row>
    <row r="4" spans="1:6">
      <c r="A4" t="s">
        <v>27</v>
      </c>
      <c r="B4" s="85" t="str">
        <f>D4</f>
        <v>uc0039</v>
      </c>
      <c r="C4" s="285" t="s">
        <v>28</v>
      </c>
      <c r="D4" t="s">
        <v>23</v>
      </c>
      <c r="E4" s="130" t="s">
        <v>24</v>
      </c>
      <c r="F4" t="s">
        <v>29</v>
      </c>
    </row>
    <row r="5" spans="1:6">
      <c r="A5" t="s">
        <v>30</v>
      </c>
      <c r="B5" s="47" t="str">
        <f>"stage_" &amp; B25&amp; "_v"</f>
        <v>stage_factVCSSLast90_v</v>
      </c>
      <c r="C5" s="285" t="s">
        <v>31</v>
      </c>
      <c r="D5" t="str">
        <f>"stage_" &amp; B25&amp; "_v"</f>
        <v>stage_factVCSSLast90_v</v>
      </c>
    </row>
    <row r="6" spans="1:6">
      <c r="B6" s="125"/>
      <c r="C6" s="285"/>
    </row>
    <row r="7" spans="1:6" s="285" customFormat="1" ht="43.5" customHeight="1">
      <c r="A7" s="126" t="s">
        <v>32</v>
      </c>
      <c r="B7" s="127">
        <v>33</v>
      </c>
      <c r="C7" s="285" t="s">
        <v>33</v>
      </c>
      <c r="D7" s="285">
        <v>1</v>
      </c>
      <c r="E7" s="285" t="str">
        <f>IF(B7=1,"dim",IF(OR(B7=2,B7=3),"fact",""))</f>
        <v/>
      </c>
      <c r="F7" s="202">
        <f>B7</f>
        <v>33</v>
      </c>
    </row>
    <row r="8" spans="1:6">
      <c r="C8" s="285"/>
      <c r="E8" t="str">
        <f>IF(B7=10,"_h","")</f>
        <v/>
      </c>
    </row>
    <row r="9" spans="1:6">
      <c r="A9" s="130" t="s">
        <v>34</v>
      </c>
      <c r="C9" s="285"/>
    </row>
    <row r="10" spans="1:6" ht="30" customHeight="1">
      <c r="A10" s="134" t="s">
        <v>35</v>
      </c>
      <c r="B10" s="40"/>
      <c r="C10" s="285" t="s">
        <v>36</v>
      </c>
    </row>
    <row r="11" spans="1:6" ht="45" customHeight="1">
      <c r="A11" s="134" t="s">
        <v>37</v>
      </c>
      <c r="B11" s="38"/>
      <c r="C11" s="285" t="s">
        <v>38</v>
      </c>
    </row>
    <row r="12" spans="1:6">
      <c r="A12" s="134"/>
      <c r="B12" s="133"/>
      <c r="C12" s="285"/>
    </row>
    <row r="13" spans="1:6" ht="60" customHeight="1">
      <c r="A13" s="179" t="s">
        <v>39</v>
      </c>
      <c r="B13" s="267" t="s">
        <v>40</v>
      </c>
      <c r="C13" s="181" t="s">
        <v>41</v>
      </c>
    </row>
    <row r="14" spans="1:6" ht="45" customHeight="1">
      <c r="A14" s="180" t="s">
        <v>42</v>
      </c>
      <c r="B14" s="268" t="s">
        <v>43</v>
      </c>
      <c r="C14" s="285" t="s">
        <v>44</v>
      </c>
    </row>
    <row r="15" spans="1:6" ht="30" customHeight="1">
      <c r="A15" s="180" t="s">
        <v>45</v>
      </c>
      <c r="B15" s="204" t="s">
        <v>43</v>
      </c>
      <c r="C15" s="285" t="s">
        <v>46</v>
      </c>
      <c r="D15" t="s">
        <v>43</v>
      </c>
    </row>
    <row r="16" spans="1:6">
      <c r="A16" s="110"/>
      <c r="B16" s="132"/>
      <c r="C16" s="285"/>
    </row>
    <row r="17" spans="1:5">
      <c r="A17" s="135" t="s">
        <v>47</v>
      </c>
      <c r="B17" s="89">
        <v>1</v>
      </c>
      <c r="C17" s="285" t="s">
        <v>48</v>
      </c>
      <c r="D17">
        <v>0</v>
      </c>
    </row>
    <row r="18" spans="1:5">
      <c r="A18" s="141" t="s">
        <v>49</v>
      </c>
      <c r="B18" s="139"/>
      <c r="C18" s="285"/>
    </row>
    <row r="19" spans="1:5" ht="30" customHeight="1">
      <c r="A19" s="142" t="s">
        <v>50</v>
      </c>
      <c r="B19" s="90">
        <v>1</v>
      </c>
      <c r="C19" s="285" t="s">
        <v>51</v>
      </c>
      <c r="D19">
        <v>0</v>
      </c>
    </row>
    <row r="20" spans="1:5">
      <c r="A20" s="135"/>
      <c r="B20" s="136"/>
      <c r="C20" s="285"/>
    </row>
    <row r="21" spans="1:5" ht="30" customHeight="1">
      <c r="A21" s="110" t="s">
        <v>52</v>
      </c>
      <c r="B21" s="111">
        <v>1</v>
      </c>
      <c r="C21" s="285" t="s">
        <v>53</v>
      </c>
      <c r="D21">
        <v>0</v>
      </c>
    </row>
    <row r="22" spans="1:5">
      <c r="B22" s="111"/>
      <c r="C22" s="285"/>
    </row>
    <row r="23" spans="1:5">
      <c r="A23" s="130" t="s">
        <v>54</v>
      </c>
      <c r="B23" s="85" t="str">
        <f>D23</f>
        <v>uc0039</v>
      </c>
      <c r="C23" s="285" t="s">
        <v>55</v>
      </c>
      <c r="D23" t="s">
        <v>23</v>
      </c>
      <c r="E23" s="130" t="s">
        <v>56</v>
      </c>
    </row>
    <row r="24" spans="1:5">
      <c r="A24" s="134" t="str">
        <f>"'Logical' table name."</f>
        <v>'Logical' table name.</v>
      </c>
      <c r="B24" s="261" t="s">
        <v>57</v>
      </c>
      <c r="C24" s="285" t="s">
        <v>58</v>
      </c>
    </row>
    <row r="25" spans="1:5" ht="30" customHeight="1">
      <c r="A25" s="137" t="s">
        <v>59</v>
      </c>
      <c r="B25" s="85" t="str">
        <f>IF(B21=0,E7&amp;B24&amp;E8,B24)</f>
        <v>factVCSSLast90</v>
      </c>
      <c r="C25" s="285" t="s">
        <v>60</v>
      </c>
      <c r="D25" t="str">
        <f>IF(B21=1,B24, IF(B31=1,"dim","fact") &amp; B24)</f>
        <v>factVCSSLast90</v>
      </c>
    </row>
    <row r="26" spans="1:5">
      <c r="A26" s="137"/>
      <c r="B26" s="85"/>
      <c r="C26" s="285"/>
    </row>
    <row r="27" spans="1:5">
      <c r="A27" s="138" t="s">
        <v>61</v>
      </c>
      <c r="B27" s="85"/>
      <c r="C27" s="285"/>
    </row>
    <row r="28" spans="1:5">
      <c r="A28" s="134" t="s">
        <v>62</v>
      </c>
      <c r="B28" t="str">
        <f>D28</f>
        <v>uc0039-vgcs-odl-prod</v>
      </c>
      <c r="C28" s="285" t="str">
        <f>"S3 Bucket where data should be stored."</f>
        <v>S3 Bucket where data should be stored.</v>
      </c>
      <c r="D28" s="157" t="s">
        <v>63</v>
      </c>
      <c r="E28" t="s">
        <v>56</v>
      </c>
    </row>
    <row r="29" spans="1:5">
      <c r="A29" s="134" t="s">
        <v>64</v>
      </c>
      <c r="B29" s="160" t="str">
        <f>D29</f>
        <v>db</v>
      </c>
      <c r="C29" s="285" t="s">
        <v>65</v>
      </c>
      <c r="D29" s="278" t="s">
        <v>66</v>
      </c>
      <c r="E29" t="s">
        <v>56</v>
      </c>
    </row>
    <row r="30" spans="1:5">
      <c r="A30" s="211"/>
      <c r="C30" s="285"/>
    </row>
    <row r="31" spans="1:5" ht="30" customHeight="1">
      <c r="A31" t="s">
        <v>67</v>
      </c>
      <c r="B31" s="236">
        <f>IF(B7=1,1,0)</f>
        <v>0</v>
      </c>
      <c r="C31" s="285" t="s">
        <v>68</v>
      </c>
    </row>
    <row r="32" spans="1:5">
      <c r="A32" t="s">
        <v>69</v>
      </c>
      <c r="B32" s="190">
        <v>0</v>
      </c>
      <c r="C32" s="285"/>
      <c r="D32">
        <v>0</v>
      </c>
    </row>
    <row r="33" spans="1:5">
      <c r="A33" s="130" t="s">
        <v>70</v>
      </c>
      <c r="B33">
        <v>0</v>
      </c>
      <c r="C33" s="285"/>
    </row>
    <row r="34" spans="1:5" ht="45" customHeight="1">
      <c r="A34" s="134" t="s">
        <v>71</v>
      </c>
      <c r="B34" s="38"/>
      <c r="C34" s="285" t="s">
        <v>72</v>
      </c>
      <c r="E34">
        <v>0</v>
      </c>
    </row>
    <row r="35" spans="1:5" ht="30" customHeight="1">
      <c r="A35" s="134" t="s">
        <v>73</v>
      </c>
      <c r="B35" s="40">
        <v>0</v>
      </c>
      <c r="C35" s="285" t="s">
        <v>74</v>
      </c>
    </row>
    <row r="36" spans="1:5" ht="45" customHeight="1">
      <c r="A36" s="183" t="s">
        <v>75</v>
      </c>
      <c r="B36" s="219" t="str">
        <f>D36</f>
        <v>P3</v>
      </c>
      <c r="C36" s="170" t="s">
        <v>76</v>
      </c>
      <c r="D36" s="206" t="s">
        <v>77</v>
      </c>
      <c r="E36" s="184" t="s">
        <v>56</v>
      </c>
    </row>
    <row r="37" spans="1:5">
      <c r="A37" s="182"/>
      <c r="B37" s="220" t="str">
        <f>D37</f>
        <v>RND</v>
      </c>
      <c r="C37" s="285"/>
      <c r="D37" s="207" t="s">
        <v>78</v>
      </c>
      <c r="E37" s="185" t="s">
        <v>56</v>
      </c>
    </row>
    <row r="38" spans="1:5">
      <c r="A38" s="21"/>
      <c r="B38" s="220">
        <f>D38</f>
        <v>0</v>
      </c>
      <c r="C38" s="285"/>
      <c r="D38" s="207"/>
      <c r="E38" s="185" t="s">
        <v>56</v>
      </c>
    </row>
    <row r="39" spans="1:5">
      <c r="A39" s="21"/>
      <c r="B39" s="220">
        <f>D39</f>
        <v>0</v>
      </c>
      <c r="C39" s="285"/>
      <c r="D39" s="207"/>
      <c r="E39" s="185" t="s">
        <v>56</v>
      </c>
    </row>
    <row r="40" spans="1:5">
      <c r="A40" s="173"/>
      <c r="B40" s="220">
        <f>D40</f>
        <v>0</v>
      </c>
      <c r="C40" s="174"/>
      <c r="D40" s="207"/>
      <c r="E40" s="186" t="s">
        <v>56</v>
      </c>
    </row>
    <row r="41" spans="1:5">
      <c r="A41" s="253" t="s">
        <v>79</v>
      </c>
      <c r="B41" s="254">
        <v>1</v>
      </c>
      <c r="C41" s="196"/>
      <c r="D41" s="175"/>
      <c r="E41" s="255"/>
    </row>
    <row r="42" spans="1:5">
      <c r="A42" s="130" t="s">
        <v>80</v>
      </c>
      <c r="C42" s="285"/>
    </row>
    <row r="43" spans="1:5" ht="30" customHeight="1">
      <c r="A43" s="134" t="s">
        <v>81</v>
      </c>
      <c r="B43" s="39" t="str">
        <f>D43</f>
        <v>hashkey</v>
      </c>
      <c r="C43" s="285" t="s">
        <v>82</v>
      </c>
      <c r="D43" t="s">
        <v>83</v>
      </c>
      <c r="E43" t="s">
        <v>84</v>
      </c>
    </row>
    <row r="44" spans="1:5">
      <c r="A44" s="134" t="s">
        <v>39</v>
      </c>
      <c r="B44" s="39" t="str">
        <f>D44</f>
        <v>load_date</v>
      </c>
      <c r="C44" s="285" t="s">
        <v>85</v>
      </c>
      <c r="D44" t="s">
        <v>86</v>
      </c>
      <c r="E44" t="s">
        <v>84</v>
      </c>
    </row>
    <row r="45" spans="1:5">
      <c r="A45" s="134" t="s">
        <v>87</v>
      </c>
      <c r="B45" s="211" t="str">
        <f>D45</f>
        <v>last_modified_timestamp</v>
      </c>
      <c r="C45" s="147" t="s">
        <v>88</v>
      </c>
      <c r="D45" t="s">
        <v>89</v>
      </c>
      <c r="E45" t="s">
        <v>84</v>
      </c>
    </row>
    <row r="46" spans="1:5">
      <c r="C46" s="285"/>
    </row>
    <row r="47" spans="1:5" ht="30" customHeight="1">
      <c r="A47" s="134" t="s">
        <v>90</v>
      </c>
      <c r="B47" s="50">
        <f>D47</f>
        <v>1</v>
      </c>
      <c r="C47" s="285" t="s">
        <v>91</v>
      </c>
      <c r="D47">
        <v>1</v>
      </c>
      <c r="E47" t="s">
        <v>84</v>
      </c>
    </row>
    <row r="48" spans="1:5">
      <c r="A48" s="134" t="s">
        <v>92</v>
      </c>
      <c r="B48" s="50">
        <f>D48</f>
        <v>1</v>
      </c>
      <c r="C48" s="285"/>
      <c r="D48">
        <v>1</v>
      </c>
      <c r="E48" t="s">
        <v>84</v>
      </c>
    </row>
    <row r="49" spans="1:5" ht="30" customHeight="1">
      <c r="A49" s="134" t="s">
        <v>93</v>
      </c>
      <c r="B49" s="50">
        <f>D49</f>
        <v>150</v>
      </c>
      <c r="C49" s="285" t="s">
        <v>94</v>
      </c>
      <c r="D49">
        <v>150</v>
      </c>
      <c r="E49" t="s">
        <v>84</v>
      </c>
    </row>
    <row r="50" spans="1:5">
      <c r="C50" s="285"/>
    </row>
    <row r="51" spans="1:5">
      <c r="A51" t="s">
        <v>95</v>
      </c>
      <c r="B51" s="73">
        <v>1</v>
      </c>
      <c r="C51" s="285" t="s">
        <v>96</v>
      </c>
      <c r="D51">
        <v>1</v>
      </c>
    </row>
    <row r="52" spans="1:5">
      <c r="A52" s="169" t="s">
        <v>97</v>
      </c>
      <c r="B52" s="177">
        <f t="shared" ref="B52:B62" si="0">D52</f>
        <v>259200</v>
      </c>
      <c r="C52" s="170"/>
      <c r="D52" s="208">
        <v>259200</v>
      </c>
      <c r="E52" s="171" t="s">
        <v>84</v>
      </c>
    </row>
    <row r="53" spans="1:5">
      <c r="A53" s="21" t="s">
        <v>98</v>
      </c>
      <c r="B53" s="211">
        <f t="shared" si="0"/>
        <v>50</v>
      </c>
      <c r="C53" s="285" t="s">
        <v>99</v>
      </c>
      <c r="D53" s="164">
        <v>50</v>
      </c>
      <c r="E53" s="172" t="s">
        <v>84</v>
      </c>
    </row>
    <row r="54" spans="1:5">
      <c r="A54" s="21" t="s">
        <v>100</v>
      </c>
      <c r="B54" s="211">
        <f t="shared" si="0"/>
        <v>536870912</v>
      </c>
      <c r="C54" s="285"/>
      <c r="D54" s="164">
        <v>536870912</v>
      </c>
      <c r="E54" s="172" t="s">
        <v>84</v>
      </c>
    </row>
    <row r="55" spans="1:5">
      <c r="A55" s="21"/>
      <c r="B55" s="211">
        <f t="shared" si="0"/>
        <v>0</v>
      </c>
      <c r="C55" s="285"/>
      <c r="D55" s="164"/>
      <c r="E55" s="172" t="s">
        <v>84</v>
      </c>
    </row>
    <row r="56" spans="1:5">
      <c r="A56" s="21"/>
      <c r="B56" s="211">
        <f t="shared" si="0"/>
        <v>0</v>
      </c>
      <c r="C56" s="285"/>
      <c r="D56" s="164"/>
      <c r="E56" s="172" t="s">
        <v>84</v>
      </c>
    </row>
    <row r="57" spans="1:5">
      <c r="A57" s="21"/>
      <c r="B57" s="211">
        <f t="shared" si="0"/>
        <v>0</v>
      </c>
      <c r="C57" s="285"/>
      <c r="D57" s="164"/>
      <c r="E57" s="172" t="s">
        <v>84</v>
      </c>
    </row>
    <row r="58" spans="1:5">
      <c r="A58" s="21"/>
      <c r="B58" s="211">
        <f t="shared" si="0"/>
        <v>0</v>
      </c>
      <c r="C58" s="285"/>
      <c r="D58" s="164"/>
      <c r="E58" s="172" t="s">
        <v>84</v>
      </c>
    </row>
    <row r="59" spans="1:5">
      <c r="A59" s="21"/>
      <c r="B59" s="211">
        <f t="shared" si="0"/>
        <v>0</v>
      </c>
      <c r="C59" s="285"/>
      <c r="D59" s="164"/>
      <c r="E59" s="172" t="s">
        <v>84</v>
      </c>
    </row>
    <row r="60" spans="1:5">
      <c r="A60" s="21"/>
      <c r="B60" s="211">
        <f t="shared" si="0"/>
        <v>0</v>
      </c>
      <c r="C60" s="285"/>
      <c r="D60" s="164"/>
      <c r="E60" s="172" t="s">
        <v>84</v>
      </c>
    </row>
    <row r="61" spans="1:5">
      <c r="A61" s="21"/>
      <c r="B61" s="211">
        <f t="shared" si="0"/>
        <v>0</v>
      </c>
      <c r="C61" s="285"/>
      <c r="D61" s="164"/>
      <c r="E61" s="172" t="s">
        <v>84</v>
      </c>
    </row>
    <row r="62" spans="1:5">
      <c r="A62" s="173"/>
      <c r="B62" s="178">
        <f t="shared" si="0"/>
        <v>0</v>
      </c>
      <c r="C62" s="174"/>
      <c r="D62" s="209"/>
      <c r="E62" s="176" t="s">
        <v>84</v>
      </c>
    </row>
    <row r="63" spans="1:5">
      <c r="C63" s="285"/>
    </row>
    <row r="64" spans="1:5">
      <c r="A64" s="156" t="s">
        <v>101</v>
      </c>
      <c r="B64" s="30"/>
      <c r="C64" s="24"/>
      <c r="D64" s="30"/>
      <c r="E64" s="30"/>
    </row>
    <row r="65" spans="1:5">
      <c r="A65" s="130"/>
      <c r="C65" s="285"/>
    </row>
    <row r="66" spans="1:5">
      <c r="A66" s="134"/>
      <c r="B66" s="272"/>
      <c r="C66" s="285"/>
    </row>
    <row r="67" spans="1:5">
      <c r="A67" s="134" t="s">
        <v>102</v>
      </c>
      <c r="B67" t="str">
        <f>D67</f>
        <v>761560768765</v>
      </c>
      <c r="D67" s="215" t="s">
        <v>103</v>
      </c>
      <c r="E67" t="s">
        <v>84</v>
      </c>
    </row>
    <row r="68" spans="1:5">
      <c r="A68" s="134" t="s">
        <v>104</v>
      </c>
      <c r="B68" t="str">
        <f>D68</f>
        <v>eu-west-1</v>
      </c>
      <c r="C68" s="285"/>
      <c r="D68" t="s">
        <v>105</v>
      </c>
      <c r="E68" t="s">
        <v>56</v>
      </c>
    </row>
    <row r="69" spans="1:5">
      <c r="A69" s="134" t="s">
        <v>106</v>
      </c>
      <c r="B69" t="str">
        <f>D69</f>
        <v>uc0039</v>
      </c>
      <c r="C69" s="285"/>
      <c r="D69" t="s">
        <v>23</v>
      </c>
      <c r="E69" t="s">
        <v>56</v>
      </c>
    </row>
    <row r="70" spans="1:5">
      <c r="A70" s="134" t="s">
        <v>107</v>
      </c>
      <c r="B70" t="str">
        <f>D70</f>
        <v>uc0039</v>
      </c>
      <c r="C70" s="285"/>
      <c r="D70" t="s">
        <v>23</v>
      </c>
      <c r="E70" t="s">
        <v>56</v>
      </c>
    </row>
    <row r="71" spans="1:5">
      <c r="A71" s="130"/>
      <c r="C71" s="285"/>
    </row>
    <row r="72" spans="1:5">
      <c r="A72" s="134"/>
      <c r="C72" s="285"/>
    </row>
    <row r="73" spans="1:5">
      <c r="C73" s="285"/>
    </row>
    <row r="74" spans="1:5">
      <c r="C74" s="285"/>
    </row>
    <row r="75" spans="1:5">
      <c r="C75" s="285"/>
    </row>
    <row r="76" spans="1:5">
      <c r="C76" s="285"/>
    </row>
    <row r="77" spans="1:5">
      <c r="C77" s="285"/>
    </row>
    <row r="78" spans="1:5">
      <c r="A78" s="130" t="s">
        <v>108</v>
      </c>
      <c r="C78" s="285"/>
    </row>
    <row r="79" spans="1:5" ht="45" customHeight="1">
      <c r="A79" s="134" t="s">
        <v>109</v>
      </c>
      <c r="B79" s="278">
        <v>1</v>
      </c>
      <c r="C79" s="285" t="s">
        <v>110</v>
      </c>
      <c r="D79">
        <v>1</v>
      </c>
    </row>
    <row r="80" spans="1:5">
      <c r="C80" s="285"/>
    </row>
    <row r="81" spans="1:3">
      <c r="A81" s="130" t="s">
        <v>111</v>
      </c>
      <c r="C81" s="285"/>
    </row>
    <row r="82" spans="1:3">
      <c r="A82" s="130" t="s">
        <v>112</v>
      </c>
      <c r="C82" s="285"/>
    </row>
    <row r="83" spans="1:3">
      <c r="A83" s="140" t="s">
        <v>113</v>
      </c>
      <c r="B83">
        <v>1</v>
      </c>
      <c r="C83" s="285" t="s">
        <v>114</v>
      </c>
    </row>
    <row r="84" spans="1:3">
      <c r="A84" s="140" t="s">
        <v>115</v>
      </c>
      <c r="B84">
        <v>0</v>
      </c>
      <c r="C84" s="285" t="s">
        <v>116</v>
      </c>
    </row>
    <row r="85" spans="1:3">
      <c r="A85" s="140"/>
      <c r="C85" s="285"/>
    </row>
    <row r="86" spans="1:3">
      <c r="A86" s="130" t="s">
        <v>117</v>
      </c>
      <c r="C86" s="285"/>
    </row>
    <row r="87" spans="1:3">
      <c r="A87" s="134" t="s">
        <v>118</v>
      </c>
      <c r="B87">
        <v>1</v>
      </c>
      <c r="C87" s="285" t="s">
        <v>114</v>
      </c>
    </row>
    <row r="88" spans="1:3">
      <c r="A88" s="134" t="s">
        <v>119</v>
      </c>
      <c r="B88">
        <v>0</v>
      </c>
      <c r="C88" s="285" t="s">
        <v>116</v>
      </c>
    </row>
    <row r="89" spans="1:3">
      <c r="A89" s="134" t="s">
        <v>120</v>
      </c>
      <c r="B89">
        <v>0</v>
      </c>
      <c r="C89" s="285" t="s">
        <v>116</v>
      </c>
    </row>
    <row r="90" spans="1:3">
      <c r="C90" s="285"/>
    </row>
    <row r="91" spans="1:3">
      <c r="A91" s="130" t="s">
        <v>121</v>
      </c>
      <c r="C91" s="285"/>
    </row>
    <row r="92" spans="1:3">
      <c r="A92" s="134" t="s">
        <v>122</v>
      </c>
      <c r="B92">
        <v>0</v>
      </c>
      <c r="C92" s="285"/>
    </row>
    <row r="93" spans="1:3">
      <c r="A93" s="134" t="s">
        <v>123</v>
      </c>
      <c r="B93">
        <v>0</v>
      </c>
      <c r="C93" s="285"/>
    </row>
    <row r="94" spans="1:3">
      <c r="A94" s="134" t="s">
        <v>124</v>
      </c>
      <c r="B94">
        <v>0</v>
      </c>
      <c r="C94" s="285" t="s">
        <v>125</v>
      </c>
    </row>
    <row r="95" spans="1:3">
      <c r="A95" s="134" t="s">
        <v>126</v>
      </c>
      <c r="B95">
        <v>1</v>
      </c>
      <c r="C95" s="285" t="s">
        <v>125</v>
      </c>
    </row>
    <row r="96" spans="1:3">
      <c r="C96" s="285"/>
    </row>
    <row r="97" spans="1:3">
      <c r="A97" s="131" t="s">
        <v>127</v>
      </c>
      <c r="C97" s="285"/>
    </row>
    <row r="98" spans="1:3">
      <c r="A98" s="134" t="s">
        <v>128</v>
      </c>
      <c r="B98">
        <v>1</v>
      </c>
      <c r="C98" s="285" t="s">
        <v>129</v>
      </c>
    </row>
    <row r="99" spans="1:3">
      <c r="A99" s="134" t="s">
        <v>130</v>
      </c>
      <c r="B99">
        <v>0</v>
      </c>
      <c r="C99" s="285" t="s">
        <v>116</v>
      </c>
    </row>
    <row r="100" spans="1:3">
      <c r="A100" s="134" t="s">
        <v>131</v>
      </c>
      <c r="B100">
        <v>0</v>
      </c>
      <c r="C100" s="285" t="s">
        <v>116</v>
      </c>
    </row>
    <row r="101" spans="1:3">
      <c r="C101" s="285"/>
    </row>
    <row r="102" spans="1:3" ht="30" customHeight="1">
      <c r="A102" s="129" t="s">
        <v>132</v>
      </c>
      <c r="C102" s="285" t="s">
        <v>133</v>
      </c>
    </row>
    <row r="103" spans="1:3" ht="30" customHeight="1">
      <c r="A103" s="129" t="s">
        <v>134</v>
      </c>
      <c r="C103" s="285" t="s">
        <v>135</v>
      </c>
    </row>
    <row r="104" spans="1:3">
      <c r="C104" s="285"/>
    </row>
    <row r="105" spans="1:3">
      <c r="C105" s="285"/>
    </row>
    <row r="106" spans="1:3">
      <c r="C106" s="144"/>
    </row>
    <row r="107" spans="1:3">
      <c r="C107" s="144"/>
    </row>
    <row r="108" spans="1:3">
      <c r="A108" t="s">
        <v>136</v>
      </c>
      <c r="B108" s="190">
        <v>1</v>
      </c>
      <c r="C108" s="144" t="s">
        <v>137</v>
      </c>
    </row>
  </sheetData>
  <conditionalFormatting sqref="B35">
    <cfRule type="expression" dxfId="0" priority="1">
      <formula>""</formula>
    </cfRule>
  </conditionalFormatting>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D100"/>
  <sheetViews>
    <sheetView topLeftCell="G1" zoomScale="101" workbookViewId="0">
      <selection activeCell="M6" sqref="M6"/>
    </sheetView>
  </sheetViews>
  <sheetFormatPr defaultRowHeight="15"/>
  <cols>
    <col min="1" max="1" width="43.140625" style="285" customWidth="1"/>
    <col min="2" max="2" width="29.7109375" style="283" customWidth="1"/>
    <col min="3" max="3" width="16" style="283" bestFit="1" customWidth="1"/>
    <col min="4" max="4" width="16.28515625" style="283" bestFit="1" customWidth="1"/>
    <col min="5" max="5" width="14.7109375" style="283" customWidth="1"/>
    <col min="6" max="6" width="68.140625" style="285" bestFit="1" customWidth="1"/>
    <col min="7" max="7" width="14.85546875" style="283" customWidth="1"/>
    <col min="8" max="8" width="15.5703125" style="283" customWidth="1"/>
    <col min="9" max="9" width="15.7109375" style="283" customWidth="1"/>
    <col min="10" max="10" width="28.140625" style="211" bestFit="1" customWidth="1"/>
    <col min="11" max="11" width="28.140625" style="211" customWidth="1"/>
    <col min="12" max="12" width="11.28515625" style="283" customWidth="1"/>
    <col min="13" max="13" width="56.28515625" style="283" customWidth="1"/>
    <col min="14" max="14" width="23" style="280" customWidth="1"/>
    <col min="15" max="15" width="20.140625" style="280" customWidth="1"/>
    <col min="16" max="22" width="14" style="280" customWidth="1"/>
    <col min="23" max="23" width="15.5703125" style="283" customWidth="1"/>
    <col min="24" max="24" width="29.140625" style="283" customWidth="1"/>
    <col min="25" max="25" width="48.140625" style="283" customWidth="1"/>
    <col min="26" max="26" width="30.5703125" style="283" customWidth="1"/>
    <col min="27" max="27" width="19.85546875" style="283" customWidth="1"/>
    <col min="28" max="28" width="45.42578125" style="283" bestFit="1" customWidth="1"/>
    <col min="29" max="30" width="9.140625" style="283" customWidth="1"/>
  </cols>
  <sheetData>
    <row r="1" spans="1:28">
      <c r="A1" s="18" t="s">
        <v>138</v>
      </c>
      <c r="B1" s="128" t="s">
        <v>139</v>
      </c>
      <c r="C1" s="128" t="s">
        <v>140</v>
      </c>
      <c r="D1" s="128" t="s">
        <v>141</v>
      </c>
      <c r="E1" s="128" t="s">
        <v>142</v>
      </c>
      <c r="F1" s="18" t="s">
        <v>143</v>
      </c>
      <c r="G1" s="128" t="s">
        <v>144</v>
      </c>
      <c r="H1" s="128" t="s">
        <v>145</v>
      </c>
      <c r="I1" s="128" t="s">
        <v>146</v>
      </c>
      <c r="J1" s="86" t="s">
        <v>147</v>
      </c>
      <c r="K1" s="86" t="s">
        <v>148</v>
      </c>
      <c r="L1" s="128" t="s">
        <v>149</v>
      </c>
      <c r="M1" s="128" t="s">
        <v>150</v>
      </c>
      <c r="N1" s="128" t="s">
        <v>151</v>
      </c>
      <c r="O1" s="128" t="s">
        <v>152</v>
      </c>
      <c r="P1" s="280" t="s">
        <v>153</v>
      </c>
      <c r="X1" s="221"/>
      <c r="Y1" s="221"/>
      <c r="Z1" s="221"/>
      <c r="AA1" s="221"/>
      <c r="AB1" s="221"/>
    </row>
    <row r="2" spans="1:28">
      <c r="A2" s="1" t="s">
        <v>154</v>
      </c>
      <c r="B2" s="1"/>
      <c r="C2" s="1" t="s">
        <v>155</v>
      </c>
      <c r="H2">
        <v>1</v>
      </c>
    </row>
    <row r="3" spans="1:28">
      <c r="A3" s="1" t="s">
        <v>156</v>
      </c>
      <c r="B3" s="1"/>
      <c r="C3" s="1" t="s">
        <v>155</v>
      </c>
      <c r="F3">
        <v>1</v>
      </c>
    </row>
    <row r="4" spans="1:28">
      <c r="A4" s="1" t="s">
        <v>157</v>
      </c>
      <c r="B4" s="1"/>
      <c r="C4" s="1" t="s">
        <v>158</v>
      </c>
      <c r="G4">
        <v>1</v>
      </c>
      <c r="M4" s="2" t="s">
        <v>909</v>
      </c>
      <c r="N4" t="s">
        <v>159</v>
      </c>
    </row>
    <row r="5" spans="1:28">
      <c r="A5" s="1"/>
      <c r="B5" s="1"/>
      <c r="C5" s="1"/>
      <c r="G5" s="19"/>
      <c r="M5" s="2"/>
      <c r="N5" s="262"/>
    </row>
    <row r="6" spans="1:28">
      <c r="A6" s="1"/>
      <c r="B6" s="1"/>
      <c r="C6" s="1"/>
    </row>
    <row r="7" spans="1:28">
      <c r="A7" s="19"/>
      <c r="B7" s="1"/>
      <c r="C7" s="1"/>
      <c r="M7" s="2"/>
      <c r="N7" s="187"/>
    </row>
    <row r="8" spans="1:28">
      <c r="A8" s="19"/>
      <c r="B8" s="1"/>
      <c r="C8" s="1"/>
    </row>
    <row r="9" spans="1:28">
      <c r="A9" s="19"/>
      <c r="B9" s="215"/>
      <c r="C9" s="1"/>
    </row>
    <row r="10" spans="1:28">
      <c r="A10" s="260"/>
      <c r="B10" s="215"/>
      <c r="C10" s="1"/>
      <c r="O10" s="187"/>
    </row>
    <row r="11" spans="1:28">
      <c r="A11" s="19"/>
      <c r="B11" s="215"/>
      <c r="C11" s="1"/>
      <c r="L11" s="211"/>
      <c r="M11" s="2"/>
      <c r="N11" s="187"/>
    </row>
    <row r="12" spans="1:28">
      <c r="A12" s="1"/>
      <c r="B12" s="19"/>
      <c r="C12" s="1"/>
      <c r="D12" s="1"/>
      <c r="E12" s="1"/>
    </row>
    <row r="13" spans="1:28">
      <c r="A13" s="1"/>
      <c r="B13" s="19"/>
      <c r="C13" s="1"/>
      <c r="D13" s="1"/>
      <c r="E13" s="1"/>
    </row>
    <row r="14" spans="1:28">
      <c r="A14" s="19"/>
      <c r="B14" s="215"/>
      <c r="C14" s="1"/>
      <c r="D14" s="1"/>
      <c r="E14" s="1"/>
      <c r="F14" s="70"/>
      <c r="L14" s="211"/>
    </row>
    <row r="15" spans="1:28">
      <c r="A15" s="19"/>
      <c r="B15" s="19"/>
      <c r="C15" s="1"/>
      <c r="D15" s="1"/>
      <c r="E15" s="1"/>
      <c r="F15" s="70"/>
    </row>
    <row r="16" spans="1:28">
      <c r="A16" s="260"/>
      <c r="B16" s="19"/>
      <c r="C16" s="1"/>
      <c r="D16" s="1"/>
      <c r="E16" s="1"/>
      <c r="F16" s="148"/>
    </row>
    <row r="17" spans="1:15">
      <c r="A17" s="260"/>
      <c r="B17" s="19"/>
      <c r="C17" s="1"/>
      <c r="D17" s="1"/>
      <c r="E17" s="1"/>
      <c r="F17" s="70"/>
    </row>
    <row r="18" spans="1:15">
      <c r="A18" s="1"/>
      <c r="B18" s="19"/>
      <c r="C18" s="1"/>
      <c r="D18" s="1"/>
      <c r="E18" s="1"/>
      <c r="M18" s="2"/>
      <c r="N18" s="187"/>
    </row>
    <row r="19" spans="1:15">
      <c r="A19" s="1"/>
      <c r="B19" s="19"/>
      <c r="C19" s="1"/>
      <c r="D19" s="1"/>
      <c r="E19" s="1"/>
      <c r="O19" s="224"/>
    </row>
    <row r="20" spans="1:15">
      <c r="A20" s="1"/>
      <c r="B20" s="19"/>
      <c r="C20" s="1"/>
      <c r="D20" s="1"/>
      <c r="E20" s="1"/>
      <c r="O20" s="224"/>
    </row>
    <row r="21" spans="1:15">
      <c r="A21" s="1"/>
      <c r="B21" s="19"/>
      <c r="C21" s="1"/>
      <c r="D21" s="1"/>
      <c r="E21" s="1"/>
      <c r="O21" s="224"/>
    </row>
    <row r="22" spans="1:15">
      <c r="A22" s="1"/>
      <c r="B22" s="19"/>
      <c r="C22" s="1"/>
      <c r="D22" s="1"/>
      <c r="E22" s="1"/>
      <c r="O22" s="224"/>
    </row>
    <row r="23" spans="1:15">
      <c r="A23" s="1"/>
      <c r="B23" s="19"/>
      <c r="C23" s="1"/>
      <c r="D23" s="1"/>
      <c r="E23" s="1"/>
      <c r="O23" s="224"/>
    </row>
    <row r="24" spans="1:15">
      <c r="A24" s="1"/>
      <c r="B24" s="19"/>
      <c r="C24" s="1"/>
      <c r="D24" s="1"/>
      <c r="E24" s="1"/>
      <c r="O24" s="224"/>
    </row>
    <row r="25" spans="1:15">
      <c r="A25" s="1"/>
      <c r="B25" s="19"/>
      <c r="C25" s="1"/>
      <c r="D25" s="1"/>
      <c r="E25" s="1"/>
      <c r="O25" s="224"/>
    </row>
    <row r="26" spans="1:15">
      <c r="A26" s="1"/>
      <c r="B26" s="19"/>
      <c r="C26" s="1"/>
      <c r="D26" s="1"/>
      <c r="E26" s="1"/>
      <c r="O26" s="224"/>
    </row>
    <row r="27" spans="1:15">
      <c r="A27" s="1"/>
      <c r="B27" s="19"/>
      <c r="C27" s="1"/>
      <c r="O27" s="224"/>
    </row>
    <row r="28" spans="1:15">
      <c r="A28" s="1"/>
      <c r="B28" s="19"/>
      <c r="C28" s="1"/>
      <c r="O28" s="224"/>
    </row>
    <row r="29" spans="1:15">
      <c r="A29" s="1"/>
      <c r="B29" s="19"/>
      <c r="C29" s="1"/>
      <c r="O29" s="224"/>
    </row>
    <row r="30" spans="1:15">
      <c r="A30" s="1"/>
      <c r="B30" s="19"/>
      <c r="C30" s="1"/>
      <c r="O30" s="224"/>
    </row>
    <row r="31" spans="1:15">
      <c r="A31" s="1"/>
      <c r="B31" s="19"/>
      <c r="C31" s="1"/>
      <c r="O31" s="224"/>
    </row>
    <row r="32" spans="1:15">
      <c r="A32" s="19"/>
      <c r="B32" s="19"/>
      <c r="C32" s="1"/>
      <c r="O32" s="224"/>
    </row>
    <row r="33" spans="1:15">
      <c r="A33" s="1"/>
      <c r="B33" s="19"/>
      <c r="C33" s="1"/>
      <c r="O33" s="224"/>
    </row>
    <row r="34" spans="1:15">
      <c r="A34" s="1"/>
      <c r="B34" s="19"/>
      <c r="C34" s="1"/>
      <c r="O34" s="224"/>
    </row>
    <row r="35" spans="1:15">
      <c r="A35" s="1"/>
      <c r="B35" s="19"/>
      <c r="C35" s="1"/>
      <c r="O35" s="224"/>
    </row>
    <row r="36" spans="1:15">
      <c r="A36" s="1"/>
      <c r="B36" s="19"/>
      <c r="C36" s="1"/>
      <c r="O36" s="224"/>
    </row>
    <row r="37" spans="1:15">
      <c r="A37" s="1"/>
      <c r="B37" s="19"/>
      <c r="C37" s="1"/>
      <c r="O37" s="224"/>
    </row>
    <row r="38" spans="1:15">
      <c r="A38" s="1"/>
      <c r="B38" s="19"/>
      <c r="C38" s="1"/>
      <c r="O38" s="224"/>
    </row>
    <row r="39" spans="1:15">
      <c r="C39" s="1"/>
      <c r="O39" s="224"/>
    </row>
    <row r="40" spans="1:15">
      <c r="C40" s="1"/>
      <c r="O40" s="224"/>
    </row>
    <row r="41" spans="1:15">
      <c r="A41" s="1"/>
      <c r="B41" s="19"/>
      <c r="C41" s="1"/>
      <c r="O41" s="224"/>
    </row>
    <row r="42" spans="1:15">
      <c r="C42" s="1"/>
      <c r="O42" s="224"/>
    </row>
    <row r="43" spans="1:15">
      <c r="A43" s="225"/>
      <c r="C43" s="1"/>
      <c r="O43" s="224"/>
    </row>
    <row r="44" spans="1:15">
      <c r="A44" s="225"/>
      <c r="C44" s="1"/>
      <c r="O44" s="224"/>
    </row>
    <row r="45" spans="1:15">
      <c r="A45" s="225"/>
      <c r="C45" s="1"/>
    </row>
    <row r="46" spans="1:15">
      <c r="A46" s="225"/>
      <c r="C46" s="1"/>
    </row>
    <row r="47" spans="1:15">
      <c r="A47" s="225"/>
      <c r="C47" s="1"/>
    </row>
    <row r="48" spans="1:15">
      <c r="A48" s="225"/>
      <c r="C48" s="1"/>
    </row>
    <row r="49" spans="1:3">
      <c r="A49" s="225"/>
      <c r="C49" s="1"/>
    </row>
    <row r="50" spans="1:3">
      <c r="A50" s="225"/>
      <c r="C50" s="1"/>
    </row>
    <row r="51" spans="1:3">
      <c r="A51" s="225"/>
      <c r="C51" s="1"/>
    </row>
    <row r="52" spans="1:3">
      <c r="A52" s="225"/>
      <c r="C52" s="1"/>
    </row>
    <row r="53" spans="1:3">
      <c r="A53" s="225"/>
      <c r="C53" s="1"/>
    </row>
    <row r="54" spans="1:3">
      <c r="A54" s="225"/>
      <c r="C54" s="1"/>
    </row>
    <row r="55" spans="1:3">
      <c r="A55" s="225"/>
      <c r="C55" s="1"/>
    </row>
    <row r="56" spans="1:3">
      <c r="A56" s="225"/>
      <c r="C56" s="1"/>
    </row>
    <row r="57" spans="1:3">
      <c r="A57" s="225"/>
      <c r="C57" s="1"/>
    </row>
    <row r="58" spans="1:3">
      <c r="A58" s="225"/>
      <c r="C58" s="1"/>
    </row>
    <row r="59" spans="1:3">
      <c r="A59" s="225"/>
      <c r="C59" s="1"/>
    </row>
    <row r="60" spans="1:3">
      <c r="A60" s="225"/>
      <c r="C60" s="1"/>
    </row>
    <row r="61" spans="1:3">
      <c r="A61" s="225"/>
      <c r="C61" s="1"/>
    </row>
    <row r="62" spans="1:3">
      <c r="A62" s="225"/>
      <c r="C62" s="1"/>
    </row>
    <row r="63" spans="1:3">
      <c r="A63" s="225"/>
      <c r="C63" s="1"/>
    </row>
    <row r="64" spans="1:3">
      <c r="A64" s="225"/>
      <c r="C64" s="1"/>
    </row>
    <row r="65" spans="1:22">
      <c r="A65" s="225"/>
      <c r="C65" s="1"/>
      <c r="N65" s="187"/>
    </row>
    <row r="66" spans="1:22">
      <c r="A66" s="225"/>
      <c r="C66" s="1"/>
      <c r="N66" s="187"/>
    </row>
    <row r="67" spans="1:22">
      <c r="A67" s="225"/>
      <c r="C67" s="1"/>
    </row>
    <row r="68" spans="1:22">
      <c r="A68" s="225"/>
      <c r="C68" s="1"/>
    </row>
    <row r="69" spans="1:22">
      <c r="A69" s="225"/>
      <c r="C69" s="1"/>
    </row>
    <row r="70" spans="1:22">
      <c r="A70" s="225"/>
      <c r="C70" s="1"/>
      <c r="N70" s="187"/>
    </row>
    <row r="71" spans="1:22">
      <c r="A71" s="225"/>
      <c r="C71" s="1"/>
    </row>
    <row r="72" spans="1:22">
      <c r="A72" s="225"/>
      <c r="C72" s="1"/>
    </row>
    <row r="73" spans="1:22">
      <c r="A73" s="225"/>
      <c r="C73" s="1"/>
    </row>
    <row r="74" spans="1:22">
      <c r="A74" s="225"/>
      <c r="C74" s="1"/>
    </row>
    <row r="75" spans="1:22">
      <c r="A75" s="225"/>
      <c r="C75" s="1"/>
    </row>
    <row r="76" spans="1:22">
      <c r="A76" s="225"/>
      <c r="C76" s="1"/>
    </row>
    <row r="77" spans="1:22">
      <c r="A77" s="225"/>
      <c r="C77" s="1"/>
    </row>
    <row r="78" spans="1:22">
      <c r="A78" s="19"/>
      <c r="C78" s="1"/>
    </row>
    <row r="79" spans="1:22" s="227" customFormat="1">
      <c r="A79" s="226"/>
      <c r="C79" s="228"/>
      <c r="F79" s="229"/>
      <c r="J79" s="230"/>
      <c r="K79" s="230"/>
      <c r="M79" s="231"/>
      <c r="N79" s="232"/>
      <c r="O79" s="224"/>
      <c r="P79" s="224"/>
      <c r="Q79" s="224"/>
      <c r="R79" s="224"/>
      <c r="S79" s="224"/>
      <c r="T79" s="224"/>
      <c r="U79" s="224"/>
      <c r="V79" s="224"/>
    </row>
    <row r="80" spans="1:22">
      <c r="C80" s="1"/>
    </row>
    <row r="81" spans="3:3">
      <c r="C81" s="1"/>
    </row>
    <row r="82" spans="3:3">
      <c r="C82" s="1"/>
    </row>
    <row r="83" spans="3:3">
      <c r="C83" s="1"/>
    </row>
    <row r="84" spans="3:3">
      <c r="C84" s="1"/>
    </row>
    <row r="85" spans="3:3">
      <c r="C85" s="1"/>
    </row>
    <row r="86" spans="3:3">
      <c r="C86" s="1"/>
    </row>
    <row r="87" spans="3:3">
      <c r="C87" s="1"/>
    </row>
    <row r="88" spans="3:3">
      <c r="C88" s="1"/>
    </row>
    <row r="89" spans="3:3">
      <c r="C89" s="1"/>
    </row>
    <row r="90" spans="3:3">
      <c r="C90" s="1"/>
    </row>
    <row r="91" spans="3:3">
      <c r="C91" s="1"/>
    </row>
    <row r="92" spans="3:3">
      <c r="C92" s="1"/>
    </row>
    <row r="93" spans="3:3">
      <c r="C93" s="1"/>
    </row>
    <row r="94" spans="3:3">
      <c r="C94" s="1"/>
    </row>
    <row r="95" spans="3:3">
      <c r="C95" s="1"/>
    </row>
    <row r="96" spans="3:3">
      <c r="C96" s="1"/>
    </row>
    <row r="97" spans="3:14">
      <c r="C97" s="1"/>
    </row>
    <row r="98" spans="3:14">
      <c r="C98" s="1"/>
    </row>
    <row r="99" spans="3:14">
      <c r="C99" s="1"/>
    </row>
    <row r="100" spans="3:14">
      <c r="C100" s="1"/>
      <c r="M100" s="2"/>
      <c r="N100" s="187"/>
    </row>
  </sheetData>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03"/>
  <sheetViews>
    <sheetView workbookViewId="0">
      <selection activeCell="A2" sqref="A2"/>
    </sheetView>
  </sheetViews>
  <sheetFormatPr defaultRowHeight="15"/>
  <cols>
    <col min="1" max="1" width="159.5703125" style="283" customWidth="1"/>
    <col min="2" max="2" width="62.42578125" style="283" customWidth="1"/>
    <col min="3" max="3" width="38.42578125" style="283" bestFit="1" customWidth="1"/>
  </cols>
  <sheetData>
    <row r="1" spans="1:1" ht="21" customHeight="1">
      <c r="A1" s="30" t="s">
        <v>160</v>
      </c>
    </row>
    <row r="2" spans="1:1" ht="409.5" customHeight="1">
      <c r="A2" s="10" t="s">
        <v>161</v>
      </c>
    </row>
    <row r="5" spans="1:1" ht="16.5" customHeight="1">
      <c r="A5" s="144"/>
    </row>
    <row r="6" spans="1:1" ht="16.5" customHeight="1"/>
    <row r="7" spans="1:1" ht="16.5" customHeight="1"/>
    <row r="8" spans="1:1" ht="16.5" customHeight="1"/>
    <row r="9" spans="1:1" ht="16.5" customHeight="1"/>
    <row r="10" spans="1:1" ht="16.5" customHeight="1"/>
    <row r="11" spans="1:1" ht="16.5" customHeight="1"/>
    <row r="12" spans="1:1" ht="16.5" customHeight="1"/>
    <row r="13" spans="1:1" ht="16.5" customHeight="1"/>
    <row r="14" spans="1:1" ht="16.5" customHeight="1"/>
    <row r="15" spans="1:1" ht="16.5" customHeight="1"/>
    <row r="16" spans="1:1" ht="16.5" customHeight="1"/>
    <row r="17" ht="16.5" customHeight="1"/>
    <row r="18" ht="16.5" customHeight="1"/>
    <row r="19" ht="16.5" customHeight="1"/>
    <row r="20" ht="16.5" customHeight="1"/>
    <row r="21" ht="16.5" customHeight="1"/>
    <row r="22" ht="16.5" customHeight="1"/>
    <row r="23" ht="16.5" customHeight="1"/>
    <row r="24" ht="16.5" customHeight="1"/>
    <row r="25" ht="16.5" customHeight="1"/>
    <row r="26" ht="16.5" customHeight="1"/>
    <row r="27" ht="16.5" customHeight="1"/>
    <row r="28" ht="16.5" customHeight="1"/>
    <row r="29" ht="16.5" customHeight="1"/>
    <row r="30" ht="16.5" customHeight="1"/>
    <row r="31" ht="16.5" customHeight="1"/>
    <row r="32" ht="16.5" customHeight="1"/>
    <row r="33" ht="16.5" customHeight="1"/>
    <row r="34" ht="16.5" customHeight="1"/>
    <row r="35" ht="16.5" customHeight="1"/>
    <row r="36" ht="16.5" customHeight="1"/>
    <row r="37" ht="16.5" customHeight="1"/>
    <row r="38" ht="16.5" customHeight="1"/>
    <row r="39" ht="16.5" customHeight="1"/>
    <row r="40" ht="16.5" customHeight="1"/>
    <row r="41" ht="16.5" customHeight="1"/>
    <row r="42" ht="16.5" customHeight="1"/>
    <row r="43" ht="16.5" customHeight="1"/>
    <row r="44" ht="16.5" customHeight="1"/>
    <row r="45" ht="16.5" customHeight="1"/>
    <row r="46" ht="16.5" customHeight="1"/>
    <row r="47" ht="16.5" customHeight="1"/>
    <row r="48" ht="16.5" customHeight="1"/>
    <row r="49" ht="16.5" customHeight="1"/>
    <row r="50" ht="16.5" customHeight="1"/>
    <row r="51" ht="16.5" customHeight="1"/>
    <row r="52" ht="16.5" customHeight="1"/>
    <row r="53" ht="16.5" customHeight="1"/>
    <row r="54" ht="16.5" customHeight="1"/>
    <row r="55" ht="16.5" customHeight="1"/>
    <row r="56" ht="16.5" customHeight="1"/>
    <row r="57" ht="16.5" customHeight="1"/>
    <row r="58" ht="16.5" customHeight="1"/>
    <row r="59" ht="16.5" customHeight="1"/>
    <row r="60" ht="16.5" customHeight="1"/>
    <row r="61" ht="16.5" customHeight="1"/>
    <row r="62" ht="16.5" customHeight="1"/>
    <row r="63" ht="16.5" customHeight="1"/>
    <row r="64" ht="16.5" customHeight="1"/>
    <row r="65" ht="16.5" customHeight="1"/>
    <row r="66" ht="16.5" customHeight="1"/>
    <row r="67" ht="16.5" customHeight="1"/>
    <row r="68" ht="16.5" customHeight="1"/>
    <row r="69" ht="16.5" customHeight="1"/>
    <row r="70" ht="16.5" customHeight="1"/>
    <row r="71" ht="16.5" customHeight="1"/>
    <row r="72" ht="16.5" customHeight="1"/>
    <row r="73" ht="16.5" customHeight="1"/>
    <row r="74" ht="16.5" customHeight="1"/>
    <row r="75" ht="16.5" customHeight="1"/>
    <row r="76" ht="16.5" customHeight="1"/>
    <row r="77" ht="16.5" customHeight="1"/>
    <row r="78" ht="16.5" customHeight="1"/>
    <row r="79" ht="16.5" customHeight="1"/>
    <row r="80" ht="16.5" customHeight="1"/>
    <row r="81" ht="16.5" customHeight="1"/>
    <row r="82" ht="16.5" customHeight="1"/>
    <row r="83" ht="16.5" customHeight="1"/>
    <row r="84" ht="16.5" customHeight="1"/>
    <row r="85" ht="16.5" customHeight="1"/>
    <row r="86" ht="16.5" customHeight="1"/>
    <row r="87" ht="16.5" customHeight="1"/>
    <row r="88" ht="16.5" customHeight="1"/>
    <row r="89" ht="16.5" customHeight="1"/>
    <row r="90" ht="16.5" customHeight="1"/>
    <row r="91" ht="16.5" customHeight="1"/>
    <row r="92" ht="16.5" customHeight="1"/>
    <row r="93" ht="16.5" customHeight="1"/>
    <row r="94" ht="16.5" customHeight="1"/>
    <row r="95" ht="16.5" customHeight="1"/>
    <row r="96" ht="16.5" customHeight="1"/>
    <row r="97" ht="16.5" customHeight="1"/>
    <row r="98" ht="16.5" customHeight="1"/>
    <row r="99" ht="16.5" customHeight="1"/>
    <row r="100" ht="16.5" customHeight="1"/>
    <row r="101" ht="16.5" customHeight="1"/>
    <row r="102" ht="16.5" customHeight="1"/>
    <row r="103" ht="16.5" customHeight="1"/>
  </sheetData>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U70"/>
  <sheetViews>
    <sheetView workbookViewId="0">
      <selection activeCell="A2" sqref="A2"/>
    </sheetView>
  </sheetViews>
  <sheetFormatPr defaultRowHeight="15"/>
  <cols>
    <col min="1" max="1" width="28.85546875" style="283" customWidth="1"/>
    <col min="2" max="2" width="26.7109375" style="283" customWidth="1"/>
    <col min="3" max="3" width="31.42578125" style="283" customWidth="1"/>
    <col min="4" max="4" width="44.5703125" style="283" customWidth="1"/>
    <col min="5" max="5" width="31.85546875" style="283" customWidth="1"/>
    <col min="6" max="6" width="34.5703125" style="283" customWidth="1"/>
    <col min="7" max="7" width="35.28515625" style="283" customWidth="1"/>
    <col min="8" max="8" width="40" style="283" customWidth="1"/>
    <col min="9" max="9" width="30.42578125" style="283" bestFit="1" customWidth="1"/>
    <col min="10" max="11" width="38.5703125" style="283" customWidth="1"/>
    <col min="12" max="12" width="37.140625" style="283" customWidth="1"/>
    <col min="13" max="13" width="47.140625" style="283" customWidth="1"/>
    <col min="14" max="14" width="27" style="283" customWidth="1"/>
    <col min="15" max="15" width="36.5703125" style="283" customWidth="1"/>
    <col min="16" max="16" width="59.28515625" style="283" customWidth="1"/>
  </cols>
  <sheetData>
    <row r="1" spans="1:47">
      <c r="A1" s="107" t="str">
        <f t="array" aca="1" ref="A1" ca="1">IF(TRIM(INDIRECT("Columns!H2"))="","", "dim1 - " &amp; INDIRECT("Columns!H2"))</f>
        <v>dim1 - 1</v>
      </c>
      <c r="B1" s="58"/>
      <c r="C1" s="247" t="str">
        <f t="array" aca="1" ref="C1" ca="1">IF(TRIM(INDIRECT("Columns!I3"))="","", "dim2 - " &amp; INDIRECT("Columns!I3"))</f>
        <v/>
      </c>
      <c r="D1" s="58"/>
      <c r="E1" s="107" t="str">
        <f t="array" aca="1" ref="E1" ca="1">IF(TRIM(INDIRECT("Columns!H4"))="","", "dim3 - " &amp; INDIRECT("Columns!H4"))</f>
        <v/>
      </c>
      <c r="F1" s="58"/>
      <c r="G1" s="57" t="str">
        <f t="array" aca="1" ref="G1" ca="1">IF(TRIM(INDIRECT("Columns!H5"))="","", "dim4 - " &amp; INDIRECT("Columns!H5"))</f>
        <v/>
      </c>
      <c r="H1" s="62"/>
      <c r="I1" s="57" t="str">
        <f t="array" aca="1" ref="I1" ca="1">IF(TRIM(INDIRECT("Columns!H6"))="","", "Dim5 " &amp; INDIRECT("Columns!H6"))</f>
        <v/>
      </c>
      <c r="J1" s="58"/>
    </row>
    <row r="2" spans="1:47" ht="15.75" customHeight="1" thickBot="1">
      <c r="A2" s="59" t="str">
        <f t="array" aca="1" ref="A2" ca="1">IF(TRIM(INDIRECT("COLHELPER!$j$2"))="","",TRIM(INDIRECT("COLHELPER!$j$2")))</f>
        <v/>
      </c>
      <c r="B2" s="60"/>
      <c r="C2" s="59" t="str">
        <f t="array" aca="1" ref="C2" ca="1">IF(TRIM(INDIRECT("COLHELPER!$j$3"))="","",TRIM(INDIRECT("COLHELPER!$j$3")))</f>
        <v/>
      </c>
      <c r="D2" s="60"/>
      <c r="E2" s="59" t="str">
        <f t="array" aca="1" ref="E2" ca="1">IF(TRIM(INDIRECT("COLHELPER!$j$4"))="","",TRIM(INDIRECT("COLHELPER!$j$4")))</f>
        <v/>
      </c>
      <c r="F2" s="60"/>
      <c r="G2" s="61" t="str">
        <f t="array" aca="1" ref="G2" ca="1">IF(TRIM(INDIRECT("COLHELPER!$j$5"))="","",TRIM(INDIRECT("COLHELPER!$j$5")))</f>
        <v/>
      </c>
      <c r="H2" s="63"/>
      <c r="I2" s="66" t="str">
        <f t="array" aca="1" ref="I2" ca="1">IF(TRIM(INDIRECT("COLHELPER!$j$6"))="","",TRIM(INDIRECT("COLHELPER!$j$6")))</f>
        <v/>
      </c>
      <c r="J2" s="65"/>
      <c r="L2" t="s">
        <v>162</v>
      </c>
      <c r="M2" t="s">
        <v>163</v>
      </c>
      <c r="N2" t="s">
        <v>164</v>
      </c>
      <c r="O2" t="s">
        <v>165</v>
      </c>
      <c r="P2" t="s">
        <v>166</v>
      </c>
    </row>
    <row r="3" spans="1:47" ht="15.75" customHeight="1" thickBot="1">
      <c r="A3" s="67" t="s">
        <v>167</v>
      </c>
      <c r="B3" s="68" t="s">
        <v>168</v>
      </c>
      <c r="C3" s="30" t="s">
        <v>167</v>
      </c>
      <c r="D3" s="30" t="s">
        <v>169</v>
      </c>
      <c r="E3" s="30" t="s">
        <v>167</v>
      </c>
      <c r="F3" s="30" t="s">
        <v>169</v>
      </c>
      <c r="G3" s="67" t="s">
        <v>167</v>
      </c>
      <c r="H3" s="68" t="s">
        <v>169</v>
      </c>
      <c r="I3" s="67" t="s">
        <v>170</v>
      </c>
      <c r="J3" s="68" t="s">
        <v>169</v>
      </c>
      <c r="K3" s="221"/>
      <c r="L3" s="214" t="str">
        <f ca="1">A2</f>
        <v/>
      </c>
      <c r="M3" s="214" t="str">
        <f ca="1">C2</f>
        <v/>
      </c>
      <c r="N3" s="214" t="str">
        <f ca="1">E2</f>
        <v/>
      </c>
      <c r="O3" s="214" t="str">
        <f ca="1">G2</f>
        <v/>
      </c>
      <c r="P3" s="214" t="str">
        <f ca="1">I2</f>
        <v/>
      </c>
      <c r="Q3" s="211"/>
      <c r="R3" s="211"/>
      <c r="S3" s="211"/>
      <c r="T3" s="211"/>
      <c r="U3" s="211"/>
      <c r="V3" s="211"/>
      <c r="W3" s="211"/>
      <c r="X3" s="211"/>
      <c r="Y3" s="211"/>
      <c r="Z3" s="211"/>
      <c r="AA3" s="211"/>
      <c r="AB3" s="211"/>
      <c r="AC3" s="211"/>
      <c r="AD3" s="211"/>
      <c r="AE3" s="211"/>
      <c r="AF3" s="211"/>
      <c r="AG3" s="211"/>
      <c r="AH3" s="211"/>
      <c r="AI3" s="211"/>
      <c r="AJ3" s="211"/>
      <c r="AK3" s="211"/>
      <c r="AL3" s="211"/>
      <c r="AM3" s="211"/>
      <c r="AN3" s="211"/>
      <c r="AO3" s="211"/>
      <c r="AP3" s="211"/>
      <c r="AQ3" s="211"/>
      <c r="AR3" s="211"/>
      <c r="AS3" s="211"/>
      <c r="AT3" s="211"/>
      <c r="AU3" s="211"/>
    </row>
    <row r="4" spans="1:47" ht="30" customHeight="1">
      <c r="A4" s="263"/>
      <c r="B4" s="264"/>
      <c r="C4" s="263"/>
      <c r="D4" s="264"/>
      <c r="E4" s="256"/>
      <c r="F4" s="257"/>
      <c r="G4" s="265"/>
      <c r="H4" s="266"/>
      <c r="I4" s="52"/>
      <c r="J4" s="54"/>
      <c r="L4" s="211" t="str">
        <f t="shared" ref="L4:L17" si="0">IF(TRIM(A4)&lt;&gt;"",A4 &amp; " = " &amp;$L$3 &amp; "." &amp; B4,"")</f>
        <v/>
      </c>
      <c r="M4" s="211" t="str">
        <f t="shared" ref="M4:M16" si="1">IF(TRIM(C4)&lt;&gt;"",C4 &amp; " = " &amp;$M$3 &amp; "." &amp; D4,"")</f>
        <v/>
      </c>
      <c r="N4" s="211" t="str">
        <f t="shared" ref="N4:N16" si="2">IF(TRIM(E4)&lt;&gt;"",E4 &amp; " = " &amp;$N$3 &amp; "." &amp; F4,"")</f>
        <v/>
      </c>
      <c r="O4" s="211" t="str">
        <f t="shared" ref="O4:O16" si="3">IF(TRIM(G4)&lt;&gt;"",G4 &amp; " = " &amp;$O$3 &amp; "." &amp; H4,"")</f>
        <v/>
      </c>
      <c r="P4" s="211" t="str">
        <f t="shared" ref="P4:P16" si="4">IF(TRIM(I4)&lt;&gt;"",I4 &amp; " = " &amp;$P$3 &amp; "." &amp; J4,"")</f>
        <v/>
      </c>
      <c r="Q4" s="211"/>
      <c r="R4" s="211"/>
      <c r="S4" s="211"/>
      <c r="T4" s="211"/>
      <c r="U4" s="211"/>
      <c r="V4" s="211"/>
      <c r="W4" s="211"/>
      <c r="X4" s="211"/>
      <c r="Y4" s="211"/>
      <c r="Z4" s="211"/>
      <c r="AA4" s="211"/>
      <c r="AB4" s="211"/>
      <c r="AC4" s="211"/>
      <c r="AD4" s="211"/>
      <c r="AE4" s="211"/>
      <c r="AF4" s="211"/>
      <c r="AG4" s="211"/>
      <c r="AH4" s="211"/>
      <c r="AI4" s="211"/>
      <c r="AJ4" s="211"/>
      <c r="AK4" s="211"/>
      <c r="AL4" s="211"/>
      <c r="AM4" s="211"/>
      <c r="AN4" s="211"/>
      <c r="AO4" s="211"/>
      <c r="AP4" s="211"/>
      <c r="AQ4" s="211"/>
      <c r="AR4" s="211"/>
      <c r="AS4" s="211"/>
      <c r="AT4" s="211"/>
      <c r="AU4" s="211"/>
    </row>
    <row r="5" spans="1:47" ht="30" customHeight="1">
      <c r="A5" s="241"/>
      <c r="B5" s="242"/>
      <c r="C5" s="243"/>
      <c r="D5" s="243"/>
      <c r="E5" s="244"/>
      <c r="F5" s="241"/>
      <c r="G5" s="258"/>
      <c r="H5" s="258"/>
      <c r="I5" s="52"/>
      <c r="J5" s="54"/>
      <c r="L5" s="211" t="str">
        <f t="shared" si="0"/>
        <v/>
      </c>
      <c r="M5" s="211" t="str">
        <f t="shared" si="1"/>
        <v/>
      </c>
      <c r="N5" s="211" t="str">
        <f t="shared" si="2"/>
        <v/>
      </c>
      <c r="O5" s="211" t="str">
        <f t="shared" si="3"/>
        <v/>
      </c>
      <c r="P5" s="211" t="str">
        <f t="shared" si="4"/>
        <v/>
      </c>
      <c r="Q5" s="211"/>
      <c r="R5" s="211"/>
      <c r="S5" s="211"/>
      <c r="T5" s="211"/>
      <c r="U5" s="211"/>
      <c r="V5" s="211"/>
      <c r="W5" s="211"/>
      <c r="X5" s="211"/>
      <c r="Y5" s="211"/>
      <c r="Z5" s="211"/>
      <c r="AA5" s="211"/>
      <c r="AB5" s="211"/>
      <c r="AC5" s="211"/>
      <c r="AD5" s="211"/>
      <c r="AE5" s="211"/>
      <c r="AF5" s="211"/>
      <c r="AG5" s="211"/>
      <c r="AH5" s="211"/>
      <c r="AI5" s="211"/>
      <c r="AJ5" s="211"/>
      <c r="AK5" s="211"/>
      <c r="AL5" s="211"/>
      <c r="AM5" s="211"/>
      <c r="AN5" s="211"/>
      <c r="AO5" s="211"/>
      <c r="AP5" s="211"/>
      <c r="AQ5" s="211"/>
      <c r="AR5" s="211"/>
      <c r="AS5" s="211"/>
      <c r="AT5" s="211"/>
      <c r="AU5" s="211"/>
    </row>
    <row r="6" spans="1:47" ht="30" customHeight="1">
      <c r="A6" s="222"/>
      <c r="B6" s="223"/>
      <c r="C6" s="245"/>
      <c r="D6" s="245"/>
      <c r="E6" s="53"/>
      <c r="F6" s="51"/>
      <c r="G6" s="259"/>
      <c r="H6" s="259"/>
      <c r="I6" s="52"/>
      <c r="J6" s="54"/>
      <c r="L6" s="211" t="str">
        <f t="shared" si="0"/>
        <v/>
      </c>
      <c r="M6" s="211" t="str">
        <f t="shared" si="1"/>
        <v/>
      </c>
      <c r="N6" s="211" t="str">
        <f t="shared" si="2"/>
        <v/>
      </c>
      <c r="O6" s="211" t="str">
        <f t="shared" si="3"/>
        <v/>
      </c>
      <c r="P6" s="211" t="str">
        <f t="shared" si="4"/>
        <v/>
      </c>
      <c r="Q6" s="211"/>
      <c r="R6" s="211"/>
      <c r="S6" s="211"/>
      <c r="T6" s="211"/>
      <c r="U6" s="211"/>
      <c r="V6" s="211"/>
      <c r="W6" s="211"/>
      <c r="X6" s="211"/>
      <c r="Y6" s="211"/>
      <c r="Z6" s="211"/>
      <c r="AA6" s="211"/>
      <c r="AB6" s="211"/>
      <c r="AC6" s="211"/>
      <c r="AD6" s="211"/>
      <c r="AE6" s="211"/>
      <c r="AF6" s="211"/>
      <c r="AG6" s="211"/>
      <c r="AH6" s="211"/>
      <c r="AI6" s="211"/>
      <c r="AJ6" s="211"/>
      <c r="AK6" s="211"/>
      <c r="AL6" s="211"/>
      <c r="AM6" s="211"/>
      <c r="AN6" s="211"/>
      <c r="AO6" s="211"/>
      <c r="AP6" s="211"/>
      <c r="AQ6" s="211"/>
      <c r="AR6" s="211"/>
      <c r="AS6" s="211"/>
      <c r="AT6" s="211"/>
      <c r="AU6" s="211"/>
    </row>
    <row r="7" spans="1:47" ht="30" customHeight="1">
      <c r="A7" s="222"/>
      <c r="B7" s="223"/>
      <c r="C7" s="243"/>
      <c r="D7" s="246"/>
      <c r="E7" s="53"/>
      <c r="F7" s="51"/>
      <c r="G7" s="259"/>
      <c r="H7" s="259"/>
      <c r="I7" s="52"/>
      <c r="J7" s="54"/>
      <c r="L7" s="211" t="str">
        <f t="shared" si="0"/>
        <v/>
      </c>
      <c r="M7" s="211" t="str">
        <f t="shared" si="1"/>
        <v/>
      </c>
      <c r="N7" s="211" t="str">
        <f t="shared" si="2"/>
        <v/>
      </c>
      <c r="O7" s="211" t="str">
        <f t="shared" si="3"/>
        <v/>
      </c>
      <c r="P7" s="211" t="str">
        <f t="shared" si="4"/>
        <v/>
      </c>
      <c r="Q7" s="211"/>
      <c r="R7" s="211"/>
      <c r="S7" s="211"/>
      <c r="T7" s="211"/>
      <c r="U7" s="211"/>
      <c r="V7" s="211"/>
      <c r="W7" s="211"/>
      <c r="X7" s="211"/>
      <c r="Y7" s="211"/>
      <c r="Z7" s="211"/>
      <c r="AA7" s="211"/>
      <c r="AB7" s="211"/>
      <c r="AC7" s="211"/>
      <c r="AD7" s="211"/>
      <c r="AE7" s="211"/>
      <c r="AF7" s="211"/>
      <c r="AG7" s="211"/>
      <c r="AH7" s="211"/>
      <c r="AI7" s="211"/>
      <c r="AJ7" s="211"/>
      <c r="AK7" s="211"/>
      <c r="AL7" s="211"/>
      <c r="AM7" s="211"/>
      <c r="AN7" s="211"/>
      <c r="AO7" s="211"/>
      <c r="AP7" s="211"/>
      <c r="AQ7" s="211"/>
      <c r="AR7" s="211"/>
      <c r="AS7" s="211"/>
      <c r="AT7" s="211"/>
      <c r="AU7" s="211"/>
    </row>
    <row r="8" spans="1:47">
      <c r="A8" s="53"/>
      <c r="B8" s="54"/>
      <c r="C8" s="52"/>
      <c r="D8" s="87"/>
      <c r="E8" s="53"/>
      <c r="F8" s="51"/>
      <c r="G8" s="53"/>
      <c r="H8" s="51"/>
      <c r="I8" s="52"/>
      <c r="J8" s="54"/>
      <c r="L8" s="211" t="str">
        <f t="shared" si="0"/>
        <v/>
      </c>
      <c r="M8" s="211" t="str">
        <f t="shared" si="1"/>
        <v/>
      </c>
      <c r="N8" s="211" t="str">
        <f t="shared" si="2"/>
        <v/>
      </c>
      <c r="O8" s="211" t="str">
        <f t="shared" si="3"/>
        <v/>
      </c>
      <c r="P8" s="211" t="str">
        <f t="shared" si="4"/>
        <v/>
      </c>
      <c r="Q8" s="211"/>
      <c r="R8" s="211"/>
      <c r="S8" s="211"/>
      <c r="T8" s="211"/>
      <c r="U8" s="211"/>
      <c r="V8" s="211"/>
      <c r="W8" s="211"/>
      <c r="X8" s="211"/>
      <c r="Y8" s="211"/>
      <c r="Z8" s="211"/>
      <c r="AA8" s="211"/>
      <c r="AB8" s="211"/>
      <c r="AC8" s="211"/>
      <c r="AD8" s="211"/>
      <c r="AE8" s="211"/>
      <c r="AF8" s="211"/>
      <c r="AG8" s="211"/>
      <c r="AH8" s="211"/>
      <c r="AI8" s="211"/>
      <c r="AJ8" s="211"/>
      <c r="AK8" s="211"/>
      <c r="AL8" s="211"/>
      <c r="AM8" s="211"/>
      <c r="AN8" s="211"/>
      <c r="AO8" s="211"/>
      <c r="AP8" s="211"/>
      <c r="AQ8" s="211"/>
      <c r="AR8" s="211"/>
      <c r="AS8" s="211"/>
      <c r="AT8" s="211"/>
      <c r="AU8" s="211"/>
    </row>
    <row r="9" spans="1:47">
      <c r="A9" s="53"/>
      <c r="B9" s="54"/>
      <c r="C9" s="52"/>
      <c r="D9" s="87"/>
      <c r="E9" s="53"/>
      <c r="F9" s="51"/>
      <c r="G9" s="53"/>
      <c r="H9" s="51"/>
      <c r="I9" s="52"/>
      <c r="J9" s="54"/>
      <c r="L9" s="211" t="str">
        <f t="shared" si="0"/>
        <v/>
      </c>
      <c r="M9" s="211" t="str">
        <f t="shared" si="1"/>
        <v/>
      </c>
      <c r="N9" s="211" t="str">
        <f t="shared" si="2"/>
        <v/>
      </c>
      <c r="O9" s="211" t="str">
        <f t="shared" si="3"/>
        <v/>
      </c>
      <c r="P9" s="211" t="str">
        <f t="shared" si="4"/>
        <v/>
      </c>
      <c r="Q9" s="211"/>
      <c r="R9" s="211"/>
      <c r="S9" s="211"/>
      <c r="T9" s="211"/>
      <c r="U9" s="211"/>
      <c r="V9" s="211"/>
      <c r="W9" s="211"/>
      <c r="X9" s="211"/>
      <c r="Y9" s="211"/>
      <c r="Z9" s="211"/>
      <c r="AA9" s="211"/>
      <c r="AB9" s="211"/>
      <c r="AC9" s="211"/>
      <c r="AD9" s="211"/>
      <c r="AE9" s="211"/>
      <c r="AF9" s="211"/>
      <c r="AG9" s="211"/>
      <c r="AH9" s="211"/>
      <c r="AI9" s="211"/>
      <c r="AJ9" s="211"/>
      <c r="AK9" s="211"/>
      <c r="AL9" s="211"/>
      <c r="AM9" s="211"/>
      <c r="AN9" s="211"/>
      <c r="AO9" s="211"/>
      <c r="AP9" s="211"/>
      <c r="AQ9" s="211"/>
      <c r="AR9" s="211"/>
      <c r="AS9" s="211"/>
      <c r="AT9" s="211"/>
      <c r="AU9" s="211"/>
    </row>
    <row r="10" spans="1:47">
      <c r="A10" s="53"/>
      <c r="B10" s="54"/>
      <c r="C10" s="52"/>
      <c r="D10" s="87"/>
      <c r="E10" s="53"/>
      <c r="F10" s="51"/>
      <c r="G10" s="53"/>
      <c r="H10" s="51"/>
      <c r="I10" s="52"/>
      <c r="J10" s="54"/>
      <c r="L10" s="211" t="str">
        <f t="shared" si="0"/>
        <v/>
      </c>
      <c r="M10" s="211" t="str">
        <f t="shared" si="1"/>
        <v/>
      </c>
      <c r="N10" s="211" t="str">
        <f t="shared" si="2"/>
        <v/>
      </c>
      <c r="O10" s="211" t="str">
        <f t="shared" si="3"/>
        <v/>
      </c>
      <c r="P10" s="211" t="str">
        <f t="shared" si="4"/>
        <v/>
      </c>
      <c r="Q10" s="211"/>
      <c r="R10" s="211"/>
      <c r="S10" s="211"/>
      <c r="T10" s="211"/>
      <c r="U10" s="211"/>
      <c r="V10" s="211"/>
      <c r="W10" s="211"/>
      <c r="X10" s="211"/>
      <c r="Y10" s="211"/>
      <c r="Z10" s="211"/>
      <c r="AA10" s="211"/>
      <c r="AB10" s="211"/>
      <c r="AC10" s="211"/>
      <c r="AD10" s="211"/>
      <c r="AE10" s="211"/>
      <c r="AF10" s="211"/>
      <c r="AG10" s="211"/>
      <c r="AH10" s="211"/>
      <c r="AI10" s="211"/>
      <c r="AJ10" s="211"/>
      <c r="AK10" s="211"/>
      <c r="AL10" s="211"/>
      <c r="AM10" s="211"/>
      <c r="AN10" s="211"/>
      <c r="AO10" s="211"/>
      <c r="AP10" s="211"/>
      <c r="AQ10" s="211"/>
      <c r="AR10" s="211"/>
      <c r="AS10" s="211"/>
      <c r="AT10" s="211"/>
      <c r="AU10" s="211"/>
    </row>
    <row r="11" spans="1:47">
      <c r="A11" s="53"/>
      <c r="B11" s="54"/>
      <c r="C11" s="52"/>
      <c r="D11" s="87"/>
      <c r="E11" s="53"/>
      <c r="F11" s="51"/>
      <c r="G11" s="53"/>
      <c r="H11" s="51"/>
      <c r="I11" s="52"/>
      <c r="J11" s="54"/>
      <c r="L11" s="211" t="str">
        <f t="shared" si="0"/>
        <v/>
      </c>
      <c r="M11" s="211" t="str">
        <f t="shared" si="1"/>
        <v/>
      </c>
      <c r="N11" s="211" t="str">
        <f t="shared" si="2"/>
        <v/>
      </c>
      <c r="O11" s="211" t="str">
        <f t="shared" si="3"/>
        <v/>
      </c>
      <c r="P11" s="211" t="str">
        <f t="shared" si="4"/>
        <v/>
      </c>
      <c r="Q11" s="211"/>
      <c r="R11" s="211"/>
      <c r="S11" s="211"/>
      <c r="T11" s="211"/>
      <c r="U11" s="211"/>
      <c r="V11" s="211"/>
      <c r="W11" s="211"/>
      <c r="X11" s="211"/>
      <c r="Y11" s="211"/>
      <c r="Z11" s="211"/>
      <c r="AA11" s="211"/>
      <c r="AB11" s="211"/>
      <c r="AC11" s="211"/>
      <c r="AD11" s="211"/>
      <c r="AE11" s="211"/>
      <c r="AF11" s="211"/>
      <c r="AG11" s="211"/>
      <c r="AH11" s="211"/>
      <c r="AI11" s="211"/>
      <c r="AJ11" s="211"/>
      <c r="AK11" s="211"/>
      <c r="AL11" s="211"/>
      <c r="AM11" s="211"/>
      <c r="AN11" s="211"/>
      <c r="AO11" s="211"/>
      <c r="AP11" s="211"/>
      <c r="AQ11" s="211"/>
      <c r="AR11" s="211"/>
      <c r="AS11" s="211"/>
      <c r="AT11" s="211"/>
      <c r="AU11" s="211"/>
    </row>
    <row r="12" spans="1:47">
      <c r="A12" s="53"/>
      <c r="B12" s="54"/>
      <c r="C12" s="52"/>
      <c r="D12" s="87"/>
      <c r="E12" s="53"/>
      <c r="F12" s="51"/>
      <c r="G12" s="53"/>
      <c r="H12" s="51"/>
      <c r="I12" s="52"/>
      <c r="J12" s="54"/>
      <c r="L12" s="211" t="str">
        <f t="shared" si="0"/>
        <v/>
      </c>
      <c r="M12" s="211" t="str">
        <f t="shared" si="1"/>
        <v/>
      </c>
      <c r="N12" s="211" t="str">
        <f t="shared" si="2"/>
        <v/>
      </c>
      <c r="O12" s="211" t="str">
        <f t="shared" si="3"/>
        <v/>
      </c>
      <c r="P12" s="211" t="str">
        <f t="shared" si="4"/>
        <v/>
      </c>
      <c r="Q12" s="211"/>
      <c r="R12" s="211"/>
      <c r="S12" s="211"/>
      <c r="T12" s="211"/>
      <c r="U12" s="211"/>
      <c r="V12" s="211"/>
      <c r="W12" s="211"/>
      <c r="X12" s="211"/>
      <c r="Y12" s="211"/>
      <c r="Z12" s="211"/>
      <c r="AA12" s="211"/>
      <c r="AB12" s="211"/>
      <c r="AC12" s="211"/>
      <c r="AD12" s="211"/>
      <c r="AE12" s="211"/>
      <c r="AF12" s="211"/>
      <c r="AG12" s="211"/>
      <c r="AH12" s="211"/>
      <c r="AI12" s="211"/>
      <c r="AJ12" s="211"/>
      <c r="AK12" s="211"/>
      <c r="AL12" s="211"/>
      <c r="AM12" s="211"/>
      <c r="AN12" s="211"/>
      <c r="AO12" s="211"/>
      <c r="AP12" s="211"/>
      <c r="AQ12" s="211"/>
      <c r="AR12" s="211"/>
      <c r="AS12" s="211"/>
      <c r="AT12" s="211"/>
      <c r="AU12" s="211"/>
    </row>
    <row r="13" spans="1:47">
      <c r="A13" s="53"/>
      <c r="B13" s="54"/>
      <c r="C13" s="52"/>
      <c r="D13" s="87"/>
      <c r="E13" s="53"/>
      <c r="F13" s="51"/>
      <c r="G13" s="53"/>
      <c r="H13" s="51"/>
      <c r="I13" s="52"/>
      <c r="J13" s="54"/>
      <c r="L13" s="211" t="str">
        <f t="shared" si="0"/>
        <v/>
      </c>
      <c r="M13" s="211" t="str">
        <f t="shared" si="1"/>
        <v/>
      </c>
      <c r="N13" s="211" t="str">
        <f t="shared" si="2"/>
        <v/>
      </c>
      <c r="O13" s="211" t="str">
        <f t="shared" si="3"/>
        <v/>
      </c>
      <c r="P13" s="211" t="str">
        <f t="shared" si="4"/>
        <v/>
      </c>
      <c r="Q13" s="211"/>
      <c r="R13" s="211"/>
      <c r="S13" s="211"/>
      <c r="T13" s="211"/>
      <c r="U13" s="211"/>
      <c r="V13" s="211"/>
      <c r="W13" s="211"/>
      <c r="X13" s="211"/>
      <c r="Y13" s="211"/>
      <c r="Z13" s="211"/>
      <c r="AA13" s="211"/>
      <c r="AB13" s="211"/>
      <c r="AC13" s="211"/>
      <c r="AD13" s="211"/>
      <c r="AE13" s="211"/>
      <c r="AF13" s="211"/>
      <c r="AG13" s="211"/>
      <c r="AH13" s="211"/>
      <c r="AI13" s="211"/>
      <c r="AJ13" s="211"/>
      <c r="AK13" s="211"/>
      <c r="AL13" s="211"/>
      <c r="AM13" s="211"/>
      <c r="AN13" s="211"/>
      <c r="AO13" s="211"/>
      <c r="AP13" s="211"/>
      <c r="AQ13" s="211"/>
      <c r="AR13" s="211"/>
      <c r="AS13" s="211"/>
      <c r="AT13" s="211"/>
      <c r="AU13" s="211"/>
    </row>
    <row r="14" spans="1:47">
      <c r="A14" s="53"/>
      <c r="B14" s="54"/>
      <c r="C14" s="52"/>
      <c r="D14" s="87"/>
      <c r="E14" s="53"/>
      <c r="F14" s="51"/>
      <c r="G14" s="53"/>
      <c r="H14" s="51"/>
      <c r="I14" s="52"/>
      <c r="J14" s="54"/>
      <c r="L14" s="211" t="str">
        <f t="shared" si="0"/>
        <v/>
      </c>
      <c r="M14" s="211" t="str">
        <f t="shared" si="1"/>
        <v/>
      </c>
      <c r="N14" s="211" t="str">
        <f t="shared" si="2"/>
        <v/>
      </c>
      <c r="O14" s="211" t="str">
        <f t="shared" si="3"/>
        <v/>
      </c>
      <c r="P14" s="211" t="str">
        <f t="shared" si="4"/>
        <v/>
      </c>
      <c r="Q14" s="211"/>
      <c r="R14" s="211"/>
      <c r="S14" s="211"/>
      <c r="T14" s="211"/>
      <c r="U14" s="211"/>
      <c r="V14" s="211"/>
      <c r="W14" s="211"/>
      <c r="X14" s="211"/>
      <c r="Y14" s="211"/>
      <c r="Z14" s="211"/>
      <c r="AA14" s="211"/>
      <c r="AB14" s="211"/>
      <c r="AC14" s="211"/>
      <c r="AD14" s="211"/>
      <c r="AE14" s="211"/>
      <c r="AF14" s="211"/>
      <c r="AG14" s="211"/>
      <c r="AH14" s="211"/>
      <c r="AI14" s="211"/>
      <c r="AJ14" s="211"/>
      <c r="AK14" s="211"/>
      <c r="AL14" s="211"/>
      <c r="AM14" s="211"/>
      <c r="AN14" s="211"/>
      <c r="AO14" s="211"/>
      <c r="AP14" s="211"/>
      <c r="AQ14" s="211"/>
      <c r="AR14" s="211"/>
      <c r="AS14" s="211"/>
      <c r="AT14" s="211"/>
      <c r="AU14" s="211"/>
    </row>
    <row r="15" spans="1:47">
      <c r="A15" s="53"/>
      <c r="B15" s="54"/>
      <c r="C15" s="52"/>
      <c r="D15" s="87"/>
      <c r="E15" s="53"/>
      <c r="F15" s="51"/>
      <c r="G15" s="53"/>
      <c r="H15" s="51"/>
      <c r="I15" s="52"/>
      <c r="J15" s="54"/>
      <c r="L15" s="211" t="str">
        <f t="shared" si="0"/>
        <v/>
      </c>
      <c r="M15" s="211" t="str">
        <f t="shared" si="1"/>
        <v/>
      </c>
      <c r="N15" s="211" t="str">
        <f t="shared" si="2"/>
        <v/>
      </c>
      <c r="O15" s="211" t="str">
        <f t="shared" si="3"/>
        <v/>
      </c>
      <c r="P15" s="211" t="str">
        <f t="shared" si="4"/>
        <v/>
      </c>
      <c r="Q15" s="211"/>
      <c r="R15" s="211"/>
      <c r="S15" s="211"/>
      <c r="T15" s="211"/>
      <c r="U15" s="211"/>
      <c r="V15" s="211"/>
      <c r="W15" s="211"/>
      <c r="X15" s="211"/>
      <c r="Y15" s="211"/>
      <c r="Z15" s="211"/>
      <c r="AA15" s="211"/>
      <c r="AB15" s="211"/>
      <c r="AC15" s="211"/>
      <c r="AD15" s="211"/>
      <c r="AE15" s="211"/>
      <c r="AF15" s="211"/>
      <c r="AG15" s="211"/>
      <c r="AH15" s="211"/>
      <c r="AI15" s="211"/>
      <c r="AJ15" s="211"/>
      <c r="AK15" s="211"/>
      <c r="AL15" s="211"/>
      <c r="AM15" s="211"/>
      <c r="AN15" s="211"/>
      <c r="AO15" s="211"/>
      <c r="AP15" s="211"/>
      <c r="AQ15" s="211"/>
      <c r="AR15" s="211"/>
      <c r="AS15" s="211"/>
      <c r="AT15" s="211"/>
      <c r="AU15" s="211"/>
    </row>
    <row r="16" spans="1:47" ht="15.75" customHeight="1" thickBot="1">
      <c r="A16" s="55"/>
      <c r="B16" s="56"/>
      <c r="C16" s="69"/>
      <c r="D16" s="88"/>
      <c r="E16" s="55"/>
      <c r="F16" s="64"/>
      <c r="G16" s="55"/>
      <c r="H16" s="64"/>
      <c r="I16" s="69"/>
      <c r="J16" s="56"/>
      <c r="L16" s="211" t="str">
        <f t="shared" si="0"/>
        <v/>
      </c>
      <c r="M16" s="211" t="str">
        <f t="shared" si="1"/>
        <v/>
      </c>
      <c r="N16" s="211" t="str">
        <f t="shared" si="2"/>
        <v/>
      </c>
      <c r="O16" s="211" t="str">
        <f t="shared" si="3"/>
        <v/>
      </c>
      <c r="P16" s="211" t="str">
        <f t="shared" si="4"/>
        <v/>
      </c>
      <c r="Q16" s="211"/>
      <c r="R16" s="211"/>
      <c r="S16" s="211"/>
      <c r="T16" s="211"/>
      <c r="U16" s="211"/>
      <c r="V16" s="211"/>
      <c r="W16" s="211"/>
      <c r="X16" s="211"/>
      <c r="Y16" s="211"/>
      <c r="Z16" s="211"/>
      <c r="AA16" s="211"/>
      <c r="AB16" s="211"/>
      <c r="AC16" s="211"/>
      <c r="AD16" s="211"/>
      <c r="AE16" s="211"/>
      <c r="AF16" s="211"/>
      <c r="AG16" s="211"/>
      <c r="AH16" s="211"/>
      <c r="AI16" s="211"/>
      <c r="AJ16" s="211"/>
      <c r="AK16" s="211"/>
      <c r="AL16" s="211"/>
      <c r="AM16" s="211"/>
      <c r="AN16" s="211"/>
      <c r="AO16" s="211"/>
      <c r="AP16" s="211"/>
      <c r="AQ16" s="211"/>
      <c r="AR16" s="211"/>
      <c r="AS16" s="211"/>
      <c r="AT16" s="211"/>
      <c r="AU16" s="211"/>
    </row>
    <row r="17" spans="12:16">
      <c r="L17" s="211" t="str">
        <f t="shared" si="0"/>
        <v/>
      </c>
    </row>
    <row r="18" spans="12:16">
      <c r="L18" s="211" t="str">
        <f t="shared" ref="L18:P30" si="5">IF(L4="","","&lt;tr&gt;&lt;td&gt;" &amp; L31&amp; "&lt;/td&gt;&lt;td&gt;" &amp; L4 &amp; "&lt;/td&gt;&lt;/tr&gt;")</f>
        <v/>
      </c>
      <c r="M18" s="211" t="str">
        <f t="shared" si="5"/>
        <v/>
      </c>
      <c r="N18" s="211" t="str">
        <f t="shared" si="5"/>
        <v/>
      </c>
      <c r="O18" s="211" t="str">
        <f t="shared" si="5"/>
        <v/>
      </c>
      <c r="P18" s="211" t="str">
        <f t="shared" si="5"/>
        <v/>
      </c>
    </row>
    <row r="19" spans="12:16">
      <c r="L19" s="211" t="str">
        <f t="shared" si="5"/>
        <v/>
      </c>
      <c r="M19" s="211" t="str">
        <f t="shared" si="5"/>
        <v/>
      </c>
      <c r="N19" s="211" t="str">
        <f t="shared" si="5"/>
        <v/>
      </c>
      <c r="O19" s="211" t="str">
        <f t="shared" si="5"/>
        <v/>
      </c>
      <c r="P19" s="211" t="str">
        <f t="shared" si="5"/>
        <v/>
      </c>
    </row>
    <row r="20" spans="12:16">
      <c r="L20" s="211" t="str">
        <f t="shared" si="5"/>
        <v/>
      </c>
      <c r="M20" s="211" t="str">
        <f t="shared" si="5"/>
        <v/>
      </c>
      <c r="N20" s="211" t="str">
        <f t="shared" si="5"/>
        <v/>
      </c>
      <c r="O20" s="211" t="str">
        <f t="shared" si="5"/>
        <v/>
      </c>
      <c r="P20" s="211" t="str">
        <f t="shared" si="5"/>
        <v/>
      </c>
    </row>
    <row r="21" spans="12:16">
      <c r="L21" s="211" t="str">
        <f t="shared" si="5"/>
        <v/>
      </c>
      <c r="M21" s="211" t="str">
        <f t="shared" si="5"/>
        <v/>
      </c>
      <c r="N21" s="211" t="str">
        <f t="shared" si="5"/>
        <v/>
      </c>
      <c r="O21" s="211" t="str">
        <f t="shared" si="5"/>
        <v/>
      </c>
      <c r="P21" s="211" t="str">
        <f t="shared" si="5"/>
        <v/>
      </c>
    </row>
    <row r="22" spans="12:16">
      <c r="L22" s="211" t="str">
        <f t="shared" si="5"/>
        <v/>
      </c>
      <c r="M22" s="211" t="str">
        <f t="shared" si="5"/>
        <v/>
      </c>
      <c r="N22" s="211" t="str">
        <f t="shared" si="5"/>
        <v/>
      </c>
      <c r="O22" s="211" t="str">
        <f t="shared" si="5"/>
        <v/>
      </c>
      <c r="P22" s="211" t="str">
        <f t="shared" si="5"/>
        <v/>
      </c>
    </row>
    <row r="23" spans="12:16">
      <c r="L23" s="211" t="str">
        <f t="shared" si="5"/>
        <v/>
      </c>
      <c r="M23" s="211" t="str">
        <f t="shared" si="5"/>
        <v/>
      </c>
      <c r="N23" s="211" t="str">
        <f t="shared" si="5"/>
        <v/>
      </c>
      <c r="O23" s="211" t="str">
        <f t="shared" si="5"/>
        <v/>
      </c>
      <c r="P23" s="211" t="str">
        <f t="shared" si="5"/>
        <v/>
      </c>
    </row>
    <row r="24" spans="12:16">
      <c r="L24" s="211" t="str">
        <f t="shared" si="5"/>
        <v/>
      </c>
      <c r="M24" s="211" t="str">
        <f t="shared" si="5"/>
        <v/>
      </c>
      <c r="N24" s="211" t="str">
        <f t="shared" si="5"/>
        <v/>
      </c>
      <c r="O24" s="211" t="str">
        <f t="shared" si="5"/>
        <v/>
      </c>
      <c r="P24" s="211" t="str">
        <f t="shared" si="5"/>
        <v/>
      </c>
    </row>
    <row r="25" spans="12:16">
      <c r="L25" s="211" t="str">
        <f t="shared" si="5"/>
        <v/>
      </c>
      <c r="M25" s="211" t="str">
        <f t="shared" si="5"/>
        <v/>
      </c>
      <c r="N25" s="211" t="str">
        <f t="shared" si="5"/>
        <v/>
      </c>
      <c r="O25" s="211" t="str">
        <f t="shared" si="5"/>
        <v/>
      </c>
      <c r="P25" s="211" t="str">
        <f t="shared" si="5"/>
        <v/>
      </c>
    </row>
    <row r="26" spans="12:16">
      <c r="L26" s="211" t="str">
        <f t="shared" si="5"/>
        <v/>
      </c>
      <c r="M26" s="211" t="str">
        <f t="shared" si="5"/>
        <v/>
      </c>
      <c r="N26" s="211" t="str">
        <f t="shared" si="5"/>
        <v/>
      </c>
      <c r="O26" s="211" t="str">
        <f t="shared" si="5"/>
        <v/>
      </c>
      <c r="P26" s="211" t="str">
        <f t="shared" si="5"/>
        <v/>
      </c>
    </row>
    <row r="27" spans="12:16">
      <c r="L27" s="211" t="str">
        <f t="shared" si="5"/>
        <v/>
      </c>
      <c r="M27" s="211" t="str">
        <f t="shared" si="5"/>
        <v/>
      </c>
      <c r="N27" s="211" t="str">
        <f t="shared" si="5"/>
        <v/>
      </c>
      <c r="O27" s="211" t="str">
        <f t="shared" si="5"/>
        <v/>
      </c>
      <c r="P27" s="211" t="str">
        <f t="shared" si="5"/>
        <v/>
      </c>
    </row>
    <row r="28" spans="12:16">
      <c r="L28" s="211" t="str">
        <f t="shared" si="5"/>
        <v/>
      </c>
      <c r="M28" s="211" t="str">
        <f t="shared" si="5"/>
        <v/>
      </c>
      <c r="N28" s="211" t="str">
        <f t="shared" si="5"/>
        <v/>
      </c>
      <c r="O28" s="211" t="str">
        <f t="shared" si="5"/>
        <v/>
      </c>
      <c r="P28" s="211" t="str">
        <f t="shared" si="5"/>
        <v/>
      </c>
    </row>
    <row r="29" spans="12:16">
      <c r="L29" s="211" t="str">
        <f t="shared" si="5"/>
        <v/>
      </c>
      <c r="M29" s="211" t="str">
        <f t="shared" si="5"/>
        <v/>
      </c>
      <c r="N29" s="211" t="str">
        <f t="shared" si="5"/>
        <v/>
      </c>
      <c r="O29" s="211" t="str">
        <f t="shared" si="5"/>
        <v/>
      </c>
      <c r="P29" s="211" t="str">
        <f t="shared" si="5"/>
        <v/>
      </c>
    </row>
    <row r="30" spans="12:16">
      <c r="L30" s="211" t="str">
        <f t="shared" si="5"/>
        <v/>
      </c>
      <c r="M30" s="211" t="str">
        <f t="shared" si="5"/>
        <v/>
      </c>
      <c r="N30" s="211" t="str">
        <f t="shared" si="5"/>
        <v/>
      </c>
      <c r="O30" s="211" t="str">
        <f t="shared" si="5"/>
        <v/>
      </c>
      <c r="P30" s="211" t="str">
        <f t="shared" si="5"/>
        <v/>
      </c>
    </row>
    <row r="31" spans="12:16">
      <c r="L31" s="216" t="str">
        <f ca="1">IF(L3="","",L3)</f>
        <v/>
      </c>
      <c r="M31" s="217" t="str">
        <f ca="1">IF(M3="","",M3)</f>
        <v/>
      </c>
      <c r="N31" s="217" t="str">
        <f ca="1">IF(N3="","",N3)</f>
        <v/>
      </c>
      <c r="O31" s="217" t="str">
        <f ca="1">IF(O3="","",O3)</f>
        <v/>
      </c>
      <c r="P31" s="218" t="str">
        <f ca="1">IF(P3="","",P3)</f>
        <v/>
      </c>
    </row>
    <row r="34" spans="12:21">
      <c r="P34" t="str">
        <f>_xlfn.TEXTJOIN("",TRUE,P18:P30)</f>
        <v/>
      </c>
    </row>
    <row r="47" spans="12:21">
      <c r="L47" t="s">
        <v>171</v>
      </c>
      <c r="M47" t="s">
        <v>172</v>
      </c>
      <c r="N47" t="s">
        <v>173</v>
      </c>
      <c r="O47" t="s">
        <v>174</v>
      </c>
      <c r="P47" t="s">
        <v>175</v>
      </c>
      <c r="Q47" t="s">
        <v>176</v>
      </c>
      <c r="R47" t="s">
        <v>177</v>
      </c>
      <c r="S47">
        <v>3</v>
      </c>
      <c r="T47">
        <v>4</v>
      </c>
      <c r="U47">
        <v>5</v>
      </c>
    </row>
    <row r="48" spans="12:21">
      <c r="L48" t="str">
        <f t="shared" ref="L48:L59" si="6">IF(A4="","",A4)</f>
        <v/>
      </c>
      <c r="M48" t="str">
        <f t="shared" ref="M48:M59" si="7">IF(C4="","",C4)</f>
        <v/>
      </c>
      <c r="N48" t="str">
        <f t="shared" ref="N48:N59" si="8">IF(E4="","",E4)</f>
        <v/>
      </c>
      <c r="O48" t="str">
        <f t="shared" ref="O48:O59" si="9">IF(G4="","",G4)</f>
        <v/>
      </c>
      <c r="P48" t="str">
        <f t="shared" ref="P48:P59" si="10">IF(I4="","",I4)</f>
        <v/>
      </c>
      <c r="Q48" t="str">
        <f t="array" ref="Q48">_xlfn.UNIQUE(L48:P48,TRUE)</f>
        <v/>
      </c>
    </row>
    <row r="49" spans="12:29">
      <c r="L49" t="str">
        <f t="shared" si="6"/>
        <v/>
      </c>
      <c r="M49" t="str">
        <f t="shared" si="7"/>
        <v/>
      </c>
      <c r="N49" t="str">
        <f t="shared" si="8"/>
        <v/>
      </c>
      <c r="O49" t="str">
        <f t="shared" si="9"/>
        <v/>
      </c>
      <c r="P49" t="str">
        <f t="shared" si="10"/>
        <v/>
      </c>
      <c r="Q49" t="str">
        <f t="array" ref="Q49">_xlfn.UNIQUE(L49:P49,TRUE)</f>
        <v/>
      </c>
    </row>
    <row r="50" spans="12:29">
      <c r="L50" t="str">
        <f t="shared" si="6"/>
        <v/>
      </c>
      <c r="M50" t="str">
        <f t="shared" si="7"/>
        <v/>
      </c>
      <c r="N50" t="str">
        <f t="shared" si="8"/>
        <v/>
      </c>
      <c r="O50" t="str">
        <f t="shared" si="9"/>
        <v/>
      </c>
      <c r="P50" t="str">
        <f t="shared" si="10"/>
        <v/>
      </c>
      <c r="Q50" t="str">
        <f t="array" ref="Q50">_xlfn.UNIQUE(L50:P50,TRUE)</f>
        <v/>
      </c>
    </row>
    <row r="51" spans="12:29">
      <c r="L51" t="str">
        <f t="shared" si="6"/>
        <v/>
      </c>
      <c r="M51" t="str">
        <f t="shared" si="7"/>
        <v/>
      </c>
      <c r="N51" t="str">
        <f t="shared" si="8"/>
        <v/>
      </c>
      <c r="O51" t="str">
        <f t="shared" si="9"/>
        <v/>
      </c>
      <c r="P51" t="str">
        <f t="shared" si="10"/>
        <v/>
      </c>
      <c r="Q51" t="str">
        <f t="array" ref="Q51">_xlfn.UNIQUE(L51:P51,TRUE)</f>
        <v/>
      </c>
    </row>
    <row r="52" spans="12:29">
      <c r="L52" t="str">
        <f t="shared" si="6"/>
        <v/>
      </c>
      <c r="M52" t="str">
        <f t="shared" si="7"/>
        <v/>
      </c>
      <c r="N52" t="str">
        <f t="shared" si="8"/>
        <v/>
      </c>
      <c r="O52" t="str">
        <f t="shared" si="9"/>
        <v/>
      </c>
      <c r="P52" t="str">
        <f t="shared" si="10"/>
        <v/>
      </c>
      <c r="Q52" t="str">
        <f t="array" ref="Q52">_xlfn.UNIQUE(L52:P52,TRUE)</f>
        <v/>
      </c>
    </row>
    <row r="53" spans="12:29">
      <c r="L53" t="str">
        <f t="shared" si="6"/>
        <v/>
      </c>
      <c r="M53" t="str">
        <f t="shared" si="7"/>
        <v/>
      </c>
      <c r="N53" t="str">
        <f t="shared" si="8"/>
        <v/>
      </c>
      <c r="O53" t="str">
        <f t="shared" si="9"/>
        <v/>
      </c>
      <c r="P53" t="str">
        <f t="shared" si="10"/>
        <v/>
      </c>
      <c r="Q53" t="str">
        <f t="array" ref="Q53">_xlfn.UNIQUE(L53:P53,TRUE)</f>
        <v/>
      </c>
    </row>
    <row r="54" spans="12:29">
      <c r="L54" t="str">
        <f t="shared" si="6"/>
        <v/>
      </c>
      <c r="M54" t="str">
        <f t="shared" si="7"/>
        <v/>
      </c>
      <c r="N54" t="str">
        <f t="shared" si="8"/>
        <v/>
      </c>
      <c r="O54" t="str">
        <f t="shared" si="9"/>
        <v/>
      </c>
      <c r="P54" t="str">
        <f t="shared" si="10"/>
        <v/>
      </c>
      <c r="Q54" t="str">
        <f t="array" ref="Q54">_xlfn.UNIQUE(L54:P54,TRUE)</f>
        <v/>
      </c>
    </row>
    <row r="55" spans="12:29">
      <c r="L55" t="str">
        <f t="shared" si="6"/>
        <v/>
      </c>
      <c r="M55" t="str">
        <f t="shared" si="7"/>
        <v/>
      </c>
      <c r="N55" t="str">
        <f t="shared" si="8"/>
        <v/>
      </c>
      <c r="O55" t="str">
        <f t="shared" si="9"/>
        <v/>
      </c>
      <c r="P55" t="str">
        <f t="shared" si="10"/>
        <v/>
      </c>
      <c r="Q55" t="str">
        <f t="array" ref="Q55">_xlfn.UNIQUE(L55:P55,TRUE)</f>
        <v/>
      </c>
    </row>
    <row r="56" spans="12:29">
      <c r="L56" t="str">
        <f t="shared" si="6"/>
        <v/>
      </c>
      <c r="M56" t="str">
        <f t="shared" si="7"/>
        <v/>
      </c>
      <c r="N56" t="str">
        <f t="shared" si="8"/>
        <v/>
      </c>
      <c r="O56" t="str">
        <f t="shared" si="9"/>
        <v/>
      </c>
      <c r="P56" t="str">
        <f t="shared" si="10"/>
        <v/>
      </c>
      <c r="Q56" t="str">
        <f t="array" ref="Q56">_xlfn.UNIQUE(L56:P56,TRUE)</f>
        <v/>
      </c>
    </row>
    <row r="57" spans="12:29">
      <c r="L57" t="str">
        <f t="shared" si="6"/>
        <v/>
      </c>
      <c r="M57" t="str">
        <f t="shared" si="7"/>
        <v/>
      </c>
      <c r="N57" t="str">
        <f t="shared" si="8"/>
        <v/>
      </c>
      <c r="O57" t="str">
        <f t="shared" si="9"/>
        <v/>
      </c>
      <c r="P57" t="str">
        <f t="shared" si="10"/>
        <v/>
      </c>
      <c r="Q57" t="str">
        <f t="array" ref="Q57">_xlfn.UNIQUE(L57:P57,TRUE)</f>
        <v/>
      </c>
    </row>
    <row r="58" spans="12:29">
      <c r="L58" t="str">
        <f t="shared" si="6"/>
        <v/>
      </c>
      <c r="M58" t="str">
        <f t="shared" si="7"/>
        <v/>
      </c>
      <c r="N58" t="str">
        <f t="shared" si="8"/>
        <v/>
      </c>
      <c r="O58" t="str">
        <f t="shared" si="9"/>
        <v/>
      </c>
      <c r="P58" t="str">
        <f t="shared" si="10"/>
        <v/>
      </c>
      <c r="Q58" t="str">
        <f t="array" ref="Q58">_xlfn.UNIQUE(L58:P58,TRUE)</f>
        <v/>
      </c>
    </row>
    <row r="59" spans="12:29">
      <c r="L59" t="str">
        <f t="shared" si="6"/>
        <v/>
      </c>
      <c r="M59" t="str">
        <f t="shared" si="7"/>
        <v/>
      </c>
      <c r="N59" t="str">
        <f t="shared" si="8"/>
        <v/>
      </c>
      <c r="O59" t="str">
        <f t="shared" si="9"/>
        <v/>
      </c>
      <c r="P59" t="str">
        <f t="shared" si="10"/>
        <v/>
      </c>
      <c r="Q59" t="str">
        <f t="array" ref="Q59">_xlfn.UNIQUE(L59:P59,TRUE)</f>
        <v/>
      </c>
    </row>
    <row r="60" spans="12:29">
      <c r="L60" s="253"/>
      <c r="M60" s="254"/>
      <c r="N60" s="254"/>
      <c r="O60" s="254"/>
      <c r="P60" s="254"/>
      <c r="Q60" s="254"/>
      <c r="R60" s="254"/>
      <c r="S60" s="254"/>
      <c r="T60" s="254"/>
      <c r="U60" s="254"/>
      <c r="V60" s="254"/>
      <c r="W60" s="254"/>
      <c r="X60" s="254"/>
      <c r="Y60" s="254"/>
      <c r="Z60" s="254"/>
      <c r="AA60" s="254"/>
      <c r="AB60" s="254"/>
      <c r="AC60" s="255"/>
    </row>
    <row r="61" spans="12:29">
      <c r="Q61" s="253" t="str">
        <f>_xlfn.TEXTJOIN(", ",TRUE,Q48:Q59)</f>
        <v/>
      </c>
      <c r="R61" s="254" t="str">
        <f>_xlfn.TEXTJOIN(", ",TRUE,R48:R59)</f>
        <v/>
      </c>
      <c r="S61" s="254" t="str">
        <f>_xlfn.TEXTJOIN(", ",TRUE,S48:S59)</f>
        <v/>
      </c>
      <c r="T61" s="254" t="str">
        <f>_xlfn.TEXTJOIN(", ",TRUE,T48:T59)</f>
        <v/>
      </c>
      <c r="U61" s="255" t="str">
        <f>_xlfn.TEXTJOIN(", ",TRUE,U48:U59)</f>
        <v/>
      </c>
    </row>
    <row r="63" spans="12:29">
      <c r="P63" t="s">
        <v>178</v>
      </c>
      <c r="Q63" s="248" t="str">
        <f>_xlfn.TEXTJOIN(", ",TRUE,Q61:U61)</f>
        <v/>
      </c>
    </row>
    <row r="67" spans="12:15">
      <c r="L67" t="str">
        <f>"&lt;table&gt;&lt;th&gt;Dimension&lt;/th&gt;&lt;th&gt;Join Conditions&lt;/th&gt;"</f>
        <v>&lt;table&gt;&lt;th&gt;Dimension&lt;/th&gt;&lt;th&gt;Join Conditions&lt;/th&gt;</v>
      </c>
    </row>
    <row r="68" spans="12:15">
      <c r="L68" t="str">
        <f>_xlfn.TEXTJOIN("",TRUE,L18:L30) &amp; M68 &amp; N68</f>
        <v/>
      </c>
      <c r="M68" t="str">
        <f>_xlfn.TEXTJOIN("",TRUE,M18:M30)</f>
        <v/>
      </c>
      <c r="N68" t="str">
        <f>_xlfn.TEXTJOIN("",TRUE,N18:N30)</f>
        <v/>
      </c>
      <c r="O68" t="str">
        <f>_xlfn.TEXTJOIN("",TRUE,O18:O30)</f>
        <v/>
      </c>
    </row>
    <row r="69" spans="12:15">
      <c r="L69" t="s">
        <v>179</v>
      </c>
    </row>
    <row r="70" spans="12:15">
      <c r="L70" t="str">
        <f>L67&amp;L68&amp;L69</f>
        <v>&lt;table&gt;&lt;th&gt;Dimension&lt;/th&gt;&lt;th&gt;Join Conditions&lt;/th&gt;&lt;/table&gt;</v>
      </c>
    </row>
  </sheetData>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B6"/>
  <sheetViews>
    <sheetView workbookViewId="0">
      <selection activeCell="C2" sqref="C2"/>
    </sheetView>
  </sheetViews>
  <sheetFormatPr defaultRowHeight="15"/>
  <cols>
    <col min="2" max="2" width="115.5703125" style="283" customWidth="1"/>
  </cols>
  <sheetData>
    <row r="1" spans="2:2" ht="15.75" customHeight="1" thickBot="1">
      <c r="B1" s="130" t="s">
        <v>19</v>
      </c>
    </row>
    <row r="2" spans="2:2" ht="260.25" customHeight="1" thickBot="1">
      <c r="B2" s="98" t="s">
        <v>180</v>
      </c>
    </row>
    <row r="5" spans="2:2" ht="15.75" customHeight="1" thickBot="1">
      <c r="B5" t="s">
        <v>181</v>
      </c>
    </row>
    <row r="6" spans="2:2" ht="168" customHeight="1" thickBot="1">
      <c r="B6" s="98" t="s">
        <v>182</v>
      </c>
    </row>
  </sheetData>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7"/>
  <sheetViews>
    <sheetView workbookViewId="0">
      <selection activeCell="C8" sqref="C8"/>
    </sheetView>
  </sheetViews>
  <sheetFormatPr defaultRowHeight="15"/>
  <cols>
    <col min="1" max="1" width="26.5703125" style="283" customWidth="1"/>
    <col min="2" max="2" width="24.140625" style="283" customWidth="1"/>
    <col min="3" max="3" width="63.5703125" style="283" customWidth="1"/>
  </cols>
  <sheetData>
    <row r="1" spans="1:3">
      <c r="A1" s="30" t="s">
        <v>183</v>
      </c>
      <c r="B1" s="30" t="s">
        <v>184</v>
      </c>
      <c r="C1" t="s">
        <v>185</v>
      </c>
    </row>
    <row r="2" spans="1:3">
      <c r="A2" t="s">
        <v>186</v>
      </c>
      <c r="B2" t="s">
        <v>187</v>
      </c>
    </row>
    <row r="3" spans="1:3">
      <c r="A3" t="s">
        <v>188</v>
      </c>
      <c r="B3" t="s">
        <v>187</v>
      </c>
    </row>
    <row r="4" spans="1:3">
      <c r="A4" t="s">
        <v>189</v>
      </c>
      <c r="B4" t="s">
        <v>190</v>
      </c>
      <c r="C4" t="s">
        <v>191</v>
      </c>
    </row>
    <row r="5" spans="1:3">
      <c r="A5" t="s">
        <v>192</v>
      </c>
      <c r="B5" t="s">
        <v>193</v>
      </c>
    </row>
    <row r="7" spans="1:3">
      <c r="A7" t="s">
        <v>194</v>
      </c>
      <c r="B7" t="s">
        <v>195</v>
      </c>
      <c r="C7" t="s">
        <v>196</v>
      </c>
    </row>
  </sheetData>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C00000"/>
  </sheetPr>
  <dimension ref="A2:D25"/>
  <sheetViews>
    <sheetView workbookViewId="0">
      <selection activeCell="A6" sqref="A6"/>
    </sheetView>
  </sheetViews>
  <sheetFormatPr defaultRowHeight="15"/>
  <cols>
    <col min="1" max="1" width="105.28515625" style="283" customWidth="1"/>
    <col min="2" max="2" width="94.140625" style="283" customWidth="1"/>
    <col min="3" max="3" width="36.140625" style="283" customWidth="1"/>
    <col min="4" max="4" width="30.140625" style="283" bestFit="1" customWidth="1"/>
  </cols>
  <sheetData>
    <row r="2" spans="1:4">
      <c r="A2" t="s">
        <v>197</v>
      </c>
      <c r="B2">
        <f>Options!B34</f>
        <v>0</v>
      </c>
    </row>
    <row r="3" spans="1:4" ht="22.5" customHeight="1" thickBot="1">
      <c r="A3" t="s">
        <v>198</v>
      </c>
    </row>
    <row r="4" spans="1:4">
      <c r="A4" s="115" t="str">
        <f>Options!B36</f>
        <v>P3</v>
      </c>
      <c r="B4" s="58" t="str">
        <f>IF(TRIM(A4)="","", "'" &amp; A4 &amp; "'")</f>
        <v>'P3'</v>
      </c>
      <c r="C4" t="str">
        <f>_xlfn.TEXTJOIN(",",TRUE,B4:B6)</f>
        <v>'P3','RND','0'</v>
      </c>
    </row>
    <row r="5" spans="1:4">
      <c r="A5" s="116" t="str">
        <f>Options!B37</f>
        <v>RND</v>
      </c>
      <c r="B5" s="65" t="str">
        <f>IF(TRIM(A5)="","", "'" &amp; A5 &amp; "'")</f>
        <v>'RND'</v>
      </c>
    </row>
    <row r="6" spans="1:4">
      <c r="A6" s="116">
        <f>IF(TRIM(Options!B38)="","",Options!B38)</f>
        <v>0</v>
      </c>
      <c r="B6" s="65" t="str">
        <f>IF(TRIM(A6)="","", "'" &amp; A6 &amp; "'")</f>
        <v>'0'</v>
      </c>
    </row>
    <row r="7" spans="1:4">
      <c r="A7" s="116">
        <f>IF(Options!B39="","",Options!B39)</f>
        <v>0</v>
      </c>
      <c r="B7" s="65" t="str">
        <f>IF(TRIM(A7)="","", "'" &amp; A7 &amp; "'")</f>
        <v>'0'</v>
      </c>
    </row>
    <row r="8" spans="1:4" ht="15.75" customHeight="1" thickBot="1">
      <c r="A8" s="117">
        <f>IF(Options!B40="","",Options!B40)</f>
        <v>0</v>
      </c>
      <c r="B8" s="60"/>
    </row>
    <row r="10" spans="1:4">
      <c r="A10" t="s">
        <v>73</v>
      </c>
      <c r="B10">
        <f>Options!B35</f>
        <v>0</v>
      </c>
    </row>
    <row r="13" spans="1:4">
      <c r="A13" t="s">
        <v>199</v>
      </c>
      <c r="B13" t="s">
        <v>200</v>
      </c>
      <c r="C13" t="str">
        <f>B13&amp;"."&amp;B15</f>
        <v>snapshot_vlar.vlar_current</v>
      </c>
      <c r="D13" t="s">
        <v>201</v>
      </c>
    </row>
    <row r="15" spans="1:4">
      <c r="A15" t="s">
        <v>202</v>
      </c>
      <c r="B15" t="s">
        <v>203</v>
      </c>
    </row>
    <row r="18" spans="1:3">
      <c r="A18" t="s">
        <v>204</v>
      </c>
      <c r="B18" t="s">
        <v>205</v>
      </c>
    </row>
    <row r="19" spans="1:3">
      <c r="A19" t="s">
        <v>206</v>
      </c>
      <c r="B19" t="s">
        <v>207</v>
      </c>
    </row>
    <row r="22" spans="1:3" ht="71.25" customHeight="1">
      <c r="A22" s="300" t="s">
        <v>208</v>
      </c>
      <c r="B22" s="296"/>
      <c r="C22" s="296"/>
    </row>
    <row r="24" spans="1:3">
      <c r="A24" t="s">
        <v>209</v>
      </c>
    </row>
    <row r="25" spans="1:3" ht="172.5" customHeight="1">
      <c r="A25" s="10" t="str">
        <f ca="1">"WITH _dma AS (SELECT " &amp;HELPER!B110 &amp; ",purpose_code  FROM " &amp; HELPER!B124  &amp; " " &amp; B18 &amp; " LEFT JOIN " &amp; C13 &amp; " vlar ON " &amp; B18 &amp; "." &amp; B10 &amp; " = " &amp; B19 &amp; ".vpi WHERE CASE WHEN " &amp; B19 &amp; ".purpose_code IS NOT NULL THEN current_date BETWEEN " &amp; B19 &amp; ".usage_from AND " &amp; B19 &amp; ".usage_to ELSE 1=1 END), _dma2 as ( SELECT * FROM _dma WHERE _dma.purpose_code IS NULL or _dma.purpose_code IN (" &amp; C4 &amp; "))"</f>
        <v>WITH _dma AS (SELECT COALESCE(wkVehicle,0) AS wkVehicle, 1 AS has_communicated_last_90_days, COALESCE(lake_arrival_date,'') AS lake_arrival_date,  CAST(timestamp AS timestamp)  AS last_modified_timestamp, CAST(read_out_date as timestamp) As load_date,purpose_code  FROM uc0039.source_factVCSSLast90_[:date_yyyymmdd]_v  f LEFT JOIN snapshot_vlar.vlar_current vlar ON f.0 = vlar.vpi WHERE CASE WHEN vlar.purpose_code IS NOT NULL THEN current_date BETWEEN vlar.usage_from AND vlar.usage_to ELSE 1=1 END), _dma2 as ( SELECT * FROM _dma WHERE _dma.purpose_code IS NULL or _dma.purpose_code IN ('P3','RND','0'))</v>
      </c>
      <c r="B25" s="285" t="str">
        <f ca="1">A25 &amp; " SELECT * from _dma2 limit 10"</f>
        <v>WITH _dma AS (SELECT COALESCE(wkVehicle,0) AS wkVehicle, 1 AS has_communicated_last_90_days, COALESCE(lake_arrival_date,'') AS lake_arrival_date,  CAST(timestamp AS timestamp)  AS last_modified_timestamp, CAST(read_out_date as timestamp) As load_date,purpose_code  FROM uc0039.source_factVCSSLast90_[:date_yyyymmdd]_v  f LEFT JOIN snapshot_vlar.vlar_current vlar ON f.0 = vlar.vpi WHERE CASE WHEN vlar.purpose_code IS NOT NULL THEN current_date BETWEEN vlar.usage_from AND vlar.usage_to ELSE 1=1 END), _dma2 as ( SELECT * FROM _dma WHERE _dma.purpose_code IS NULL or _dma.purpose_code IN ('P3','RND','0')) SELECT * from _dma2 limit 10</v>
      </c>
    </row>
  </sheetData>
  <mergeCells count="1">
    <mergeCell ref="A22:C22"/>
  </mergeCells>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2060"/>
  </sheetPr>
  <dimension ref="A1:F183"/>
  <sheetViews>
    <sheetView workbookViewId="0">
      <selection activeCell="B16" sqref="B16:E16"/>
    </sheetView>
  </sheetViews>
  <sheetFormatPr defaultRowHeight="15"/>
  <cols>
    <col min="2" max="2" width="96.28515625" style="283" bestFit="1" customWidth="1"/>
    <col min="3" max="3" width="39" style="283" customWidth="1"/>
    <col min="4" max="4" width="35" style="283" customWidth="1"/>
    <col min="5" max="5" width="28.5703125" style="283" customWidth="1"/>
  </cols>
  <sheetData>
    <row r="1" spans="1:5" s="287" customFormat="1" ht="30" customHeight="1">
      <c r="A1" s="286"/>
      <c r="B1" s="301" t="s">
        <v>210</v>
      </c>
      <c r="C1" s="302"/>
      <c r="D1" s="302"/>
      <c r="E1" s="302"/>
    </row>
    <row r="3" spans="1:5">
      <c r="A3" t="s">
        <v>211</v>
      </c>
      <c r="B3" t="s">
        <v>212</v>
      </c>
      <c r="C3" t="s">
        <v>213</v>
      </c>
      <c r="D3" t="s">
        <v>214</v>
      </c>
    </row>
    <row r="4" spans="1:5">
      <c r="A4">
        <v>1</v>
      </c>
      <c r="B4" t="s">
        <v>215</v>
      </c>
      <c r="C4" t="b">
        <f>IF(AND(Options!B34=1,Options!B35=""),TRUE,FALSE)</f>
        <v>0</v>
      </c>
      <c r="D4" t="s">
        <v>197</v>
      </c>
      <c r="E4">
        <f t="shared" ref="E4:E35" si="0">IF(C4=TRUE,1,0)</f>
        <v>0</v>
      </c>
    </row>
    <row r="5" spans="1:5">
      <c r="A5">
        <v>2</v>
      </c>
      <c r="B5" t="s">
        <v>216</v>
      </c>
      <c r="C5" t="b">
        <f>IF(AND(Options!B19=0,Options!B10=""),TRUE,FALSE)</f>
        <v>0</v>
      </c>
      <c r="D5" t="s">
        <v>217</v>
      </c>
      <c r="E5">
        <f t="shared" si="0"/>
        <v>0</v>
      </c>
    </row>
    <row r="6" spans="1:5">
      <c r="A6">
        <v>3</v>
      </c>
      <c r="B6" t="s">
        <v>218</v>
      </c>
      <c r="C6" t="b">
        <f>IF(AND(Options!B19=1,'Custom Source View'!A2=""),TRUE,FALSE)</f>
        <v>0</v>
      </c>
      <c r="D6" t="s">
        <v>219</v>
      </c>
      <c r="E6">
        <f t="shared" si="0"/>
        <v>0</v>
      </c>
    </row>
    <row r="7" spans="1:5">
      <c r="A7">
        <v>4</v>
      </c>
      <c r="B7" t="s">
        <v>220</v>
      </c>
      <c r="C7" t="b">
        <f>IF(Options!B24="",TRUE,FALSE)</f>
        <v>0</v>
      </c>
      <c r="D7" t="s">
        <v>221</v>
      </c>
      <c r="E7">
        <f t="shared" si="0"/>
        <v>0</v>
      </c>
    </row>
    <row r="8" spans="1:5">
      <c r="A8">
        <v>6</v>
      </c>
      <c r="B8" t="s">
        <v>222</v>
      </c>
      <c r="C8" t="b">
        <f ca="1">IF(HELPER!B7="",TRUE,FALSE)</f>
        <v>0</v>
      </c>
      <c r="D8" t="s">
        <v>221</v>
      </c>
      <c r="E8">
        <f t="shared" ca="1" si="0"/>
        <v>0</v>
      </c>
    </row>
    <row r="9" spans="1:5">
      <c r="A9">
        <v>7</v>
      </c>
      <c r="B9" t="s">
        <v>223</v>
      </c>
      <c r="C9" t="b">
        <f ca="1">IF(AND(Options!B31=1,HELPER!B21=""),TRUE,FALSE)</f>
        <v>0</v>
      </c>
      <c r="D9" t="s">
        <v>221</v>
      </c>
      <c r="E9">
        <f t="shared" ca="1" si="0"/>
        <v>0</v>
      </c>
    </row>
    <row r="10" spans="1:5">
      <c r="A10">
        <v>8</v>
      </c>
      <c r="B10" t="s">
        <v>224</v>
      </c>
      <c r="C10" t="b">
        <f ca="1">IF(HELPER!B10="",TRUE,FALSE)</f>
        <v>0</v>
      </c>
      <c r="D10" t="s">
        <v>221</v>
      </c>
      <c r="E10">
        <f t="shared" ca="1" si="0"/>
        <v>0</v>
      </c>
    </row>
    <row r="11" spans="1:5">
      <c r="A11">
        <v>9</v>
      </c>
      <c r="B11" t="s">
        <v>225</v>
      </c>
      <c r="C11" t="b">
        <f>IF(AND(Options!B31=1,'Volvo DMA'!C4=""),TRUE,FALSE)</f>
        <v>0</v>
      </c>
      <c r="D11" t="s">
        <v>197</v>
      </c>
      <c r="E11">
        <f t="shared" si="0"/>
        <v>0</v>
      </c>
    </row>
    <row r="12" spans="1:5">
      <c r="A12">
        <v>10</v>
      </c>
      <c r="B12" t="s">
        <v>226</v>
      </c>
      <c r="C12" t="b">
        <f>IF(Options!B28="",TRUE,FALSE)</f>
        <v>0</v>
      </c>
      <c r="D12" t="s">
        <v>227</v>
      </c>
      <c r="E12">
        <f t="shared" si="0"/>
        <v>0</v>
      </c>
    </row>
    <row r="13" spans="1:5">
      <c r="A13">
        <v>11</v>
      </c>
      <c r="B13" t="s">
        <v>228</v>
      </c>
      <c r="C13" t="b">
        <f>IF(Options!B23="",TRUE,FALSE)</f>
        <v>0</v>
      </c>
      <c r="D13" t="s">
        <v>229</v>
      </c>
      <c r="E13">
        <f t="shared" si="0"/>
        <v>0</v>
      </c>
    </row>
    <row r="14" spans="1:5">
      <c r="A14">
        <v>12</v>
      </c>
      <c r="B14" t="str">
        <f>"'Is Dimensional' is not set to 0 or 1." &amp; IF(C14=TRUE,"The current value is:" &amp; Options!B31,"")</f>
        <v>'Is Dimensional' is not set to 0 or 1.</v>
      </c>
      <c r="C14" t="b">
        <f>IF(OR(Options!B31=1,Options!B31=0),FALSE,TRUE)</f>
        <v>0</v>
      </c>
      <c r="D14" t="s">
        <v>221</v>
      </c>
      <c r="E14">
        <f t="shared" si="0"/>
        <v>0</v>
      </c>
    </row>
    <row r="15" spans="1:5">
      <c r="A15">
        <v>13</v>
      </c>
      <c r="B15" s="2" t="s">
        <v>230</v>
      </c>
      <c r="C15" t="b">
        <f>IF(OR(Options!B19=0,Options!B19=1),FALSE,TRUE)</f>
        <v>0</v>
      </c>
      <c r="D15" t="s">
        <v>219</v>
      </c>
      <c r="E15">
        <f t="shared" si="0"/>
        <v>0</v>
      </c>
    </row>
    <row r="16" spans="1:5">
      <c r="A16">
        <v>14</v>
      </c>
      <c r="B16" t="s">
        <v>231</v>
      </c>
      <c r="C16" t="b">
        <f>IF(AND(Options!B19=0,Options!B11=""),TRUE,FALSE)</f>
        <v>0</v>
      </c>
      <c r="D16" t="s">
        <v>232</v>
      </c>
      <c r="E16">
        <f t="shared" si="0"/>
        <v>0</v>
      </c>
    </row>
    <row r="17" spans="1:5">
      <c r="A17">
        <v>15</v>
      </c>
      <c r="B17" t="s">
        <v>233</v>
      </c>
      <c r="C17" t="b">
        <f>IF(Options!B19=1, IF(OR(LEFT('Custom Source View'!A2,4)="WITH",LEFT('Custom Source View'!A2,6)="SELECT"),FALSE,TRUE),FALSE)</f>
        <v>0</v>
      </c>
      <c r="D17" t="s">
        <v>219</v>
      </c>
      <c r="E17">
        <f t="shared" si="0"/>
        <v>0</v>
      </c>
    </row>
    <row r="18" spans="1:5">
      <c r="A18">
        <v>16</v>
      </c>
      <c r="B18" t="s">
        <v>234</v>
      </c>
      <c r="C18" t="b">
        <f>IF(OR( ISNUMBER(SEARCH( "create view", 'Custom Source View'!A2)),ISNUMBER(SEARCH("create or replace",'Custom Source View'!A2))),TRUE,FALSE)</f>
        <v>0</v>
      </c>
      <c r="D18" t="s">
        <v>219</v>
      </c>
      <c r="E18">
        <f t="shared" si="0"/>
        <v>0</v>
      </c>
    </row>
    <row r="19" spans="1:5">
      <c r="A19">
        <v>17</v>
      </c>
      <c r="B19" t="str">
        <f ca="1">"Number of duplicated  column names in the target table: " &amp; HELPER!B161</f>
        <v>Number of duplicated  column names in the target table: 0</v>
      </c>
      <c r="C19" t="b">
        <f ca="1">IF(HELPER!B161&gt;0,TRUE,FALSE)</f>
        <v>0</v>
      </c>
      <c r="D19" t="s">
        <v>221</v>
      </c>
      <c r="E19">
        <f t="shared" ca="1" si="0"/>
        <v>0</v>
      </c>
    </row>
    <row r="20" spans="1:5">
      <c r="A20">
        <v>18</v>
      </c>
      <c r="B20" t="s">
        <v>235</v>
      </c>
      <c r="C20" t="b">
        <f>IF(Options!B19=1, IF(ISNUMBER(SEARCH("SELECT",'Custom Source View'!A2)),FALSE,TRUE),FALSE)</f>
        <v>0</v>
      </c>
      <c r="D20" t="s">
        <v>219</v>
      </c>
      <c r="E20">
        <f t="shared" si="0"/>
        <v>0</v>
      </c>
    </row>
    <row r="21" spans="1:5">
      <c r="A21">
        <v>19</v>
      </c>
      <c r="B21" t="s">
        <v>236</v>
      </c>
      <c r="C21" t="b">
        <f ca="1">IF(HELPER!B163=0,TRUE,FALSE)</f>
        <v>0</v>
      </c>
      <c r="D21" t="s">
        <v>221</v>
      </c>
      <c r="E21">
        <f t="shared" ca="1" si="0"/>
        <v>0</v>
      </c>
    </row>
    <row r="22" spans="1:5">
      <c r="E22">
        <f t="shared" si="0"/>
        <v>0</v>
      </c>
    </row>
    <row r="23" spans="1:5">
      <c r="E23">
        <f t="shared" si="0"/>
        <v>0</v>
      </c>
    </row>
    <row r="24" spans="1:5">
      <c r="E24">
        <f t="shared" si="0"/>
        <v>0</v>
      </c>
    </row>
    <row r="25" spans="1:5">
      <c r="E25">
        <f t="shared" si="0"/>
        <v>0</v>
      </c>
    </row>
    <row r="26" spans="1:5">
      <c r="E26">
        <f t="shared" si="0"/>
        <v>0</v>
      </c>
    </row>
    <row r="27" spans="1:5">
      <c r="E27">
        <f t="shared" si="0"/>
        <v>0</v>
      </c>
    </row>
    <row r="28" spans="1:5">
      <c r="E28">
        <f t="shared" si="0"/>
        <v>0</v>
      </c>
    </row>
    <row r="29" spans="1:5">
      <c r="E29">
        <f t="shared" si="0"/>
        <v>0</v>
      </c>
    </row>
    <row r="30" spans="1:5">
      <c r="E30">
        <f t="shared" si="0"/>
        <v>0</v>
      </c>
    </row>
    <row r="31" spans="1:5">
      <c r="E31">
        <f t="shared" si="0"/>
        <v>0</v>
      </c>
    </row>
    <row r="32" spans="1:5">
      <c r="E32">
        <f t="shared" si="0"/>
        <v>0</v>
      </c>
    </row>
    <row r="33" spans="5:6">
      <c r="E33">
        <f t="shared" si="0"/>
        <v>0</v>
      </c>
    </row>
    <row r="34" spans="5:6">
      <c r="E34">
        <f t="shared" si="0"/>
        <v>0</v>
      </c>
    </row>
    <row r="35" spans="5:6">
      <c r="E35">
        <f t="shared" si="0"/>
        <v>0</v>
      </c>
    </row>
    <row r="36" spans="5:6">
      <c r="E36">
        <f t="shared" ref="E36:E67" si="1">IF(C36=TRUE,1,0)</f>
        <v>0</v>
      </c>
    </row>
    <row r="37" spans="5:6">
      <c r="E37">
        <f t="shared" si="1"/>
        <v>0</v>
      </c>
    </row>
    <row r="38" spans="5:6">
      <c r="E38">
        <f t="shared" si="1"/>
        <v>0</v>
      </c>
      <c r="F38">
        <v>1</v>
      </c>
    </row>
    <row r="39" spans="5:6">
      <c r="E39">
        <f t="shared" si="1"/>
        <v>0</v>
      </c>
    </row>
    <row r="40" spans="5:6">
      <c r="E40">
        <f t="shared" si="1"/>
        <v>0</v>
      </c>
    </row>
    <row r="41" spans="5:6">
      <c r="E41">
        <f t="shared" si="1"/>
        <v>0</v>
      </c>
    </row>
    <row r="42" spans="5:6">
      <c r="E42">
        <f t="shared" si="1"/>
        <v>0</v>
      </c>
    </row>
    <row r="43" spans="5:6">
      <c r="E43">
        <f t="shared" si="1"/>
        <v>0</v>
      </c>
    </row>
    <row r="44" spans="5:6">
      <c r="E44">
        <f t="shared" si="1"/>
        <v>0</v>
      </c>
    </row>
    <row r="45" spans="5:6">
      <c r="E45">
        <f t="shared" si="1"/>
        <v>0</v>
      </c>
    </row>
    <row r="46" spans="5:6">
      <c r="E46">
        <f t="shared" si="1"/>
        <v>0</v>
      </c>
    </row>
    <row r="47" spans="5:6">
      <c r="E47">
        <f t="shared" si="1"/>
        <v>0</v>
      </c>
    </row>
    <row r="48" spans="5:6">
      <c r="E48">
        <f t="shared" si="1"/>
        <v>0</v>
      </c>
    </row>
    <row r="49" spans="5:5">
      <c r="E49">
        <f t="shared" si="1"/>
        <v>0</v>
      </c>
    </row>
    <row r="50" spans="5:5">
      <c r="E50">
        <f t="shared" si="1"/>
        <v>0</v>
      </c>
    </row>
    <row r="51" spans="5:5">
      <c r="E51">
        <f t="shared" si="1"/>
        <v>0</v>
      </c>
    </row>
    <row r="52" spans="5:5">
      <c r="E52">
        <f t="shared" si="1"/>
        <v>0</v>
      </c>
    </row>
    <row r="53" spans="5:5">
      <c r="E53">
        <f t="shared" si="1"/>
        <v>0</v>
      </c>
    </row>
    <row r="54" spans="5:5">
      <c r="E54">
        <f t="shared" si="1"/>
        <v>0</v>
      </c>
    </row>
    <row r="55" spans="5:5">
      <c r="E55">
        <f t="shared" si="1"/>
        <v>0</v>
      </c>
    </row>
    <row r="56" spans="5:5">
      <c r="E56">
        <f t="shared" si="1"/>
        <v>0</v>
      </c>
    </row>
    <row r="57" spans="5:5">
      <c r="E57">
        <f t="shared" si="1"/>
        <v>0</v>
      </c>
    </row>
    <row r="58" spans="5:5">
      <c r="E58">
        <f t="shared" si="1"/>
        <v>0</v>
      </c>
    </row>
    <row r="59" spans="5:5">
      <c r="E59">
        <f t="shared" si="1"/>
        <v>0</v>
      </c>
    </row>
    <row r="60" spans="5:5">
      <c r="E60">
        <f t="shared" si="1"/>
        <v>0</v>
      </c>
    </row>
    <row r="61" spans="5:5">
      <c r="E61">
        <f t="shared" si="1"/>
        <v>0</v>
      </c>
    </row>
    <row r="62" spans="5:5">
      <c r="E62">
        <f t="shared" si="1"/>
        <v>0</v>
      </c>
    </row>
    <row r="63" spans="5:5">
      <c r="E63">
        <f t="shared" si="1"/>
        <v>0</v>
      </c>
    </row>
    <row r="64" spans="5:5">
      <c r="E64">
        <f t="shared" si="1"/>
        <v>0</v>
      </c>
    </row>
    <row r="65" spans="5:5">
      <c r="E65">
        <f t="shared" si="1"/>
        <v>0</v>
      </c>
    </row>
    <row r="66" spans="5:5">
      <c r="E66">
        <f t="shared" si="1"/>
        <v>0</v>
      </c>
    </row>
    <row r="67" spans="5:5">
      <c r="E67">
        <f t="shared" si="1"/>
        <v>0</v>
      </c>
    </row>
    <row r="68" spans="5:5">
      <c r="E68">
        <f t="shared" ref="E68:E99" si="2">IF(C68=TRUE,1,0)</f>
        <v>0</v>
      </c>
    </row>
    <row r="69" spans="5:5">
      <c r="E69">
        <f t="shared" si="2"/>
        <v>0</v>
      </c>
    </row>
    <row r="70" spans="5:5">
      <c r="E70">
        <f t="shared" si="2"/>
        <v>0</v>
      </c>
    </row>
    <row r="71" spans="5:5">
      <c r="E71">
        <f t="shared" si="2"/>
        <v>0</v>
      </c>
    </row>
    <row r="72" spans="5:5">
      <c r="E72">
        <f t="shared" si="2"/>
        <v>0</v>
      </c>
    </row>
    <row r="73" spans="5:5">
      <c r="E73">
        <f t="shared" si="2"/>
        <v>0</v>
      </c>
    </row>
    <row r="74" spans="5:5">
      <c r="E74">
        <f t="shared" si="2"/>
        <v>0</v>
      </c>
    </row>
    <row r="75" spans="5:5">
      <c r="E75">
        <f t="shared" si="2"/>
        <v>0</v>
      </c>
    </row>
    <row r="76" spans="5:5">
      <c r="E76">
        <f t="shared" si="2"/>
        <v>0</v>
      </c>
    </row>
    <row r="77" spans="5:5">
      <c r="E77">
        <f t="shared" si="2"/>
        <v>0</v>
      </c>
    </row>
    <row r="78" spans="5:5">
      <c r="E78">
        <f t="shared" si="2"/>
        <v>0</v>
      </c>
    </row>
    <row r="79" spans="5:5">
      <c r="E79">
        <f t="shared" si="2"/>
        <v>0</v>
      </c>
    </row>
    <row r="80" spans="5:5">
      <c r="E80">
        <f t="shared" si="2"/>
        <v>0</v>
      </c>
    </row>
    <row r="81" spans="5:5">
      <c r="E81">
        <f t="shared" si="2"/>
        <v>0</v>
      </c>
    </row>
    <row r="82" spans="5:5">
      <c r="E82">
        <f t="shared" si="2"/>
        <v>0</v>
      </c>
    </row>
    <row r="83" spans="5:5">
      <c r="E83">
        <f t="shared" si="2"/>
        <v>0</v>
      </c>
    </row>
    <row r="84" spans="5:5">
      <c r="E84">
        <f t="shared" si="2"/>
        <v>0</v>
      </c>
    </row>
    <row r="85" spans="5:5">
      <c r="E85">
        <f t="shared" si="2"/>
        <v>0</v>
      </c>
    </row>
    <row r="86" spans="5:5">
      <c r="E86">
        <f t="shared" si="2"/>
        <v>0</v>
      </c>
    </row>
    <row r="87" spans="5:5">
      <c r="E87">
        <f t="shared" si="2"/>
        <v>0</v>
      </c>
    </row>
    <row r="88" spans="5:5">
      <c r="E88">
        <f t="shared" si="2"/>
        <v>0</v>
      </c>
    </row>
    <row r="89" spans="5:5">
      <c r="E89">
        <f t="shared" si="2"/>
        <v>0</v>
      </c>
    </row>
    <row r="90" spans="5:5">
      <c r="E90">
        <f t="shared" si="2"/>
        <v>0</v>
      </c>
    </row>
    <row r="91" spans="5:5">
      <c r="E91">
        <f t="shared" si="2"/>
        <v>0</v>
      </c>
    </row>
    <row r="92" spans="5:5">
      <c r="E92">
        <f t="shared" si="2"/>
        <v>0</v>
      </c>
    </row>
    <row r="93" spans="5:5">
      <c r="E93">
        <f t="shared" si="2"/>
        <v>0</v>
      </c>
    </row>
    <row r="94" spans="5:5">
      <c r="E94">
        <f t="shared" si="2"/>
        <v>0</v>
      </c>
    </row>
    <row r="95" spans="5:5">
      <c r="E95">
        <f t="shared" si="2"/>
        <v>0</v>
      </c>
    </row>
    <row r="96" spans="5:5">
      <c r="E96">
        <f t="shared" si="2"/>
        <v>0</v>
      </c>
    </row>
    <row r="97" spans="5:5">
      <c r="E97">
        <f t="shared" si="2"/>
        <v>0</v>
      </c>
    </row>
    <row r="98" spans="5:5">
      <c r="E98">
        <f t="shared" si="2"/>
        <v>0</v>
      </c>
    </row>
    <row r="99" spans="5:5">
      <c r="E99">
        <f t="shared" si="2"/>
        <v>0</v>
      </c>
    </row>
    <row r="100" spans="5:5">
      <c r="E100">
        <f t="shared" ref="E100:E131" si="3">IF(C100=TRUE,1,0)</f>
        <v>0</v>
      </c>
    </row>
    <row r="101" spans="5:5">
      <c r="E101">
        <f t="shared" si="3"/>
        <v>0</v>
      </c>
    </row>
    <row r="102" spans="5:5">
      <c r="E102">
        <f t="shared" si="3"/>
        <v>0</v>
      </c>
    </row>
    <row r="103" spans="5:5">
      <c r="E103">
        <f t="shared" si="3"/>
        <v>0</v>
      </c>
    </row>
    <row r="104" spans="5:5">
      <c r="E104">
        <f t="shared" si="3"/>
        <v>0</v>
      </c>
    </row>
    <row r="105" spans="5:5">
      <c r="E105">
        <f t="shared" si="3"/>
        <v>0</v>
      </c>
    </row>
    <row r="106" spans="5:5">
      <c r="E106">
        <f t="shared" si="3"/>
        <v>0</v>
      </c>
    </row>
    <row r="107" spans="5:5">
      <c r="E107">
        <f t="shared" si="3"/>
        <v>0</v>
      </c>
    </row>
    <row r="108" spans="5:5">
      <c r="E108">
        <f t="shared" si="3"/>
        <v>0</v>
      </c>
    </row>
    <row r="109" spans="5:5">
      <c r="E109">
        <f t="shared" si="3"/>
        <v>0</v>
      </c>
    </row>
    <row r="110" spans="5:5">
      <c r="E110">
        <f t="shared" si="3"/>
        <v>0</v>
      </c>
    </row>
    <row r="111" spans="5:5">
      <c r="E111">
        <f t="shared" si="3"/>
        <v>0</v>
      </c>
    </row>
    <row r="112" spans="5:5">
      <c r="E112">
        <f t="shared" si="3"/>
        <v>0</v>
      </c>
    </row>
    <row r="113" spans="5:5">
      <c r="E113">
        <f t="shared" si="3"/>
        <v>0</v>
      </c>
    </row>
    <row r="114" spans="5:5">
      <c r="E114">
        <f t="shared" si="3"/>
        <v>0</v>
      </c>
    </row>
    <row r="115" spans="5:5">
      <c r="E115">
        <f t="shared" si="3"/>
        <v>0</v>
      </c>
    </row>
    <row r="116" spans="5:5">
      <c r="E116">
        <f t="shared" si="3"/>
        <v>0</v>
      </c>
    </row>
    <row r="117" spans="5:5">
      <c r="E117">
        <f t="shared" si="3"/>
        <v>0</v>
      </c>
    </row>
    <row r="118" spans="5:5">
      <c r="E118">
        <f t="shared" si="3"/>
        <v>0</v>
      </c>
    </row>
    <row r="119" spans="5:5">
      <c r="E119">
        <f t="shared" si="3"/>
        <v>0</v>
      </c>
    </row>
    <row r="120" spans="5:5">
      <c r="E120">
        <f t="shared" si="3"/>
        <v>0</v>
      </c>
    </row>
    <row r="121" spans="5:5">
      <c r="E121">
        <f t="shared" si="3"/>
        <v>0</v>
      </c>
    </row>
    <row r="122" spans="5:5">
      <c r="E122">
        <f t="shared" si="3"/>
        <v>0</v>
      </c>
    </row>
    <row r="123" spans="5:5">
      <c r="E123">
        <f t="shared" si="3"/>
        <v>0</v>
      </c>
    </row>
    <row r="124" spans="5:5">
      <c r="E124">
        <f t="shared" si="3"/>
        <v>0</v>
      </c>
    </row>
    <row r="125" spans="5:5">
      <c r="E125">
        <f t="shared" si="3"/>
        <v>0</v>
      </c>
    </row>
    <row r="126" spans="5:5">
      <c r="E126">
        <f t="shared" si="3"/>
        <v>0</v>
      </c>
    </row>
    <row r="127" spans="5:5">
      <c r="E127">
        <f t="shared" si="3"/>
        <v>0</v>
      </c>
    </row>
    <row r="128" spans="5:5">
      <c r="E128">
        <f t="shared" si="3"/>
        <v>0</v>
      </c>
    </row>
    <row r="129" spans="5:5">
      <c r="E129">
        <f t="shared" si="3"/>
        <v>0</v>
      </c>
    </row>
    <row r="130" spans="5:5">
      <c r="E130">
        <f t="shared" si="3"/>
        <v>0</v>
      </c>
    </row>
    <row r="131" spans="5:5">
      <c r="E131">
        <f t="shared" si="3"/>
        <v>0</v>
      </c>
    </row>
    <row r="132" spans="5:5">
      <c r="E132">
        <f t="shared" ref="E132:E163" si="4">IF(C132=TRUE,1,0)</f>
        <v>0</v>
      </c>
    </row>
    <row r="133" spans="5:5">
      <c r="E133">
        <f t="shared" si="4"/>
        <v>0</v>
      </c>
    </row>
    <row r="134" spans="5:5">
      <c r="E134">
        <f t="shared" si="4"/>
        <v>0</v>
      </c>
    </row>
    <row r="135" spans="5:5">
      <c r="E135">
        <f t="shared" si="4"/>
        <v>0</v>
      </c>
    </row>
    <row r="136" spans="5:5">
      <c r="E136">
        <f t="shared" si="4"/>
        <v>0</v>
      </c>
    </row>
    <row r="137" spans="5:5">
      <c r="E137">
        <f t="shared" si="4"/>
        <v>0</v>
      </c>
    </row>
    <row r="138" spans="5:5">
      <c r="E138">
        <f t="shared" si="4"/>
        <v>0</v>
      </c>
    </row>
    <row r="139" spans="5:5">
      <c r="E139">
        <f t="shared" si="4"/>
        <v>0</v>
      </c>
    </row>
    <row r="140" spans="5:5">
      <c r="E140">
        <f t="shared" si="4"/>
        <v>0</v>
      </c>
    </row>
    <row r="141" spans="5:5">
      <c r="E141">
        <f t="shared" si="4"/>
        <v>0</v>
      </c>
    </row>
    <row r="142" spans="5:5">
      <c r="E142">
        <f t="shared" si="4"/>
        <v>0</v>
      </c>
    </row>
    <row r="143" spans="5:5">
      <c r="E143">
        <f t="shared" si="4"/>
        <v>0</v>
      </c>
    </row>
    <row r="144" spans="5:5">
      <c r="E144">
        <f t="shared" si="4"/>
        <v>0</v>
      </c>
    </row>
    <row r="145" spans="5:5">
      <c r="E145">
        <f t="shared" si="4"/>
        <v>0</v>
      </c>
    </row>
    <row r="146" spans="5:5">
      <c r="E146">
        <f t="shared" si="4"/>
        <v>0</v>
      </c>
    </row>
    <row r="147" spans="5:5">
      <c r="E147">
        <f t="shared" si="4"/>
        <v>0</v>
      </c>
    </row>
    <row r="148" spans="5:5">
      <c r="E148">
        <f t="shared" si="4"/>
        <v>0</v>
      </c>
    </row>
    <row r="149" spans="5:5">
      <c r="E149">
        <f t="shared" si="4"/>
        <v>0</v>
      </c>
    </row>
    <row r="150" spans="5:5">
      <c r="E150">
        <f t="shared" si="4"/>
        <v>0</v>
      </c>
    </row>
    <row r="151" spans="5:5">
      <c r="E151">
        <f t="shared" si="4"/>
        <v>0</v>
      </c>
    </row>
    <row r="152" spans="5:5">
      <c r="E152">
        <f t="shared" si="4"/>
        <v>0</v>
      </c>
    </row>
    <row r="153" spans="5:5">
      <c r="E153">
        <f t="shared" si="4"/>
        <v>0</v>
      </c>
    </row>
    <row r="154" spans="5:5">
      <c r="E154">
        <f t="shared" si="4"/>
        <v>0</v>
      </c>
    </row>
    <row r="155" spans="5:5">
      <c r="E155">
        <f t="shared" si="4"/>
        <v>0</v>
      </c>
    </row>
    <row r="156" spans="5:5">
      <c r="E156">
        <f t="shared" si="4"/>
        <v>0</v>
      </c>
    </row>
    <row r="157" spans="5:5">
      <c r="E157">
        <f t="shared" si="4"/>
        <v>0</v>
      </c>
    </row>
    <row r="158" spans="5:5">
      <c r="E158">
        <f t="shared" si="4"/>
        <v>0</v>
      </c>
    </row>
    <row r="159" spans="5:5">
      <c r="E159">
        <f t="shared" si="4"/>
        <v>0</v>
      </c>
    </row>
    <row r="160" spans="5:5">
      <c r="E160">
        <f t="shared" si="4"/>
        <v>0</v>
      </c>
    </row>
    <row r="161" spans="5:5">
      <c r="E161">
        <f t="shared" si="4"/>
        <v>0</v>
      </c>
    </row>
    <row r="162" spans="5:5">
      <c r="E162">
        <f t="shared" si="4"/>
        <v>0</v>
      </c>
    </row>
    <row r="163" spans="5:5">
      <c r="E163">
        <f t="shared" si="4"/>
        <v>0</v>
      </c>
    </row>
    <row r="164" spans="5:5">
      <c r="E164">
        <f t="shared" ref="E164:E182" si="5">IF(C164=TRUE,1,0)</f>
        <v>0</v>
      </c>
    </row>
    <row r="165" spans="5:5">
      <c r="E165">
        <f t="shared" si="5"/>
        <v>0</v>
      </c>
    </row>
    <row r="166" spans="5:5">
      <c r="E166">
        <f t="shared" si="5"/>
        <v>0</v>
      </c>
    </row>
    <row r="167" spans="5:5">
      <c r="E167">
        <f t="shared" si="5"/>
        <v>0</v>
      </c>
    </row>
    <row r="168" spans="5:5">
      <c r="E168">
        <f t="shared" si="5"/>
        <v>0</v>
      </c>
    </row>
    <row r="169" spans="5:5">
      <c r="E169">
        <f t="shared" si="5"/>
        <v>0</v>
      </c>
    </row>
    <row r="170" spans="5:5">
      <c r="E170">
        <f t="shared" si="5"/>
        <v>0</v>
      </c>
    </row>
    <row r="171" spans="5:5">
      <c r="E171">
        <f t="shared" si="5"/>
        <v>0</v>
      </c>
    </row>
    <row r="172" spans="5:5">
      <c r="E172">
        <f t="shared" si="5"/>
        <v>0</v>
      </c>
    </row>
    <row r="173" spans="5:5">
      <c r="E173">
        <f t="shared" si="5"/>
        <v>0</v>
      </c>
    </row>
    <row r="174" spans="5:5">
      <c r="E174">
        <f t="shared" si="5"/>
        <v>0</v>
      </c>
    </row>
    <row r="175" spans="5:5">
      <c r="E175">
        <f t="shared" si="5"/>
        <v>0</v>
      </c>
    </row>
    <row r="176" spans="5:5">
      <c r="E176">
        <f t="shared" si="5"/>
        <v>0</v>
      </c>
    </row>
    <row r="177" spans="4:5">
      <c r="E177">
        <f t="shared" si="5"/>
        <v>0</v>
      </c>
    </row>
    <row r="178" spans="4:5">
      <c r="E178">
        <f t="shared" si="5"/>
        <v>0</v>
      </c>
    </row>
    <row r="179" spans="4:5">
      <c r="E179">
        <f t="shared" si="5"/>
        <v>0</v>
      </c>
    </row>
    <row r="180" spans="4:5">
      <c r="E180">
        <f t="shared" si="5"/>
        <v>0</v>
      </c>
    </row>
    <row r="181" spans="4:5">
      <c r="E181">
        <f t="shared" si="5"/>
        <v>0</v>
      </c>
    </row>
    <row r="182" spans="4:5">
      <c r="E182">
        <f t="shared" si="5"/>
        <v>0</v>
      </c>
    </row>
    <row r="183" spans="4:5">
      <c r="D183" t="s">
        <v>237</v>
      </c>
      <c r="E183">
        <f ca="1">SUM(E4:E182)</f>
        <v>0</v>
      </c>
    </row>
  </sheetData>
  <mergeCells count="1">
    <mergeCell ref="B1:E1"/>
  </mergeCells>
  <conditionalFormatting sqref="B2:D1048576 B1">
    <cfRule type="colorScale" priority="1">
      <colorScale>
        <cfvo type="min"/>
        <cfvo type="percentile" val="50"/>
        <cfvo type="max"/>
        <color rgb="FFF8696B"/>
        <color rgb="FFFFEB84"/>
        <color rgb="FF63BE7B"/>
      </colorScale>
    </cfRule>
  </conditionalFormatting>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002060"/>
  </sheetPr>
  <dimension ref="A1:AW250"/>
  <sheetViews>
    <sheetView topLeftCell="A132" zoomScale="94" workbookViewId="0">
      <selection activeCell="B144" sqref="B144"/>
    </sheetView>
  </sheetViews>
  <sheetFormatPr defaultRowHeight="15"/>
  <cols>
    <col min="1" max="1" width="66.85546875" style="283" customWidth="1"/>
    <col min="2" max="2" width="174.140625" style="283" customWidth="1"/>
    <col min="3" max="3" width="89.7109375" style="283" customWidth="1"/>
    <col min="4" max="4" width="27.140625" style="283" customWidth="1"/>
    <col min="5" max="5" width="7.5703125" style="279" customWidth="1"/>
    <col min="6" max="6" width="104.42578125" style="279" customWidth="1"/>
    <col min="7" max="7" width="90.42578125" style="283" customWidth="1"/>
  </cols>
  <sheetData>
    <row r="1" spans="1:49" s="221" customFormat="1">
      <c r="A1" s="30" t="s">
        <v>238</v>
      </c>
      <c r="B1" s="30" t="s">
        <v>239</v>
      </c>
      <c r="C1" s="30" t="s">
        <v>153</v>
      </c>
      <c r="D1" s="30" t="s">
        <v>240</v>
      </c>
      <c r="E1" s="279"/>
      <c r="F1" s="279" t="str">
        <f>"&lt;th&gt;Variable&lt;/th&gt;&lt;th&gt;Sample Value&lt;/th&gt;&lt;th&gt;comment&lt;/th&gt;"</f>
        <v>&lt;th&gt;Variable&lt;/th&gt;&lt;th&gt;Sample Value&lt;/th&gt;&lt;th&gt;comment&lt;/th&gt;</v>
      </c>
      <c r="G1" s="280" t="str">
        <f ca="1">"&lt;table&gt;" &amp; F1 &amp; G2 &amp; "&lt;/table&gt;"</f>
        <v>&lt;table&gt;&lt;th&gt;Variable&lt;/th&gt;&lt;th&gt;Sample Value&lt;/th&gt;&lt;th&gt;comment&lt;/th&gt;&lt;tr&gt;&lt;td&gt;[:REPLACE_CURRENT_DATE]&lt;/td&gt;&lt;td&gt;2024-01-19 09:40&lt;td&gt;Current Date&lt;/td&gt;  &lt;/tr&gt;&lt;tr&gt;&lt;td&gt;[:REPLACE_CODEGEN_VERSION]&lt;/td&gt;&lt;td&gt;115&lt;td&gt;Version Number of the excel template used&lt;/td&gt;  &lt;/tr&gt;&lt;tr&gt;&lt;td&gt;[:REPLACE_TEMPLATE_NUMBER]&lt;/td&gt;&lt;td&gt;33&lt;td&gt;Data Load Template Number used&lt;/td&gt;  &lt;/tr&gt;&lt;tr&gt;&lt;td&gt;[:REPLACE_SOLUTION_NAME]&lt;/td&gt;&lt;td&gt;uc0039&lt;td&gt;Name of the solution&lt;/td&gt;  &lt;/tr&gt;&lt;tr&gt;&lt;td&gt;[:REPLACE_SOLUTION_LONG_NAME]&lt;/td&gt;&lt;td&gt;DO NOT USE&lt;td&gt;Long soulution name&lt;/td&gt;  &lt;/tr&gt;&lt;tr&gt;&lt;td&gt;[:REPLACE_DEPLOY_TO_ENVIRONMENT]&lt;/td&gt;&lt;td&gt;prod&lt;td&gt;To what enviroment the stuff should be deloyd to. Use cdk to let the cdk project decide this&lt;/td&gt;  &lt;/tr&gt;&lt;tr&gt;&lt;td&gt;[:REPLACE_AWS_STEPS_NAME]&lt;/td&gt;&lt;td&gt;uc0039_factVCSSLast90&lt;td&gt;Name of the AWS Steps State Machine&lt;/td&gt;  &lt;/tr&gt;&lt;tr&gt;&lt;td&gt;[:REPLACE_RESOURCE_IDENTIFIER]&lt;/td&gt;&lt;td&gt;uc0039_factVCSSLast90&lt;td&gt;SYNONYM&lt;/td&gt;  &lt;/tr&gt;&lt;tr&gt;&lt;td&gt;[:REPLACE_AWS_STEPS_LOOP_NAME]&lt;/td&gt;&lt;td&gt;uc0039_factVCSSLast90_template_33_loop&lt;td&gt;&lt;/td&gt;  &lt;/tr&gt;&lt;tr&gt;&lt;td&gt;[:REPLACE_HTML_DOC_FILENAME]&lt;/td&gt;&lt;td&gt;uc0039_factVCSSLast90.html&lt;td&gt;&lt;/td&gt;  &lt;/tr&gt;&lt;tr&gt;&lt;td&gt;[:REPLACE_AWS_ENVIRONMENT_UPPERCASE]&lt;/td&gt;&lt;td&gt;PROD&lt;td&gt;&lt;/td&gt;  &lt;/tr&gt;&lt;tr&gt;&lt;td&gt;[:REPLACE_AWS_REGION]&lt;/td&gt;&lt;td&gt;eu-west-1&lt;td&gt;&lt;/td&gt;  &lt;/tr&gt;&lt;tr&gt;&lt;td&gt;[:REPLACE_AWS_ACCOUNT_NUMBER]&lt;/td&gt;&lt;td&gt;761560768765&lt;td&gt;&lt;/td&gt;  &lt;/tr&gt;&lt;tr&gt;&lt;td&gt;[:REPLACE_ATHENA_OUTPUT_LOCATION]&lt;/td&gt;&lt;td&gt;s3://uc0039-vgcs-odl-prod/athena-query-result&lt;td&gt;&lt;/td&gt;  &lt;/tr&gt;&lt;tr&gt;&lt;td&gt;[:REPLACE_AWS_ATHENA_OUTPUT_S3_LOCATION]&lt;/td&gt;&lt;td&gt;s3://uc0039-vgcs-odl-prod/athena-query-result&lt;td&gt;&lt;/td&gt;  &lt;/tr&gt;&lt;tr&gt;&lt;td&gt;[:REPLACE_ATHENA_WORKGROUP]&lt;/td&gt;&lt;td&gt;uc0039&lt;td&gt;Synonym&lt;/td&gt;  &lt;/tr&gt;&lt;tr&gt;&lt;td&gt;[:REPLACE_BUCKET_NAME]&lt;/td&gt;&lt;td&gt;uc0039-vgcs-odl-prod&lt;td&gt;AWS S3 bucket for all tables in the solution&lt;/td&gt;  &lt;/tr&gt;&lt;tr&gt;&lt;td&gt;[:REPLACE_TARGET_BUCKET]&lt;/td&gt;&lt;td&gt;uc0039-vgcs-odl-prod&lt;td&gt;AWS S3 bucket for all tables in the solution (synonym)&lt;/td&gt;  &lt;/tr&gt;&lt;tr&gt;&lt;td&gt;[:REPLACE_TARGET_ROOT_PREFIX]&lt;/td&gt;&lt;td&gt;db&lt;td&gt;Root prefix for all tables in the solution&lt;/td&gt;  &lt;/tr&gt;&lt;tr&gt;&lt;td&gt;[:REPLACE_PREFIX]&lt;/td&gt;&lt;td&gt;db/factVCSSLast90/lake_arrival_date=[:date_yyyy_mm&lt;td&gt;AWS S3 prefix specific for this table&lt;/td&gt;  &lt;/tr&gt;&lt;tr&gt;&lt;td&gt;[:REPLACE_TARGET_PREFIX]&lt;/td&gt;&lt;td&gt;db/factVCSSLast90/lake_arrival_date=[:date_yyyy_mm&lt;td&gt;Synonym&lt;/td&gt;  &lt;/tr&gt;&lt;tr&gt;&lt;td&gt;[:REPLACE_TARGET_TABLE_PREFIX]&lt;/td&gt;&lt;td&gt;db/factVCSSLast90/lake_arrival_date=[:date_yyyy_mm&lt;td&gt;Synonym&lt;/td&gt;  &lt;/tr&gt;&lt;tr&gt;&lt;td&gt;[:REPLACE_TARGET_TABLE_S3_LOCATION]&lt;/td&gt;&lt;td&gt;s3://uc0039-vgcs-odl-prod/db/factVCSSLast90/lake_a&lt;td&gt;&lt;/td&gt;  &lt;/tr&gt;&lt;tr&gt;&lt;td&gt;[:REPLACE_FULL_SOURCE_TABLE_NAME]&lt;/td&gt;&lt;td&gt;.0&lt;td&gt;&lt;/td&gt;  &lt;/tr&gt;&lt;tr&gt;&lt;td&gt;[:REPLACE_SOURCE_TABLE_NAME]&lt;/td&gt;&lt;td&gt;0&lt;td&gt;&lt;/td&gt;  &lt;/tr&gt;&lt;tr&gt;&lt;td&gt;[:REPLACE_SOURCE_DATABASE]&lt;/td&gt;&lt;td&gt;&lt;td&gt;Blank if not in use if use source view is set to 1&lt;/td&gt;  &lt;/tr&gt;&lt;tr&gt;&lt;td&gt;[:REPLACE_DATABASE_NAME]&lt;/td&gt;&lt;td&gt;uc0039&lt;td&gt;&lt;/td&gt;  &lt;/tr&gt;&lt;tr&gt;&lt;td&gt;[:REPLACE_TARGET_DATABASE_NAME]&lt;/td&gt;&lt;td&gt;uc0039&lt;td&gt;Synonym&lt;/td&gt;  &lt;/tr&gt;&lt;tr&gt;&lt;td&gt;[:REPLACE_TABLE_NAME]&lt;/td&gt;&lt;td&gt;factVCSSLast90&lt;td&gt;&lt;/td&gt;  &lt;/tr&gt;&lt;tr&gt;&lt;td&gt;[:REPLACE_TARGET_TABLE_NAME]&lt;/td&gt;&lt;td&gt;factVCSSLast90&lt;td&gt;Synonym&lt;/td&gt;  &lt;/tr&gt;&lt;tr&gt;&lt;td&gt;[:REPLACE_DROP_TABLE]&lt;/td&gt;&lt;td&gt;drop table if exists uc0039.factVCSSLast90&lt;td&gt;&lt;/td&gt;  &lt;/tr&gt;&lt;tr&gt;&lt;td&gt;[:REPLACE_DROP_TARGET_TABLE]&lt;/td&gt;&lt;td&gt;drop table if exists uc0039.factVCSSLast90&lt;td&gt;Synonym&lt;/td&gt;  &lt;/tr&gt;&lt;tr&gt;&lt;td&gt;[:REPLACE_APPLY_DMA ON TABLE]&lt;/td&gt;&lt;td&gt;0&lt;td&gt;Should we join this table with DMA?&lt;/td&gt;  &lt;/tr&gt;&lt;tr&gt;&lt;td&gt;[:REPLACE_USE_SCD_2]&lt;/td&gt;&lt;td&gt;0&lt;td&gt;SCD-2 enabled for the table?&lt;/td&gt;  &lt;/tr&gt;&lt;tr&gt;&lt;td&gt;[:REPLACE_STAGE_VIEW]&lt;/td&gt;&lt;td&gt;CREATE OR REPLACE VIEW uc0039.source_factVCSSLast9&lt;td&gt;&lt;/td&gt;  &lt;/tr&gt;&lt;tr&gt;&lt;td&gt;[:REPLACE_CREATE_TARGET_TABLE]&lt;/td&gt;&lt;td&gt;CREATE TABLE IF NOT EXISTS  uc0039.factVCSSLast90(&lt;td&gt;&lt;/td&gt;  &lt;/tr&gt;&lt;tr&gt;&lt;td&gt;[:REPLACE_CREATE_TARGET_TABLE_EXTERNAL]&lt;/td&gt;&lt;td&gt;CREATE EXTERNAL TABLE IF NOT EXISTS  uc0039.factVC&lt;td&gt;&lt;/td&gt;  &lt;/tr&gt;&lt;tr&gt;&lt;td&gt;[:REPLACE_MISSING_MEMBER]&lt;/td&gt;&lt;td&gt;&lt;td&gt;&lt;/td&gt;  &lt;/tr&gt;&lt;tr&gt;&lt;td&gt;[:REPLACE_POPULATE_DATA]&lt;/td&gt;&lt;td&gt;MERGE INTO uc0039.factVCSSLast90 as trg USING uc00&lt;td&gt;&lt;/td&gt;  &lt;/tr&gt;&lt;tr&gt;&lt;td&gt;[:REPLACE_POPULATE_DATA_INCREMENTALY]&lt;/td&gt;&lt;td&gt;MERGE INTO uc0039.factVCSSLast90 as trg USING uc00&lt;td&gt;&lt;/td&gt;  &lt;/tr&gt;&lt;tr&gt;&lt;td&gt;[:REPLACE_SET_ISCURRENT_0]&lt;/td&gt;&lt;td&gt;&lt;td&gt;&lt;/td&gt;  &lt;/tr&gt;&lt;tr&gt;&lt;td&gt;[:REPLACE_SET_ISCURRENT_1]&lt;/td&gt;&lt;td&gt;&lt;td&gt;&lt;/td&gt;  &lt;/tr&gt;&lt;tr&gt;&lt;td&gt;[:REPLACE_CREATE_VIEW]&lt;/td&gt;&lt;td&gt;CREATE OR REPLACE VIEW uc0039.factVCSSLast90 AS WI&lt;td&gt;&lt;/td&gt;  &lt;/tr&gt;&lt;tr&gt;&lt;td&gt;[:REPLACE_DROP_STAGE_VIEW]&lt;/td&gt;&lt;td&gt;drop view uc0039.source_factVCSSLast90_[:date_yyyy&lt;td&gt;&lt;/td&gt;  &lt;/tr&gt;&lt;tr&gt;&lt;td&gt;[:REPLACE_DROP_SOURCE_VIEW]&lt;/td&gt;&lt;td&gt;drop view uc0039.source_factVCSSLast90_[:date_yyyy&lt;td&gt;&lt;/td&gt;  &lt;/tr&gt;&lt;tr&gt;&lt;td&gt;[:REPLACE_SOURCE_VIEW_NAME]&lt;/td&gt;&lt;td&gt;uc0039.source_factVCSSLast90_[:date_yyyymmdd]_v &lt;td&gt;&lt;/td&gt;  &lt;/tr&gt;&lt;tr&gt;&lt;td&gt;[:REPLACE_SOURCE_VIEW]&lt;/td&gt;&lt;td&gt;Create Or Replace View uc0039.source_factVCSSLast9&lt;td&gt;&lt;/td&gt;  &lt;/tr&gt;&lt;tr&gt;&lt;td&gt;[:REPLACE_IS_SOURCE_VIEW_IN_USE]&lt;/td&gt;&lt;td&gt;1&lt;td&gt;&lt;/td&gt;  &lt;/tr&gt;&lt;tr&gt;&lt;td&gt;[:REPLACE_OPTIMIZE_TABLE]&lt;/td&gt;&lt;td&gt;OPTIMIZE uc0039.factVCSSLast90 REWRITE DATA USING &lt;td&gt;&lt;/td&gt;  &lt;/tr&gt;&lt;tr&gt;&lt;td&gt;[:REPLACE_VACUUM_TABLE]&lt;/td&gt;&lt;td&gt;VACUUM uc0039.factVCSSLast90&lt;td&gt;&lt;/td&gt;  &lt;/tr&gt;&lt;tr&gt;&lt;td&gt;[:REPLACE_VERIFY_WK_UNIQUE]&lt;/td&gt;&lt;td&gt;SELECT  wkVehicle, COUNT(*) FROM uc0039.factVCSSLa&lt;td&gt;&lt;/td&gt;  &lt;/tr&gt;&lt;tr&gt;&lt;td&gt;[:REPLACE_VERIFY_WK_NOT_NULL]&lt;/td&gt;&lt;td&gt;&lt;td&gt;&lt;/td&gt;  &lt;/tr&gt;&lt;tr&gt;&lt;td&gt;[:REPLACE_VERIFY_BK_UNIQUE]&lt;/td&gt;&lt;td&gt;&lt;td&gt;&lt;/td&gt;  &lt;/tr&gt;&lt;tr&gt;&lt;td&gt;[:REPLACE_UNLOAD_TABLE]&lt;/td&gt;&lt;td&gt;UNLOAD(SELECT wkVehicle, has_communicated_last_90_&lt;td&gt;&lt;/td&gt;  &lt;/tr&gt;&lt;tr&gt;&lt;td&gt;[:REPLACE_UNLOAD_TARGET_PARTITION]&lt;/td&gt;&lt;td&gt;UNLOAD(SELECT wkVehicle, has_communicated_last_90_&lt;td&gt;&lt;/td&gt;  &lt;/tr&gt;&lt;tr&gt;&lt;td&gt;[:REPLACE_ADD_PARTITION]&lt;/td&gt;&lt;td&gt;ALTER TABLE uc0039.factVCSSLast90 ADD IF NOT EXIST&lt;td&gt;&lt;/td&gt;  &lt;/tr&gt;&lt;tr&gt;&lt;td&gt;[:REPLACE_ADD_TARGET_PARTITION]&lt;/td&gt;&lt;td&gt;ALTER TABLE uc0039.factVCSSLast90 ADD IF NOT EXIST&lt;td&gt;Synonym&lt;/td&gt;  &lt;/tr&gt;&lt;tr&gt;&lt;td&gt;[:REPLACE_VERIFY_PARTITION_ROW_COUNT]&lt;/td&gt;&lt;td&gt;SELECT COUNT(*) FROM uc0039.factVCSSLast90 WHERE l&lt;td&gt;&lt;/td&gt;  &lt;/tr&gt;&lt;tr&gt;&lt;td&gt;[:REPLACE_VERIFY_TARGET_PARTITION_ROW_COUNT]&lt;/td&gt;&lt;td&gt;SELECT COUNT(*) FROM uc0039.factVCSSLast90 WHERE l&lt;td&gt;Synonym&lt;/td&gt;  &lt;/tr&gt;&lt;tr&gt;&lt;td&gt;[:REPLACE_RAW_BUCKET_NAME]&lt;/td&gt;&lt;td&gt;odl-raw.prod.shared.eu-west-1.prod.aws.vgthosting.&lt;td&gt;&lt;/td&gt;  &lt;/tr&gt;&lt;tr&gt;&lt;td&gt;[:REPLACE_RAW_DMS_BUCKET_NAME]&lt;/td&gt;&lt;td&gt;raw-dms-odl-prod&lt;td&gt;&lt;/td&gt;  &lt;/tr&gt;&lt;tr&gt;&lt;td&gt;[:REPLACE_STAGED_BUCKET_NAME]&lt;/td&gt;&lt;td&gt;staged-odl-prod&lt;td&gt;&lt;/td&gt;  &lt;/tr&gt;&lt;tr&gt;&lt;td&gt;[:REPLACE_CREATE_RAW_TABLE]&lt;/td&gt;&lt;td&gt;&lt;td&gt;&lt;/td&gt;  &lt;/tr&gt;&lt;tr&gt;&lt;td&gt;[:REPLACE_ADD_RAW_PARTITION]&lt;/td&gt;&lt;td&gt;&lt;td&gt;&lt;/td&gt;  &lt;/tr&gt;&lt;tr&gt;&lt;td&gt;[:REPLACE_RAW_DATABASE_NAME]&lt;/td&gt;&lt;td&gt;raw_tracking&lt;td&gt;&lt;/td&gt;  &lt;/tr&gt;&lt;tr&gt;&lt;td&gt;[:REPLACE_RAW_TABLE_NAME]&lt;/td&gt;&lt;td&gt;raw_tracking&lt;td&gt;&lt;/td&gt;  &lt;/tr&gt;&lt;tr&gt;&lt;td&gt;[:REPLACE_RAW_PREFIX]&lt;/td&gt;&lt;td&gt;te2odl&lt;td&gt;&lt;/td&gt;  &lt;/tr&gt;&lt;tr&gt;&lt;td&gt;[:REPLACE_RAW_PARTITION_PREFIX]&lt;/td&gt;&lt;td&gt;te2odl/[:date_yyyymmdd]/[:hour]&lt;td&gt;&lt;/td&gt;  &lt;/tr&gt;&lt;tr&gt;&lt;td&gt;[:REPLACE_RAW_BUCKET]&lt;/td&gt;&lt;td&gt;odl-raw.prod.shared.eu-west-1.prod.aws.vgthosting.&lt;td&gt;&lt;/td&gt;  &lt;/tr&gt;&lt;tr&gt;&lt;td&gt;[:REPLACE_RAW_PARTITION_S3_PATH]&lt;/td&gt;&lt;td&gt;s3://odl-raw.prod.shared.eu-west-1.prod.aws.vgthos&lt;td&gt;&lt;/td&gt;  &lt;/tr&gt;&lt;tr&gt;&lt;td&gt;[:REPLACE_LIST_OF_QUALIFIED_DIMENSIONS]&lt;/td&gt;&lt;td&gt;&lt;td&gt;&lt;/td&gt;  &lt;/tr&gt;&lt;tr&gt;&lt;td&gt;[:REPLACE_LIST_OF_DIMENSIONS]&lt;/td&gt;&lt;td&gt;&lt;td&gt;&lt;/td&gt;  &lt;/tr&gt;&lt;tr&gt;&lt;td&gt;[:REPLACE_DIM1_JOINS]&lt;/td&gt;&lt;td&gt;&lt;td&gt;&lt;/td&gt;  &lt;/tr&gt;&lt;tr&gt;&lt;td&gt;[:REPLACE_DIM2_JOINS]&lt;/td&gt;&lt;td&gt;&lt;td&gt;&lt;/td&gt;  &lt;/tr&gt;&lt;tr&gt;&lt;td&gt;[:REPLACE_DIM3_JOINS]&lt;/td&gt;&lt;td&gt;&lt;td&gt;&lt;/td&gt;  &lt;/tr&gt;&lt;tr&gt;&lt;td&gt;[:REPLACE_DIM4_JOINS]&lt;/td&gt;&lt;td&gt;&lt;td&gt;&lt;/td&gt;  &lt;/tr&gt;&lt;tr&gt;&lt;td&gt;[:REPLACE_DIM5_JOINS]&lt;/td&gt;&lt;td&gt;&lt;td&gt;&lt;/td&gt;  &lt;/tr&gt;&lt;tr&gt;&lt;td&gt;[:REPLACE_STAGE_VIEW_SELECT]&lt;/td&gt;&lt;td&gt;WITH t1 as (SELECT f.wkVehicle AS wkVehicle, 1 AS &lt;td&gt;&lt;/td&gt;  &lt;/tr&gt;&lt;tr&gt;&lt;td&gt;[:REPLACE_TABLE_DESCRIPTION]&lt;/td&gt;&lt;td&gt;A fact table containing all vehicles and an idicat&lt;td&gt;&lt;/td&gt;  &lt;/tr&gt;&lt;tr&gt;&lt;td&gt;[:REPLACE_TABLE_TARGET_TABLE_HTML]&lt;/td&gt;&lt;td&gt;&lt;td&gt;&lt;/td&gt;  &lt;/tr&gt;&lt;tr&gt;&lt;td&gt;[:REPLACE_SOURCE_VIEW_VISABILITY]&lt;/td&gt;&lt;td&gt;Visible&lt;td&gt;&lt;/td&gt;  &lt;/tr&gt;&lt;tr&gt;&lt;td&gt;[:REPLACE_SOURCE_TABLE_VISABILITY]&lt;/td&gt;&lt;td&gt;Hidden&lt;td&gt;&lt;/td&gt;  &lt;/tr&gt;&lt;tr&gt;&lt;td&gt;[:REPLACE_SOURCE_VIEW_DESCRIPTION]&lt;/td&gt;&lt;td&gt;Custom source view&lt;td&gt;&lt;/td&gt;  &lt;/tr&gt;&lt;tr&gt;&lt;td&gt;[:REPLACE_DIMENSIONS_JOIN_CONDITION_TABLE]&lt;/td&gt;&lt;td&gt;&lt;table&gt;&lt;th&gt;Dimension&lt;/th&gt;&lt;th&gt;Join Conditions&lt;/th&gt;&lt;&lt;td&gt;&lt;/td&gt;  &lt;/tr&gt;&lt;tr&gt;&lt;td&gt;[:REPLACE_TEMPLATE_VARIABLES_TABLE]&lt;/td&gt;&lt;td&gt;&lt;td&gt;A list over available variables&lt;/td&gt;  &lt;/tr&gt;&lt;tr&gt;&lt;td&gt;[:REPLACE_HTML_TABLE_OF_TEMPLATES]&lt;/td&gt;&lt;td&gt;&lt;table&gt;&lt;th&gt;Template Number&lt;/th&gt;&lt;th&gt;Name&lt;/th&gt;&lt;th&gt;De&lt;td&gt;&lt;/td&gt;  &lt;/tr&gt;&lt;tr&gt;&lt;td&gt;[:REPLACE_HTML_TABLE_OF_DIMENSIONS]&lt;/td&gt;&lt;td&gt;&lt;td&gt;&lt;/td&gt;  &lt;/tr&gt;&lt;tr&gt;&lt;td&gt;[:REPLACE_USE_SOURCE_VIEW]&lt;/td&gt;&lt;td&gt;1&lt;td&gt;&lt;/td&gt;  &lt;/tr&gt;&lt;tr&gt;&lt;td&gt;[:REPLACE_CREATE_MINI_DIMENSION]&lt;/td&gt;&lt;td&gt;CREATE TABLE IF NOT EXISTS  uc0039.factVCSSLast90_&lt;td&gt;&lt;/td&gt;  &lt;/tr&gt;&lt;tr&gt;&lt;td&gt;[:REPLACE_POPULATE_MINI_DIMENSION]&lt;/td&gt;&lt;td&gt;MERGE INTO uc0039.factVCSSLast90_history AS trg   &lt;td&gt;&lt;/td&gt;  &lt;/tr&gt;&lt;tr&gt;&lt;td&gt;[:REPLACE_SET_ISCURRENT_0_MINI_DIMENSION]&lt;/td&gt;&lt;td&gt;UPDATE uc0039.factVCSSLast90_history SET iscurrent&lt;td&gt;&lt;/td&gt;  &lt;/tr&gt;&lt;tr&gt;&lt;td&gt;[:REPLACE_DROP_TABLE_MINI_DIMENSION]&lt;/td&gt;&lt;td&gt;drop table if exists uc0039.factVCSSLast90_history&lt;td&gt;&lt;/td&gt;  &lt;/tr&gt;&lt;tr&gt;&lt;td&gt;[:REPLACE_TABLE_NAME_MINI_DIMENSION]&lt;/td&gt;&lt;td&gt;factVCSSLast90_history&lt;td&gt;&lt;/td&gt;  &lt;/tr&gt;&lt;tr&gt;&lt;td&gt;[:REPLACE_MISSING_MEMBER_MINI_DIMENSION]&lt;/td&gt;&lt;td&gt;INSERT INTO uc0039.factVCSSLast90_history(,hashkey&lt;td&gt;&lt;/td&gt;  &lt;/tr&gt;&lt;tr&gt;&lt;td&gt;[:REPLACE_SET_ISCURRENT_1_MINI_DIMENSION]&lt;/td&gt;&lt;td&gt;&lt;td&gt;&lt;/td&gt;  &lt;/tr&gt;&lt;tr&gt;&lt;td&gt;[:REPLACE_OPTIMIZE_TABLE_MINI_DIMENSION]&lt;/td&gt;&lt;td&gt;OPTIMIZE uc0039.factVCSSLast90_history  REWRITE DA&lt;td&gt;&lt;/td&gt;  &lt;/tr&gt;&lt;tr&gt;&lt;td&gt;[:REPLACE_USE_MINI_DIMENSION]&lt;/td&gt;&lt;td&gt;0&lt;td&gt;Do we have any SCD-4 columns&lt;/td&gt;  &lt;/tr&gt;&lt;tr&gt;&lt;td&gt;[:REPLACE_TARGET_TABLE_NAME_MINI_DIMENSION]&lt;/td&gt;&lt;td&gt;uc0039.factVCSSLast90_history&lt;td&gt;&lt;/td&gt;  &lt;/tr&gt;&lt;tr&gt;&lt;td&gt;[:REPLACE_SCD4_CREATE_FACTLESSFACT_TABLE]&lt;/td&gt;&lt;td&gt;CREATE TABLE IF NOT EXISTS  uc0039.factfactVCSSLas&lt;td&gt;&lt;/td&gt;  &lt;/tr&gt;&lt;tr&gt;&lt;td&gt;[:REPLACE_HTML_SHOW_MINI_DIMENSION]&lt;/td&gt;&lt;td&gt;display: none&lt;td&gt;&lt;/td&gt;  &lt;/tr&gt;&lt;tr&gt;&lt;td&gt;[:REPLACE_SCD4_OPTIMIZE_FACTLESSFACT_TABLE]&lt;/td&gt;&lt;td&gt;OPTIMIZE uc0039.factfactVCSSLast90factVCSSLast90hi&lt;td&gt;&lt;/td&gt;  &lt;/tr&gt;&lt;tr&gt;&lt;td&gt;[:REPLACE_SCD4_FACTLESSFACT_DROP_TABLE]&lt;/td&gt;&lt;td&gt;drop table if exists uc0039.factfactVCSSLast90fact&lt;td&gt;&lt;/td&gt;  &lt;/tr&gt;&lt;tr&gt;&lt;td&gt;[:REPLACE_GENERATED_SOURCE_TABLE_SELECT]&lt;/td&gt;&lt;td&gt;&lt;td&gt;&lt;/td&gt;  &lt;/tr&gt;&lt;tr&gt;&lt;td&gt;[:REPLACE_SCD4_FACTLESSFACT_CREATE_INITIAL_LOAD_VIEW]&lt;/td&gt;&lt;td&gt;CREATE OR REPLACE VIEW uc0039.factfactVCSSLast90fa&lt;td&gt;&lt;/td&gt;  &lt;/tr&gt;&lt;tr&gt;&lt;td&gt;[:REPLACE_SCD4_FACTLESSFACT_INSERT_INITIAL_DATA]&lt;/td&gt;&lt;td&gt;INSERT INTO uc0039.factfactVCSSLast90factVCSSLast9&lt;td&gt;&lt;/td&gt;  &lt;/tr&gt;&lt;tr&gt;&lt;td&gt;[:REPLACE_LIST_OF_BK_IN_SOURCE]&lt;/td&gt;&lt;td&gt;wkVehicle&lt;td&gt;&lt;/td&gt;  &lt;/tr&gt;&lt;tr&gt;&lt;td&gt;[:REPLACE_TEST_SOURCE_BK]&lt;/td&gt;&lt;td&gt;WITH t1 As (SELECT wkVehicle FROM uc0039.source_fa&lt;td&gt;&lt;/td&gt;  &lt;/tr&gt;&lt;tr&gt;&lt;td&gt;[:REPLACE_SCD4_INITIAL_LOAD_MINI_DIM_SOURCE_TABLE_NAME]&lt;/td&gt;&lt;td&gt;odl_dwh_raw.common_dim_vehicle_tea2plus_history&lt;td&gt;&lt;/td&gt;  &lt;/tr&gt;&lt;tr&gt;&lt;td&gt;[:REPLACE_SCD4_INITIAL_LOAD_POPULATE_MINI_DIM]&lt;/td&gt;&lt;td&gt;MERGE INTO uc0039.factVCSSLast90_history AS trg   &lt;td&gt;&lt;/td&gt;  &lt;/tr&gt;&lt;tr&gt;&lt;td&gt;[:REPLACE_SCD4_INITIAL_LOAD_POPULATE_FACTLESSFACT]&lt;/td&gt;&lt;td&gt;INSERT INTO uc0039.factfactVCSSLast90factVCSSLast9&lt;td&gt;&lt;/td&gt;  &lt;/tr&gt;&lt;tr&gt;&lt;td&gt;[:REPLACE_SCD4_INITIAL_LOAD_MINI_DIM]&lt;/td&gt;&lt;td&gt;MERGE INTO uc0039.factVCSSLast90_history AS trg   &lt;td&gt;&lt;/td&gt;  &lt;/tr&gt;&lt;tr&gt;&lt;td&gt;[:REPLACE_SQL_CUSTOM_SOURCE_VIEW]&lt;/td&gt;&lt;td&gt;WITH _vcss_clean as (
select 
wkVehicle,
CAST(REPL&lt;td&gt;&lt;/td&gt;  &lt;/tr&gt;&lt;/table&gt;</v>
      </c>
    </row>
    <row r="2" spans="1:49" s="280" customFormat="1">
      <c r="A2" s="280" t="s">
        <v>241</v>
      </c>
      <c r="B2" s="203" t="str">
        <f ca="1">TEXT( NOW(),"åååå-MM-DD tt:mm")</f>
        <v>2024-01-19 09:40</v>
      </c>
      <c r="C2" s="280" t="s">
        <v>242</v>
      </c>
      <c r="E2" s="279">
        <f t="shared" ref="E2:E33" si="0">IF(LEFT(A2,2)="[:",1,0)</f>
        <v>1</v>
      </c>
      <c r="F2" s="279" t="str">
        <f t="shared" ref="F2:F9" ca="1" si="1">IF(E2=1,"&lt;td&gt;" &amp; A2 &amp; "&lt;/td&gt;&lt;td&gt;" &amp; LEFT(B2,50) &amp; "&lt;td&gt;" &amp; C2 &amp; "&lt;/td&gt;  ","")</f>
        <v xml:space="preserve">&lt;td&gt;[:REPLACE_CURRENT_DATE]&lt;/td&gt;&lt;td&gt;2024-01-19 09:40&lt;td&gt;Current Date&lt;/td&gt;  </v>
      </c>
      <c r="G2" s="280" t="str">
        <f ca="1">"&lt;tr&gt;" &amp; _xlfn.TEXTJOIN("&lt;/tr&gt;&lt;tr&gt;",TRUE,F2:F209) &amp; "&lt;/tr&gt;"</f>
        <v>&lt;tr&gt;&lt;td&gt;[:REPLACE_CURRENT_DATE]&lt;/td&gt;&lt;td&gt;2024-01-19 09:40&lt;td&gt;Current Date&lt;/td&gt;  &lt;/tr&gt;&lt;tr&gt;&lt;td&gt;[:REPLACE_CODEGEN_VERSION]&lt;/td&gt;&lt;td&gt;115&lt;td&gt;Version Number of the excel template used&lt;/td&gt;  &lt;/tr&gt;&lt;tr&gt;&lt;td&gt;[:REPLACE_TEMPLATE_NUMBER]&lt;/td&gt;&lt;td&gt;33&lt;td&gt;Data Load Template Number used&lt;/td&gt;  &lt;/tr&gt;&lt;tr&gt;&lt;td&gt;[:REPLACE_SOLUTION_NAME]&lt;/td&gt;&lt;td&gt;uc0039&lt;td&gt;Name of the solution&lt;/td&gt;  &lt;/tr&gt;&lt;tr&gt;&lt;td&gt;[:REPLACE_SOLUTION_LONG_NAME]&lt;/td&gt;&lt;td&gt;DO NOT USE&lt;td&gt;Long soulution name&lt;/td&gt;  &lt;/tr&gt;&lt;tr&gt;&lt;td&gt;[:REPLACE_DEPLOY_TO_ENVIRONMENT]&lt;/td&gt;&lt;td&gt;prod&lt;td&gt;To what enviroment the stuff should be deloyd to. Use cdk to let the cdk project decide this&lt;/td&gt;  &lt;/tr&gt;&lt;tr&gt;&lt;td&gt;[:REPLACE_AWS_STEPS_NAME]&lt;/td&gt;&lt;td&gt;uc0039_factVCSSLast90&lt;td&gt;Name of the AWS Steps State Machine&lt;/td&gt;  &lt;/tr&gt;&lt;tr&gt;&lt;td&gt;[:REPLACE_RESOURCE_IDENTIFIER]&lt;/td&gt;&lt;td&gt;uc0039_factVCSSLast90&lt;td&gt;SYNONYM&lt;/td&gt;  &lt;/tr&gt;&lt;tr&gt;&lt;td&gt;[:REPLACE_AWS_STEPS_LOOP_NAME]&lt;/td&gt;&lt;td&gt;uc0039_factVCSSLast90_template_33_loop&lt;td&gt;&lt;/td&gt;  &lt;/tr&gt;&lt;tr&gt;&lt;td&gt;[:REPLACE_HTML_DOC_FILENAME]&lt;/td&gt;&lt;td&gt;uc0039_factVCSSLast90.html&lt;td&gt;&lt;/td&gt;  &lt;/tr&gt;&lt;tr&gt;&lt;td&gt;[:REPLACE_AWS_ENVIRONMENT_UPPERCASE]&lt;/td&gt;&lt;td&gt;PROD&lt;td&gt;&lt;/td&gt;  &lt;/tr&gt;&lt;tr&gt;&lt;td&gt;[:REPLACE_AWS_REGION]&lt;/td&gt;&lt;td&gt;eu-west-1&lt;td&gt;&lt;/td&gt;  &lt;/tr&gt;&lt;tr&gt;&lt;td&gt;[:REPLACE_AWS_ACCOUNT_NUMBER]&lt;/td&gt;&lt;td&gt;761560768765&lt;td&gt;&lt;/td&gt;  &lt;/tr&gt;&lt;tr&gt;&lt;td&gt;[:REPLACE_ATHENA_OUTPUT_LOCATION]&lt;/td&gt;&lt;td&gt;s3://uc0039-vgcs-odl-prod/athena-query-result&lt;td&gt;&lt;/td&gt;  &lt;/tr&gt;&lt;tr&gt;&lt;td&gt;[:REPLACE_AWS_ATHENA_OUTPUT_S3_LOCATION]&lt;/td&gt;&lt;td&gt;s3://uc0039-vgcs-odl-prod/athena-query-result&lt;td&gt;&lt;/td&gt;  &lt;/tr&gt;&lt;tr&gt;&lt;td&gt;[:REPLACE_ATHENA_WORKGROUP]&lt;/td&gt;&lt;td&gt;uc0039&lt;td&gt;Synonym&lt;/td&gt;  &lt;/tr&gt;&lt;tr&gt;&lt;td&gt;[:REPLACE_BUCKET_NAME]&lt;/td&gt;&lt;td&gt;uc0039-vgcs-odl-prod&lt;td&gt;AWS S3 bucket for all tables in the solution&lt;/td&gt;  &lt;/tr&gt;&lt;tr&gt;&lt;td&gt;[:REPLACE_TARGET_BUCKET]&lt;/td&gt;&lt;td&gt;uc0039-vgcs-odl-prod&lt;td&gt;AWS S3 bucket for all tables in the solution (synonym)&lt;/td&gt;  &lt;/tr&gt;&lt;tr&gt;&lt;td&gt;[:REPLACE_TARGET_ROOT_PREFIX]&lt;/td&gt;&lt;td&gt;db&lt;td&gt;Root prefix for all tables in the solution&lt;/td&gt;  &lt;/tr&gt;&lt;tr&gt;&lt;td&gt;[:REPLACE_PREFIX]&lt;/td&gt;&lt;td&gt;db/factVCSSLast90/lake_arrival_date=[:date_yyyy_mm&lt;td&gt;AWS S3 prefix specific for this table&lt;/td&gt;  &lt;/tr&gt;&lt;tr&gt;&lt;td&gt;[:REPLACE_TARGET_PREFIX]&lt;/td&gt;&lt;td&gt;db/factVCSSLast90/lake_arrival_date=[:date_yyyy_mm&lt;td&gt;Synonym&lt;/td&gt;  &lt;/tr&gt;&lt;tr&gt;&lt;td&gt;[:REPLACE_TARGET_TABLE_PREFIX]&lt;/td&gt;&lt;td&gt;db/factVCSSLast90/lake_arrival_date=[:date_yyyy_mm&lt;td&gt;Synonym&lt;/td&gt;  &lt;/tr&gt;&lt;tr&gt;&lt;td&gt;[:REPLACE_TARGET_TABLE_S3_LOCATION]&lt;/td&gt;&lt;td&gt;s3://uc0039-vgcs-odl-prod/db/factVCSSLast90/lake_a&lt;td&gt;&lt;/td&gt;  &lt;/tr&gt;&lt;tr&gt;&lt;td&gt;[:REPLACE_FULL_SOURCE_TABLE_NAME]&lt;/td&gt;&lt;td&gt;.0&lt;td&gt;&lt;/td&gt;  &lt;/tr&gt;&lt;tr&gt;&lt;td&gt;[:REPLACE_SOURCE_TABLE_NAME]&lt;/td&gt;&lt;td&gt;0&lt;td&gt;&lt;/td&gt;  &lt;/tr&gt;&lt;tr&gt;&lt;td&gt;[:REPLACE_SOURCE_DATABASE]&lt;/td&gt;&lt;td&gt;&lt;td&gt;Blank if not in use if use source view is set to 1&lt;/td&gt;  &lt;/tr&gt;&lt;tr&gt;&lt;td&gt;[:REPLACE_DATABASE_NAME]&lt;/td&gt;&lt;td&gt;uc0039&lt;td&gt;&lt;/td&gt;  &lt;/tr&gt;&lt;tr&gt;&lt;td&gt;[:REPLACE_TARGET_DATABASE_NAME]&lt;/td&gt;&lt;td&gt;uc0039&lt;td&gt;Synonym&lt;/td&gt;  &lt;/tr&gt;&lt;tr&gt;&lt;td&gt;[:REPLACE_TABLE_NAME]&lt;/td&gt;&lt;td&gt;factVCSSLast90&lt;td&gt;&lt;/td&gt;  &lt;/tr&gt;&lt;tr&gt;&lt;td&gt;[:REPLACE_TARGET_TABLE_NAME]&lt;/td&gt;&lt;td&gt;factVCSSLast90&lt;td&gt;Synonym&lt;/td&gt;  &lt;/tr&gt;&lt;tr&gt;&lt;td&gt;[:REPLACE_DROP_TABLE]&lt;/td&gt;&lt;td&gt;drop table if exists uc0039.factVCSSLast90&lt;td&gt;&lt;/td&gt;  &lt;/tr&gt;&lt;tr&gt;&lt;td&gt;[:REPLACE_DROP_TARGET_TABLE]&lt;/td&gt;&lt;td&gt;drop table if exists uc0039.factVCSSLast90&lt;td&gt;Synonym&lt;/td&gt;  &lt;/tr&gt;&lt;tr&gt;&lt;td&gt;[:REPLACE_APPLY_DMA ON TABLE]&lt;/td&gt;&lt;td&gt;0&lt;td&gt;Should we join this table with DMA?&lt;/td&gt;  &lt;/tr&gt;&lt;tr&gt;&lt;td&gt;[:REPLACE_USE_SCD_2]&lt;/td&gt;&lt;td&gt;0&lt;td&gt;SCD-2 enabled for the table?&lt;/td&gt;  &lt;/tr&gt;&lt;tr&gt;&lt;td&gt;[:REPLACE_STAGE_VIEW]&lt;/td&gt;&lt;td&gt;CREATE OR REPLACE VIEW uc0039.source_factVCSSLast9&lt;td&gt;&lt;/td&gt;  &lt;/tr&gt;&lt;tr&gt;&lt;td&gt;[:REPLACE_CREATE_TARGET_TABLE]&lt;/td&gt;&lt;td&gt;CREATE TABLE IF NOT EXISTS  uc0039.factVCSSLast90(&lt;td&gt;&lt;/td&gt;  &lt;/tr&gt;&lt;tr&gt;&lt;td&gt;[:REPLACE_CREATE_TARGET_TABLE_EXTERNAL]&lt;/td&gt;&lt;td&gt;CREATE EXTERNAL TABLE IF NOT EXISTS  uc0039.factVC&lt;td&gt;&lt;/td&gt;  &lt;/tr&gt;&lt;tr&gt;&lt;td&gt;[:REPLACE_MISSING_MEMBER]&lt;/td&gt;&lt;td&gt;&lt;td&gt;&lt;/td&gt;  &lt;/tr&gt;&lt;tr&gt;&lt;td&gt;[:REPLACE_POPULATE_DATA]&lt;/td&gt;&lt;td&gt;MERGE INTO uc0039.factVCSSLast90 as trg USING uc00&lt;td&gt;&lt;/td&gt;  &lt;/tr&gt;&lt;tr&gt;&lt;td&gt;[:REPLACE_POPULATE_DATA_INCREMENTALY]&lt;/td&gt;&lt;td&gt;MERGE INTO uc0039.factVCSSLast90 as trg USING uc00&lt;td&gt;&lt;/td&gt;  &lt;/tr&gt;&lt;tr&gt;&lt;td&gt;[:REPLACE_SET_ISCURRENT_0]&lt;/td&gt;&lt;td&gt;&lt;td&gt;&lt;/td&gt;  &lt;/tr&gt;&lt;tr&gt;&lt;td&gt;[:REPLACE_SET_ISCURRENT_1]&lt;/td&gt;&lt;td&gt;&lt;td&gt;&lt;/td&gt;  &lt;/tr&gt;&lt;tr&gt;&lt;td&gt;[:REPLACE_CREATE_VIEW]&lt;/td&gt;&lt;td&gt;CREATE OR REPLACE VIEW uc0039.factVCSSLast90 AS WI&lt;td&gt;&lt;/td&gt;  &lt;/tr&gt;&lt;tr&gt;&lt;td&gt;[:REPLACE_DROP_STAGE_VIEW]&lt;/td&gt;&lt;td&gt;drop view uc0039.source_factVCSSLast90_[:date_yyyy&lt;td&gt;&lt;/td&gt;  &lt;/tr&gt;&lt;tr&gt;&lt;td&gt;[:REPLACE_DROP_SOURCE_VIEW]&lt;/td&gt;&lt;td&gt;drop view uc0039.source_factVCSSLast90_[:date_yyyy&lt;td&gt;&lt;/td&gt;  &lt;/tr&gt;&lt;tr&gt;&lt;td&gt;[:REPLACE_SOURCE_VIEW_NAME]&lt;/td&gt;&lt;td&gt;uc0039.source_factVCSSLast90_[:date_yyyymmdd]_v &lt;td&gt;&lt;/td&gt;  &lt;/tr&gt;&lt;tr&gt;&lt;td&gt;[:REPLACE_SOURCE_VIEW]&lt;/td&gt;&lt;td&gt;Create Or Replace View uc0039.source_factVCSSLast9&lt;td&gt;&lt;/td&gt;  &lt;/tr&gt;&lt;tr&gt;&lt;td&gt;[:REPLACE_IS_SOURCE_VIEW_IN_USE]&lt;/td&gt;&lt;td&gt;1&lt;td&gt;&lt;/td&gt;  &lt;/tr&gt;&lt;tr&gt;&lt;td&gt;[:REPLACE_OPTIMIZE_TABLE]&lt;/td&gt;&lt;td&gt;OPTIMIZE uc0039.factVCSSLast90 REWRITE DATA USING &lt;td&gt;&lt;/td&gt;  &lt;/tr&gt;&lt;tr&gt;&lt;td&gt;[:REPLACE_VACUUM_TABLE]&lt;/td&gt;&lt;td&gt;VACUUM uc0039.factVCSSLast90&lt;td&gt;&lt;/td&gt;  &lt;/tr&gt;&lt;tr&gt;&lt;td&gt;[:REPLACE_VERIFY_WK_UNIQUE]&lt;/td&gt;&lt;td&gt;SELECT  wkVehicle, COUNT(*) FROM uc0039.factVCSSLa&lt;td&gt;&lt;/td&gt;  &lt;/tr&gt;&lt;tr&gt;&lt;td&gt;[:REPLACE_VERIFY_WK_NOT_NULL]&lt;/td&gt;&lt;td&gt;&lt;td&gt;&lt;/td&gt;  &lt;/tr&gt;&lt;tr&gt;&lt;td&gt;[:REPLACE_VERIFY_BK_UNIQUE]&lt;/td&gt;&lt;td&gt;&lt;td&gt;&lt;/td&gt;  &lt;/tr&gt;&lt;tr&gt;&lt;td&gt;[:REPLACE_UNLOAD_TABLE]&lt;/td&gt;&lt;td&gt;UNLOAD(SELECT wkVehicle, has_communicated_last_90_&lt;td&gt;&lt;/td&gt;  &lt;/tr&gt;&lt;tr&gt;&lt;td&gt;[:REPLACE_UNLOAD_TARGET_PARTITION]&lt;/td&gt;&lt;td&gt;UNLOAD(SELECT wkVehicle, has_communicated_last_90_&lt;td&gt;&lt;/td&gt;  &lt;/tr&gt;&lt;tr&gt;&lt;td&gt;[:REPLACE_ADD_PARTITION]&lt;/td&gt;&lt;td&gt;ALTER TABLE uc0039.factVCSSLast90 ADD IF NOT EXIST&lt;td&gt;&lt;/td&gt;  &lt;/tr&gt;&lt;tr&gt;&lt;td&gt;[:REPLACE_ADD_TARGET_PARTITION]&lt;/td&gt;&lt;td&gt;ALTER TABLE uc0039.factVCSSLast90 ADD IF NOT EXIST&lt;td&gt;Synonym&lt;/td&gt;  &lt;/tr&gt;&lt;tr&gt;&lt;td&gt;[:REPLACE_VERIFY_PARTITION_ROW_COUNT]&lt;/td&gt;&lt;td&gt;SELECT COUNT(*) FROM uc0039.factVCSSLast90 WHERE l&lt;td&gt;&lt;/td&gt;  &lt;/tr&gt;&lt;tr&gt;&lt;td&gt;[:REPLACE_VERIFY_TARGET_PARTITION_ROW_COUNT]&lt;/td&gt;&lt;td&gt;SELECT COUNT(*) FROM uc0039.factVCSSLast90 WHERE l&lt;td&gt;Synonym&lt;/td&gt;  &lt;/tr&gt;&lt;tr&gt;&lt;td&gt;[:REPLACE_RAW_BUCKET_NAME]&lt;/td&gt;&lt;td&gt;odl-raw.prod.shared.eu-west-1.prod.aws.vgthosting.&lt;td&gt;&lt;/td&gt;  &lt;/tr&gt;&lt;tr&gt;&lt;td&gt;[:REPLACE_RAW_DMS_BUCKET_NAME]&lt;/td&gt;&lt;td&gt;raw-dms-odl-prod&lt;td&gt;&lt;/td&gt;  &lt;/tr&gt;&lt;tr&gt;&lt;td&gt;[:REPLACE_STAGED_BUCKET_NAME]&lt;/td&gt;&lt;td&gt;staged-odl-prod&lt;td&gt;&lt;/td&gt;  &lt;/tr&gt;&lt;tr&gt;&lt;td&gt;[:REPLACE_CREATE_RAW_TABLE]&lt;/td&gt;&lt;td&gt;&lt;td&gt;&lt;/td&gt;  &lt;/tr&gt;&lt;tr&gt;&lt;td&gt;[:REPLACE_ADD_RAW_PARTITION]&lt;/td&gt;&lt;td&gt;&lt;td&gt;&lt;/td&gt;  &lt;/tr&gt;&lt;tr&gt;&lt;td&gt;[:REPLACE_RAW_DATABASE_NAME]&lt;/td&gt;&lt;td&gt;raw_tracking&lt;td&gt;&lt;/td&gt;  &lt;/tr&gt;&lt;tr&gt;&lt;td&gt;[:REPLACE_RAW_TABLE_NAME]&lt;/td&gt;&lt;td&gt;raw_tracking&lt;td&gt;&lt;/td&gt;  &lt;/tr&gt;&lt;tr&gt;&lt;td&gt;[:REPLACE_RAW_PREFIX]&lt;/td&gt;&lt;td&gt;te2odl&lt;td&gt;&lt;/td&gt;  &lt;/tr&gt;&lt;tr&gt;&lt;td&gt;[:REPLACE_RAW_PARTITION_PREFIX]&lt;/td&gt;&lt;td&gt;te2odl/[:date_yyyymmdd]/[:hour]&lt;td&gt;&lt;/td&gt;  &lt;/tr&gt;&lt;tr&gt;&lt;td&gt;[:REPLACE_RAW_BUCKET]&lt;/td&gt;&lt;td&gt;odl-raw.prod.shared.eu-west-1.prod.aws.vgthosting.&lt;td&gt;&lt;/td&gt;  &lt;/tr&gt;&lt;tr&gt;&lt;td&gt;[:REPLACE_RAW_PARTITION_S3_PATH]&lt;/td&gt;&lt;td&gt;s3://odl-raw.prod.shared.eu-west-1.prod.aws.vgthos&lt;td&gt;&lt;/td&gt;  &lt;/tr&gt;&lt;tr&gt;&lt;td&gt;[:REPLACE_LIST_OF_QUALIFIED_DIMENSIONS]&lt;/td&gt;&lt;td&gt;&lt;td&gt;&lt;/td&gt;  &lt;/tr&gt;&lt;tr&gt;&lt;td&gt;[:REPLACE_LIST_OF_DIMENSIONS]&lt;/td&gt;&lt;td&gt;&lt;td&gt;&lt;/td&gt;  &lt;/tr&gt;&lt;tr&gt;&lt;td&gt;[:REPLACE_DIM1_JOINS]&lt;/td&gt;&lt;td&gt;&lt;td&gt;&lt;/td&gt;  &lt;/tr&gt;&lt;tr&gt;&lt;td&gt;[:REPLACE_DIM2_JOINS]&lt;/td&gt;&lt;td&gt;&lt;td&gt;&lt;/td&gt;  &lt;/tr&gt;&lt;tr&gt;&lt;td&gt;[:REPLACE_DIM3_JOINS]&lt;/td&gt;&lt;td&gt;&lt;td&gt;&lt;/td&gt;  &lt;/tr&gt;&lt;tr&gt;&lt;td&gt;[:REPLACE_DIM4_JOINS]&lt;/td&gt;&lt;td&gt;&lt;td&gt;&lt;/td&gt;  &lt;/tr&gt;&lt;tr&gt;&lt;td&gt;[:REPLACE_DIM5_JOINS]&lt;/td&gt;&lt;td&gt;&lt;td&gt;&lt;/td&gt;  &lt;/tr&gt;&lt;tr&gt;&lt;td&gt;[:REPLACE_STAGE_VIEW_SELECT]&lt;/td&gt;&lt;td&gt;WITH t1 as (SELECT f.wkVehicle AS wkVehicle, 1 AS &lt;td&gt;&lt;/td&gt;  &lt;/tr&gt;&lt;tr&gt;&lt;td&gt;[:REPLACE_TABLE_DESCRIPTION]&lt;/td&gt;&lt;td&gt;A fact table containing all vehicles and an idicat&lt;td&gt;&lt;/td&gt;  &lt;/tr&gt;&lt;tr&gt;&lt;td&gt;[:REPLACE_TABLE_TARGET_TABLE_HTML]&lt;/td&gt;&lt;td&gt;&lt;td&gt;&lt;/td&gt;  &lt;/tr&gt;&lt;tr&gt;&lt;td&gt;[:REPLACE_SOURCE_VIEW_VISABILITY]&lt;/td&gt;&lt;td&gt;Visible&lt;td&gt;&lt;/td&gt;  &lt;/tr&gt;&lt;tr&gt;&lt;td&gt;[:REPLACE_SOURCE_TABLE_VISABILITY]&lt;/td&gt;&lt;td&gt;Hidden&lt;td&gt;&lt;/td&gt;  &lt;/tr&gt;&lt;tr&gt;&lt;td&gt;[:REPLACE_SOURCE_VIEW_DESCRIPTION]&lt;/td&gt;&lt;td&gt;Custom source view&lt;td&gt;&lt;/td&gt;  &lt;/tr&gt;&lt;tr&gt;&lt;td&gt;[:REPLACE_DIMENSIONS_JOIN_CONDITION_TABLE]&lt;/td&gt;&lt;td&gt;&lt;table&gt;&lt;th&gt;Dimension&lt;/th&gt;&lt;th&gt;Join Conditions&lt;/th&gt;&lt;&lt;td&gt;&lt;/td&gt;  &lt;/tr&gt;&lt;tr&gt;&lt;td&gt;[:REPLACE_TEMPLATE_VARIABLES_TABLE]&lt;/td&gt;&lt;td&gt;&lt;td&gt;A list over available variables&lt;/td&gt;  &lt;/tr&gt;&lt;tr&gt;&lt;td&gt;[:REPLACE_HTML_TABLE_OF_TEMPLATES]&lt;/td&gt;&lt;td&gt;&lt;table&gt;&lt;th&gt;Template Number&lt;/th&gt;&lt;th&gt;Name&lt;/th&gt;&lt;th&gt;De&lt;td&gt;&lt;/td&gt;  &lt;/tr&gt;&lt;tr&gt;&lt;td&gt;[:REPLACE_HTML_TABLE_OF_DIMENSIONS]&lt;/td&gt;&lt;td&gt;&lt;td&gt;&lt;/td&gt;  &lt;/tr&gt;&lt;tr&gt;&lt;td&gt;[:REPLACE_USE_SOURCE_VIEW]&lt;/td&gt;&lt;td&gt;1&lt;td&gt;&lt;/td&gt;  &lt;/tr&gt;&lt;tr&gt;&lt;td&gt;[:REPLACE_CREATE_MINI_DIMENSION]&lt;/td&gt;&lt;td&gt;CREATE TABLE IF NOT EXISTS  uc0039.factVCSSLast90_&lt;td&gt;&lt;/td&gt;  &lt;/tr&gt;&lt;tr&gt;&lt;td&gt;[:REPLACE_POPULATE_MINI_DIMENSION]&lt;/td&gt;&lt;td&gt;MERGE INTO uc0039.factVCSSLast90_history AS trg   &lt;td&gt;&lt;/td&gt;  &lt;/tr&gt;&lt;tr&gt;&lt;td&gt;[:REPLACE_SET_ISCURRENT_0_MINI_DIMENSION]&lt;/td&gt;&lt;td&gt;UPDATE uc0039.factVCSSLast90_history SET iscurrent&lt;td&gt;&lt;/td&gt;  &lt;/tr&gt;&lt;tr&gt;&lt;td&gt;[:REPLACE_DROP_TABLE_MINI_DIMENSION]&lt;/td&gt;&lt;td&gt;drop table if exists uc0039.factVCSSLast90_history&lt;td&gt;&lt;/td&gt;  &lt;/tr&gt;&lt;tr&gt;&lt;td&gt;[:REPLACE_TABLE_NAME_MINI_DIMENSION]&lt;/td&gt;&lt;td&gt;factVCSSLast90_history&lt;td&gt;&lt;/td&gt;  &lt;/tr&gt;&lt;tr&gt;&lt;td&gt;[:REPLACE_MISSING_MEMBER_MINI_DIMENSION]&lt;/td&gt;&lt;td&gt;INSERT INTO uc0039.factVCSSLast90_history(,hashkey&lt;td&gt;&lt;/td&gt;  &lt;/tr&gt;&lt;tr&gt;&lt;td&gt;[:REPLACE_SET_ISCURRENT_1_MINI_DIMENSION]&lt;/td&gt;&lt;td&gt;&lt;td&gt;&lt;/td&gt;  &lt;/tr&gt;&lt;tr&gt;&lt;td&gt;[:REPLACE_OPTIMIZE_TABLE_MINI_DIMENSION]&lt;/td&gt;&lt;td&gt;OPTIMIZE uc0039.factVCSSLast90_history  REWRITE DA&lt;td&gt;&lt;/td&gt;  &lt;/tr&gt;&lt;tr&gt;&lt;td&gt;[:REPLACE_USE_MINI_DIMENSION]&lt;/td&gt;&lt;td&gt;0&lt;td&gt;Do we have any SCD-4 columns&lt;/td&gt;  &lt;/tr&gt;&lt;tr&gt;&lt;td&gt;[:REPLACE_TARGET_TABLE_NAME_MINI_DIMENSION]&lt;/td&gt;&lt;td&gt;uc0039.factVCSSLast90_history&lt;td&gt;&lt;/td&gt;  &lt;/tr&gt;&lt;tr&gt;&lt;td&gt;[:REPLACE_SCD4_CREATE_FACTLESSFACT_TABLE]&lt;/td&gt;&lt;td&gt;CREATE TABLE IF NOT EXISTS  uc0039.factfactVCSSLas&lt;td&gt;&lt;/td&gt;  &lt;/tr&gt;&lt;tr&gt;&lt;td&gt;[:REPLACE_HTML_SHOW_MINI_DIMENSION]&lt;/td&gt;&lt;td&gt;display: none&lt;td&gt;&lt;/td&gt;  &lt;/tr&gt;&lt;tr&gt;&lt;td&gt;[:REPLACE_SCD4_OPTIMIZE_FACTLESSFACT_TABLE]&lt;/td&gt;&lt;td&gt;OPTIMIZE uc0039.factfactVCSSLast90factVCSSLast90hi&lt;td&gt;&lt;/td&gt;  &lt;/tr&gt;&lt;tr&gt;&lt;td&gt;[:REPLACE_SCD4_FACTLESSFACT_DROP_TABLE]&lt;/td&gt;&lt;td&gt;drop table if exists uc0039.factfactVCSSLast90fact&lt;td&gt;&lt;/td&gt;  &lt;/tr&gt;&lt;tr&gt;&lt;td&gt;[:REPLACE_GENERATED_SOURCE_TABLE_SELECT]&lt;/td&gt;&lt;td&gt;&lt;td&gt;&lt;/td&gt;  &lt;/tr&gt;&lt;tr&gt;&lt;td&gt;[:REPLACE_SCD4_FACTLESSFACT_CREATE_INITIAL_LOAD_VIEW]&lt;/td&gt;&lt;td&gt;CREATE OR REPLACE VIEW uc0039.factfactVCSSLast90fa&lt;td&gt;&lt;/td&gt;  &lt;/tr&gt;&lt;tr&gt;&lt;td&gt;[:REPLACE_SCD4_FACTLESSFACT_INSERT_INITIAL_DATA]&lt;/td&gt;&lt;td&gt;INSERT INTO uc0039.factfactVCSSLast90factVCSSLast9&lt;td&gt;&lt;/td&gt;  &lt;/tr&gt;&lt;tr&gt;&lt;td&gt;[:REPLACE_LIST_OF_BK_IN_SOURCE]&lt;/td&gt;&lt;td&gt;wkVehicle&lt;td&gt;&lt;/td&gt;  &lt;/tr&gt;&lt;tr&gt;&lt;td&gt;[:REPLACE_TEST_SOURCE_BK]&lt;/td&gt;&lt;td&gt;WITH t1 As (SELECT wkVehicle FROM uc0039.source_fa&lt;td&gt;&lt;/td&gt;  &lt;/tr&gt;&lt;tr&gt;&lt;td&gt;[:REPLACE_SCD4_INITIAL_LOAD_MINI_DIM_SOURCE_TABLE_NAME]&lt;/td&gt;&lt;td&gt;odl_dwh_raw.common_dim_vehicle_tea2plus_history&lt;td&gt;&lt;/td&gt;  &lt;/tr&gt;&lt;tr&gt;&lt;td&gt;[:REPLACE_SCD4_INITIAL_LOAD_POPULATE_MINI_DIM]&lt;/td&gt;&lt;td&gt;MERGE INTO uc0039.factVCSSLast90_history AS trg   &lt;td&gt;&lt;/td&gt;  &lt;/tr&gt;&lt;tr&gt;&lt;td&gt;[:REPLACE_SCD4_INITIAL_LOAD_POPULATE_FACTLESSFACT]&lt;/td&gt;&lt;td&gt;INSERT INTO uc0039.factfactVCSSLast90factVCSSLast9&lt;td&gt;&lt;/td&gt;  &lt;/tr&gt;&lt;tr&gt;&lt;td&gt;[:REPLACE_SCD4_INITIAL_LOAD_MINI_DIM]&lt;/td&gt;&lt;td&gt;MERGE INTO uc0039.factVCSSLast90_history AS trg   &lt;td&gt;&lt;/td&gt;  &lt;/tr&gt;&lt;tr&gt;&lt;td&gt;[:REPLACE_SQL_CUSTOM_SOURCE_VIEW]&lt;/td&gt;&lt;td&gt;WITH _vcss_clean as (
select 
wkVehicle,
CAST(REPL&lt;td&gt;&lt;/td&gt;  &lt;/tr&gt;</v>
      </c>
    </row>
    <row r="3" spans="1:49" s="221" customFormat="1">
      <c r="A3" s="280" t="s">
        <v>243</v>
      </c>
      <c r="B3" s="280">
        <f>Version!B1</f>
        <v>115</v>
      </c>
      <c r="C3" s="280" t="s">
        <v>244</v>
      </c>
      <c r="E3" s="279">
        <f t="shared" si="0"/>
        <v>1</v>
      </c>
      <c r="F3" s="279" t="str">
        <f t="shared" si="1"/>
        <v xml:space="preserve">&lt;td&gt;[:REPLACE_CODEGEN_VERSION]&lt;/td&gt;&lt;td&gt;115&lt;td&gt;Version Number of the excel template used&lt;/td&gt;  </v>
      </c>
    </row>
    <row r="4" spans="1:49" s="221" customFormat="1">
      <c r="A4" s="280" t="s">
        <v>245</v>
      </c>
      <c r="B4" s="280">
        <f>Options!B7</f>
        <v>33</v>
      </c>
      <c r="C4" s="280" t="s">
        <v>246</v>
      </c>
      <c r="E4" s="279">
        <f t="shared" si="0"/>
        <v>1</v>
      </c>
      <c r="F4" s="279" t="str">
        <f t="shared" si="1"/>
        <v xml:space="preserve">&lt;td&gt;[:REPLACE_TEMPLATE_NUMBER]&lt;/td&gt;&lt;td&gt;33&lt;td&gt;Data Load Template Number used&lt;/td&gt;  </v>
      </c>
    </row>
    <row r="5" spans="1:49" s="280" customFormat="1">
      <c r="A5" s="280" t="s">
        <v>247</v>
      </c>
      <c r="B5" s="280" t="str">
        <f>Options!B2</f>
        <v>uc0039</v>
      </c>
      <c r="C5" s="280" t="s">
        <v>248</v>
      </c>
      <c r="E5" s="279">
        <f t="shared" si="0"/>
        <v>1</v>
      </c>
      <c r="F5" s="279" t="str">
        <f t="shared" si="1"/>
        <v xml:space="preserve">&lt;td&gt;[:REPLACE_SOLUTION_NAME]&lt;/td&gt;&lt;td&gt;uc0039&lt;td&gt;Name of the solution&lt;/td&gt;  </v>
      </c>
    </row>
    <row r="6" spans="1:49" s="280" customFormat="1">
      <c r="A6" s="280" t="s">
        <v>249</v>
      </c>
      <c r="B6" s="280" t="s">
        <v>250</v>
      </c>
      <c r="C6" s="280" t="s">
        <v>251</v>
      </c>
      <c r="E6" s="279">
        <f t="shared" si="0"/>
        <v>1</v>
      </c>
      <c r="F6" s="279" t="str">
        <f t="shared" si="1"/>
        <v xml:space="preserve">&lt;td&gt;[:REPLACE_SOLUTION_LONG_NAME]&lt;/td&gt;&lt;td&gt;DO NOT USE&lt;td&gt;Long soulution name&lt;/td&gt;  </v>
      </c>
    </row>
    <row r="7" spans="1:49" s="280" customFormat="1">
      <c r="A7" s="280" t="s">
        <v>252</v>
      </c>
      <c r="B7" s="280" t="s">
        <v>253</v>
      </c>
      <c r="C7" s="280" t="s">
        <v>254</v>
      </c>
      <c r="E7" s="279">
        <f t="shared" si="0"/>
        <v>1</v>
      </c>
      <c r="F7" s="279" t="str">
        <f t="shared" si="1"/>
        <v xml:space="preserve">&lt;td&gt;[:REPLACE_DEPLOY_TO_ENVIRONMENT]&lt;/td&gt;&lt;td&gt;prod&lt;td&gt;To what enviroment the stuff should be deloyd to. Use cdk to let the cdk project decide this&lt;/td&gt;  </v>
      </c>
    </row>
    <row r="8" spans="1:49" s="280" customFormat="1">
      <c r="A8" s="280" t="s">
        <v>255</v>
      </c>
      <c r="B8" s="280" t="str">
        <f>REPLACE_SOLUTION_NAME &amp; "_" &amp; REPLACE_TABLE_NAME</f>
        <v>uc0039_factVCSSLast90</v>
      </c>
      <c r="C8" s="280" t="s">
        <v>256</v>
      </c>
      <c r="E8" s="279">
        <f t="shared" si="0"/>
        <v>1</v>
      </c>
      <c r="F8" s="279" t="str">
        <f t="shared" si="1"/>
        <v xml:space="preserve">&lt;td&gt;[:REPLACE_AWS_STEPS_NAME]&lt;/td&gt;&lt;td&gt;uc0039_factVCSSLast90&lt;td&gt;Name of the AWS Steps State Machine&lt;/td&gt;  </v>
      </c>
    </row>
    <row r="9" spans="1:49" s="280" customFormat="1">
      <c r="A9" s="280" t="s">
        <v>257</v>
      </c>
      <c r="B9" s="280" t="str">
        <f>REPLACE_AWS_STEPS_NAME</f>
        <v>uc0039_factVCSSLast90</v>
      </c>
      <c r="C9" s="280" t="s">
        <v>258</v>
      </c>
      <c r="E9" s="279">
        <f t="shared" si="0"/>
        <v>1</v>
      </c>
      <c r="F9" s="279" t="str">
        <f t="shared" si="1"/>
        <v xml:space="preserve">&lt;td&gt;[:REPLACE_RESOURCE_IDENTIFIER]&lt;/td&gt;&lt;td&gt;uc0039_factVCSSLast90&lt;td&gt;SYNONYM&lt;/td&gt;  </v>
      </c>
    </row>
    <row r="10" spans="1:49" s="280" customFormat="1">
      <c r="A10" s="280" t="s">
        <v>259</v>
      </c>
      <c r="B10" s="280" t="str">
        <f>REPLACE_SOLUTION_NAME &amp; "_" &amp;REPLACE_TABLE_NAME_MINI_DIMENSION</f>
        <v>uc0039_factVCSSLast90_history</v>
      </c>
      <c r="E10" s="279">
        <f t="shared" si="0"/>
        <v>1</v>
      </c>
      <c r="F10" s="279"/>
    </row>
    <row r="11" spans="1:49" s="280" customFormat="1">
      <c r="A11" s="280" t="s">
        <v>260</v>
      </c>
      <c r="B11" s="280" t="str">
        <f>REPLACE_AWS_STEPS_NAME_MINI_DIMENSION</f>
        <v>uc0039_factVCSSLast90_history</v>
      </c>
      <c r="E11" s="279">
        <f t="shared" si="0"/>
        <v>1</v>
      </c>
      <c r="F11" s="279"/>
    </row>
    <row r="12" spans="1:49" s="280" customFormat="1">
      <c r="A12" s="280" t="s">
        <v>261</v>
      </c>
      <c r="B12" s="280" t="str">
        <f>REPLACE_SOLUTION_NAME &amp; "_" &amp; REPLACE_TABLE_NAME &amp; "_template" &amp; "_" &amp; REPLACE_TEMPLATE_NUMBER &amp; "_loop"</f>
        <v>uc0039_factVCSSLast90_template_33_loop</v>
      </c>
      <c r="E12" s="279">
        <f t="shared" si="0"/>
        <v>1</v>
      </c>
      <c r="F12" s="279" t="str">
        <f t="shared" ref="F12:F43" si="2">IF(E12=1,"&lt;td&gt;" &amp; A12 &amp; "&lt;/td&gt;&lt;td&gt;" &amp; LEFT(B12,50) &amp; "&lt;td&gt;" &amp; C12 &amp; "&lt;/td&gt;  ","")</f>
        <v xml:space="preserve">&lt;td&gt;[:REPLACE_AWS_STEPS_LOOP_NAME]&lt;/td&gt;&lt;td&gt;uc0039_factVCSSLast90_template_33_loop&lt;td&gt;&lt;/td&gt;  </v>
      </c>
    </row>
    <row r="13" spans="1:49" s="280" customFormat="1">
      <c r="A13" s="280" t="s">
        <v>262</v>
      </c>
      <c r="B13" s="280" t="str">
        <f>REPLACE_SOLUTION_NAME &amp; "_" &amp; REPLACE_TARGET_TABLE_NAME &amp; ".html"</f>
        <v>uc0039_factVCSSLast90.html</v>
      </c>
      <c r="E13" s="279">
        <f t="shared" si="0"/>
        <v>1</v>
      </c>
      <c r="F13" s="279" t="str">
        <f t="shared" si="2"/>
        <v xml:space="preserve">&lt;td&gt;[:REPLACE_HTML_DOC_FILENAME]&lt;/td&gt;&lt;td&gt;uc0039_factVCSSLast90.html&lt;td&gt;&lt;/td&gt;  </v>
      </c>
    </row>
    <row r="14" spans="1:49" s="280" customFormat="1">
      <c r="A14" s="205" t="s">
        <v>263</v>
      </c>
      <c r="B14" s="280" t="str">
        <f>UPPER(REPLACE_DEPLOY_TO_ENVIRONMENT)</f>
        <v>PROD</v>
      </c>
      <c r="E14" s="279">
        <f t="shared" si="0"/>
        <v>1</v>
      </c>
      <c r="F14" s="279" t="str">
        <f t="shared" si="2"/>
        <v xml:space="preserve">&lt;td&gt;[:REPLACE_AWS_ENVIRONMENT_UPPERCASE]&lt;/td&gt;&lt;td&gt;PROD&lt;td&gt;&lt;/td&gt;  </v>
      </c>
    </row>
    <row r="15" spans="1:49" s="280" customFormat="1">
      <c r="A15" s="205" t="s">
        <v>264</v>
      </c>
      <c r="B15" s="205" t="str">
        <f>Options!B68</f>
        <v>eu-west-1</v>
      </c>
      <c r="E15" s="279">
        <f t="shared" si="0"/>
        <v>1</v>
      </c>
      <c r="F15" s="279" t="str">
        <f t="shared" si="2"/>
        <v xml:space="preserve">&lt;td&gt;[:REPLACE_AWS_REGION]&lt;/td&gt;&lt;td&gt;eu-west-1&lt;td&gt;&lt;/td&gt;  </v>
      </c>
    </row>
    <row r="16" spans="1:49" s="198" customFormat="1">
      <c r="A16" s="205" t="s">
        <v>265</v>
      </c>
      <c r="B16" t="str">
        <f>Options!B67</f>
        <v>761560768765</v>
      </c>
      <c r="C16" s="280"/>
      <c r="D16" s="280"/>
      <c r="E16" s="279">
        <f t="shared" si="0"/>
        <v>1</v>
      </c>
      <c r="F16" s="279" t="str">
        <f t="shared" si="2"/>
        <v xml:space="preserve">&lt;td&gt;[:REPLACE_AWS_ACCOUNT_NUMBER]&lt;/td&gt;&lt;td&gt;761560768765&lt;td&gt;&lt;/td&gt;  </v>
      </c>
      <c r="G16" s="280"/>
      <c r="H16" s="280"/>
      <c r="I16" s="280"/>
      <c r="J16" s="280"/>
      <c r="K16" s="280"/>
      <c r="L16" s="280"/>
      <c r="M16" s="280"/>
      <c r="N16" s="280"/>
      <c r="O16" s="280"/>
      <c r="P16" s="280"/>
      <c r="Q16" s="280"/>
      <c r="R16" s="280"/>
      <c r="S16" s="280"/>
      <c r="T16" s="280"/>
      <c r="U16" s="280"/>
      <c r="V16" s="280"/>
      <c r="W16" s="280"/>
      <c r="X16" s="280"/>
      <c r="Y16" s="280"/>
      <c r="Z16" s="280"/>
      <c r="AA16" s="280"/>
      <c r="AB16" s="280"/>
      <c r="AC16" s="280"/>
      <c r="AD16" s="280"/>
      <c r="AE16" s="280"/>
      <c r="AF16" s="280"/>
      <c r="AG16" s="280"/>
      <c r="AH16" s="280"/>
      <c r="AI16" s="280"/>
      <c r="AJ16" s="280"/>
      <c r="AK16" s="280"/>
      <c r="AL16" s="280"/>
      <c r="AM16" s="280"/>
      <c r="AN16" s="280"/>
      <c r="AO16" s="280"/>
      <c r="AP16" s="280"/>
      <c r="AQ16" s="280"/>
      <c r="AR16" s="280"/>
      <c r="AS16" s="280"/>
      <c r="AT16" s="280"/>
      <c r="AU16" s="280"/>
      <c r="AV16" s="280"/>
      <c r="AW16" s="280"/>
    </row>
    <row r="17" spans="1:49" s="198" customFormat="1">
      <c r="A17" s="201" t="s">
        <v>266</v>
      </c>
      <c r="B17" s="192"/>
      <c r="C17" s="210"/>
      <c r="D17" s="210"/>
      <c r="E17" s="279">
        <f t="shared" si="0"/>
        <v>0</v>
      </c>
      <c r="F17" s="279" t="str">
        <f t="shared" si="2"/>
        <v/>
      </c>
      <c r="G17" s="280"/>
      <c r="H17" s="280"/>
      <c r="I17" s="280"/>
      <c r="J17" s="280"/>
      <c r="K17" s="280"/>
      <c r="L17" s="280"/>
      <c r="M17" s="280"/>
      <c r="N17" s="280"/>
      <c r="O17" s="280"/>
      <c r="P17" s="280"/>
      <c r="Q17" s="280"/>
      <c r="R17" s="280"/>
      <c r="S17" s="280"/>
      <c r="T17" s="280"/>
      <c r="U17" s="280"/>
      <c r="V17" s="280"/>
      <c r="W17" s="280"/>
      <c r="X17" s="280"/>
      <c r="Y17" s="280"/>
      <c r="Z17" s="280"/>
      <c r="AA17" s="280"/>
      <c r="AB17" s="280"/>
      <c r="AC17" s="280"/>
      <c r="AD17" s="280"/>
      <c r="AE17" s="280"/>
      <c r="AF17" s="280"/>
      <c r="AG17" s="280"/>
      <c r="AH17" s="280"/>
      <c r="AI17" s="280"/>
      <c r="AJ17" s="280"/>
      <c r="AK17" s="280"/>
      <c r="AL17" s="280"/>
      <c r="AM17" s="280"/>
      <c r="AN17" s="280"/>
      <c r="AO17" s="280"/>
      <c r="AP17" s="280"/>
      <c r="AQ17" s="280"/>
      <c r="AR17" s="280"/>
      <c r="AS17" s="280"/>
      <c r="AT17" s="280"/>
      <c r="AU17" s="280"/>
      <c r="AV17" s="280"/>
      <c r="AW17" s="280"/>
    </row>
    <row r="18" spans="1:49" s="198" customFormat="1">
      <c r="A18" s="205" t="s">
        <v>267</v>
      </c>
      <c r="B18" s="280" t="str">
        <f>REPLACE_AWS_ATHENA_OUTPUT_S3_LOCATION</f>
        <v>s3://uc0039-vgcs-odl-prod/athena-query-result</v>
      </c>
      <c r="C18" s="280"/>
      <c r="D18" s="280"/>
      <c r="E18" s="279">
        <f t="shared" si="0"/>
        <v>1</v>
      </c>
      <c r="F18" s="279" t="str">
        <f t="shared" si="2"/>
        <v xml:space="preserve">&lt;td&gt;[:REPLACE_ATHENA_OUTPUT_LOCATION]&lt;/td&gt;&lt;td&gt;s3://uc0039-vgcs-odl-prod/athena-query-result&lt;td&gt;&lt;/td&gt;  </v>
      </c>
      <c r="G18" s="280"/>
      <c r="H18" s="280"/>
      <c r="I18" s="280"/>
      <c r="J18" s="280"/>
      <c r="K18" s="280"/>
      <c r="L18" s="280"/>
      <c r="M18" s="280"/>
      <c r="N18" s="280"/>
      <c r="O18" s="280"/>
      <c r="P18" s="280"/>
      <c r="Q18" s="280"/>
      <c r="R18" s="280"/>
      <c r="S18" s="280"/>
      <c r="T18" s="280"/>
      <c r="U18" s="280"/>
      <c r="V18" s="280"/>
      <c r="W18" s="280"/>
      <c r="X18" s="280"/>
      <c r="Y18" s="280"/>
      <c r="Z18" s="280"/>
      <c r="AA18" s="280"/>
      <c r="AB18" s="280"/>
      <c r="AC18" s="280"/>
      <c r="AD18" s="280"/>
      <c r="AE18" s="280"/>
      <c r="AF18" s="280"/>
      <c r="AG18" s="280"/>
      <c r="AH18" s="280"/>
      <c r="AI18" s="280"/>
      <c r="AJ18" s="280"/>
      <c r="AK18" s="280"/>
      <c r="AL18" s="280"/>
      <c r="AM18" s="280"/>
      <c r="AN18" s="280"/>
      <c r="AO18" s="280"/>
      <c r="AP18" s="280"/>
      <c r="AQ18" s="280"/>
      <c r="AR18" s="280"/>
      <c r="AS18" s="280"/>
      <c r="AT18" s="280"/>
      <c r="AU18" s="280"/>
      <c r="AV18" s="280"/>
      <c r="AW18" s="280"/>
    </row>
    <row r="19" spans="1:49" s="198" customFormat="1">
      <c r="A19" s="205" t="s">
        <v>268</v>
      </c>
      <c r="B19" t="str">
        <f>"s3://" &amp; REPLACE_BUCKET_NAME &amp; "/" &amp; "athena-query-result"</f>
        <v>s3://uc0039-vgcs-odl-prod/athena-query-result</v>
      </c>
      <c r="C19" s="280"/>
      <c r="D19" s="280"/>
      <c r="E19" s="279">
        <f t="shared" si="0"/>
        <v>1</v>
      </c>
      <c r="F19" s="279" t="str">
        <f t="shared" si="2"/>
        <v xml:space="preserve">&lt;td&gt;[:REPLACE_AWS_ATHENA_OUTPUT_S3_LOCATION]&lt;/td&gt;&lt;td&gt;s3://uc0039-vgcs-odl-prod/athena-query-result&lt;td&gt;&lt;/td&gt;  </v>
      </c>
      <c r="G19" s="280"/>
      <c r="H19" s="280"/>
      <c r="I19" s="280"/>
      <c r="J19" s="280"/>
      <c r="K19" s="280"/>
      <c r="L19" s="280"/>
      <c r="M19" s="280"/>
      <c r="N19" s="280"/>
      <c r="O19" s="280"/>
      <c r="P19" s="280"/>
      <c r="Q19" s="280"/>
      <c r="R19" s="280"/>
      <c r="S19" s="280"/>
      <c r="T19" s="280"/>
      <c r="U19" s="280"/>
      <c r="V19" s="280"/>
      <c r="W19" s="280"/>
      <c r="X19" s="280"/>
      <c r="Y19" s="280"/>
      <c r="Z19" s="280"/>
      <c r="AA19" s="280"/>
      <c r="AB19" s="280"/>
      <c r="AC19" s="280"/>
      <c r="AD19" s="280"/>
      <c r="AE19" s="280"/>
      <c r="AF19" s="280"/>
      <c r="AG19" s="280"/>
      <c r="AH19" s="280"/>
      <c r="AI19" s="280"/>
      <c r="AJ19" s="280"/>
      <c r="AK19" s="280"/>
      <c r="AL19" s="280"/>
      <c r="AM19" s="280"/>
      <c r="AN19" s="280"/>
      <c r="AO19" s="280"/>
      <c r="AP19" s="280"/>
      <c r="AQ19" s="280"/>
      <c r="AR19" s="280"/>
      <c r="AS19" s="280"/>
      <c r="AT19" s="280"/>
      <c r="AU19" s="280"/>
      <c r="AV19" s="280"/>
      <c r="AW19" s="280"/>
    </row>
    <row r="20" spans="1:49" s="198" customFormat="1">
      <c r="A20" s="205" t="s">
        <v>269</v>
      </c>
      <c r="B20" t="str">
        <f>Options!B69</f>
        <v>uc0039</v>
      </c>
      <c r="C20" s="280" t="s">
        <v>270</v>
      </c>
      <c r="D20" s="280"/>
      <c r="E20" s="279">
        <f t="shared" si="0"/>
        <v>1</v>
      </c>
      <c r="F20" s="279" t="str">
        <f t="shared" si="2"/>
        <v xml:space="preserve">&lt;td&gt;[:REPLACE_ATHENA_WORKGROUP]&lt;/td&gt;&lt;td&gt;uc0039&lt;td&gt;Synonym&lt;/td&gt;  </v>
      </c>
      <c r="G20" s="280"/>
      <c r="H20" s="280"/>
      <c r="I20" s="280"/>
      <c r="J20" s="280"/>
      <c r="K20" s="280"/>
      <c r="L20" s="280"/>
      <c r="M20" s="280"/>
      <c r="N20" s="280"/>
      <c r="O20" s="280"/>
      <c r="P20" s="280"/>
      <c r="Q20" s="280"/>
      <c r="R20" s="280"/>
      <c r="S20" s="280"/>
      <c r="T20" s="280"/>
      <c r="U20" s="280"/>
      <c r="V20" s="280"/>
      <c r="W20" s="280"/>
      <c r="X20" s="280"/>
      <c r="Y20" s="280"/>
      <c r="Z20" s="280"/>
      <c r="AA20" s="280"/>
      <c r="AB20" s="280"/>
      <c r="AC20" s="280"/>
      <c r="AD20" s="280"/>
      <c r="AE20" s="280"/>
      <c r="AF20" s="280"/>
      <c r="AG20" s="280"/>
      <c r="AH20" s="280"/>
      <c r="AI20" s="280"/>
      <c r="AJ20" s="280"/>
      <c r="AK20" s="280"/>
      <c r="AL20" s="280"/>
      <c r="AM20" s="280"/>
      <c r="AN20" s="280"/>
      <c r="AO20" s="280"/>
      <c r="AP20" s="280"/>
      <c r="AQ20" s="280"/>
      <c r="AR20" s="280"/>
      <c r="AS20" s="280"/>
      <c r="AT20" s="280"/>
      <c r="AU20" s="280"/>
      <c r="AV20" s="280"/>
      <c r="AW20" s="280"/>
    </row>
    <row r="21" spans="1:49" s="198" customFormat="1">
      <c r="A21" s="205"/>
      <c r="C21" s="280"/>
      <c r="D21" s="280"/>
      <c r="E21" s="279">
        <f t="shared" si="0"/>
        <v>0</v>
      </c>
      <c r="F21" s="279" t="str">
        <f t="shared" si="2"/>
        <v/>
      </c>
      <c r="G21" s="280"/>
      <c r="H21" s="280"/>
      <c r="I21" s="280"/>
      <c r="J21" s="280"/>
      <c r="K21" s="280"/>
      <c r="L21" s="280"/>
      <c r="M21" s="280"/>
      <c r="N21" s="280"/>
      <c r="O21" s="280"/>
      <c r="P21" s="280"/>
      <c r="Q21" s="280"/>
      <c r="R21" s="280"/>
      <c r="S21" s="280"/>
      <c r="T21" s="280"/>
      <c r="U21" s="280"/>
      <c r="V21" s="280"/>
      <c r="W21" s="280"/>
      <c r="X21" s="280"/>
      <c r="Y21" s="280"/>
      <c r="Z21" s="280"/>
      <c r="AA21" s="280"/>
      <c r="AB21" s="280"/>
      <c r="AC21" s="280"/>
      <c r="AD21" s="280"/>
      <c r="AE21" s="280"/>
      <c r="AF21" s="280"/>
      <c r="AG21" s="280"/>
      <c r="AH21" s="280"/>
      <c r="AI21" s="280"/>
      <c r="AJ21" s="280"/>
      <c r="AK21" s="280"/>
      <c r="AL21" s="280"/>
      <c r="AM21" s="280"/>
      <c r="AN21" s="280"/>
      <c r="AO21" s="280"/>
      <c r="AP21" s="280"/>
      <c r="AQ21" s="280"/>
      <c r="AR21" s="280"/>
      <c r="AS21" s="280"/>
      <c r="AT21" s="280"/>
      <c r="AU21" s="280"/>
      <c r="AV21" s="280"/>
      <c r="AW21" s="280"/>
    </row>
    <row r="22" spans="1:49" s="198" customFormat="1">
      <c r="A22" s="205" t="s">
        <v>271</v>
      </c>
      <c r="B22" t="str">
        <f>B23</f>
        <v>uc0039-vgcs-odl-prod</v>
      </c>
      <c r="C22" s="280" t="s">
        <v>272</v>
      </c>
      <c r="D22" s="280"/>
      <c r="E22" s="279">
        <f t="shared" si="0"/>
        <v>1</v>
      </c>
      <c r="F22" s="279" t="str">
        <f t="shared" si="2"/>
        <v xml:space="preserve">&lt;td&gt;[:REPLACE_BUCKET_NAME]&lt;/td&gt;&lt;td&gt;uc0039-vgcs-odl-prod&lt;td&gt;AWS S3 bucket for all tables in the solution&lt;/td&gt;  </v>
      </c>
      <c r="G22" s="280"/>
      <c r="H22" s="280"/>
      <c r="I22" s="280"/>
      <c r="J22" s="280"/>
      <c r="K22" s="280"/>
      <c r="L22" s="280"/>
      <c r="M22" s="280"/>
      <c r="N22" s="280"/>
      <c r="O22" s="280"/>
      <c r="P22" s="280"/>
      <c r="Q22" s="280"/>
      <c r="R22" s="280"/>
      <c r="S22" s="280"/>
      <c r="T22" s="280"/>
      <c r="U22" s="280"/>
      <c r="V22" s="280"/>
      <c r="W22" s="280"/>
      <c r="X22" s="280"/>
      <c r="Y22" s="280"/>
      <c r="Z22" s="280"/>
      <c r="AA22" s="280"/>
      <c r="AB22" s="280"/>
      <c r="AC22" s="280"/>
      <c r="AD22" s="280"/>
      <c r="AE22" s="280"/>
      <c r="AF22" s="280"/>
      <c r="AG22" s="280"/>
      <c r="AH22" s="280"/>
      <c r="AI22" s="280"/>
      <c r="AJ22" s="280"/>
      <c r="AK22" s="280"/>
      <c r="AL22" s="280"/>
      <c r="AM22" s="280"/>
      <c r="AN22" s="280"/>
      <c r="AO22" s="280"/>
      <c r="AP22" s="280"/>
      <c r="AQ22" s="280"/>
      <c r="AR22" s="280"/>
      <c r="AS22" s="280"/>
      <c r="AT22" s="280"/>
      <c r="AU22" s="280"/>
      <c r="AV22" s="280"/>
      <c r="AW22" s="280"/>
    </row>
    <row r="23" spans="1:49">
      <c r="A23" t="s">
        <v>273</v>
      </c>
      <c r="B23" t="str">
        <f>Options!B28</f>
        <v>uc0039-vgcs-odl-prod</v>
      </c>
      <c r="C23" t="s">
        <v>274</v>
      </c>
      <c r="E23" s="279">
        <f t="shared" si="0"/>
        <v>1</v>
      </c>
      <c r="F23" s="279" t="str">
        <f t="shared" si="2"/>
        <v xml:space="preserve">&lt;td&gt;[:REPLACE_TARGET_BUCKET]&lt;/td&gt;&lt;td&gt;uc0039-vgcs-odl-prod&lt;td&gt;AWS S3 bucket for all tables in the solution (synonym)&lt;/td&gt;  </v>
      </c>
    </row>
    <row r="24" spans="1:49">
      <c r="A24" t="s">
        <v>275</v>
      </c>
      <c r="B24" t="str">
        <f>Options!B29</f>
        <v>db</v>
      </c>
      <c r="C24" t="s">
        <v>276</v>
      </c>
      <c r="E24" s="279">
        <f t="shared" si="0"/>
        <v>1</v>
      </c>
      <c r="F24" s="279" t="str">
        <f t="shared" si="2"/>
        <v xml:space="preserve">&lt;td&gt;[:REPLACE_TARGET_ROOT_PREFIX]&lt;/td&gt;&lt;td&gt;db&lt;td&gt;Root prefix for all tables in the solution&lt;/td&gt;  </v>
      </c>
    </row>
    <row r="25" spans="1:49">
      <c r="A25" s="205" t="s">
        <v>277</v>
      </c>
      <c r="B25" t="str">
        <f ca="1">'OUTPUT EXTERNAL'!C12</f>
        <v>db/factVCSSLast90/lake_arrival_date=[:date_yyyy_mm_dd]</v>
      </c>
      <c r="C25" s="280" t="s">
        <v>278</v>
      </c>
      <c r="E25" s="279">
        <f t="shared" si="0"/>
        <v>1</v>
      </c>
      <c r="F25" s="279" t="str">
        <f t="shared" ca="1" si="2"/>
        <v xml:space="preserve">&lt;td&gt;[:REPLACE_PREFIX]&lt;/td&gt;&lt;td&gt;db/factVCSSLast90/lake_arrival_date=[:date_yyyy_mm&lt;td&gt;AWS S3 prefix specific for this table&lt;/td&gt;  </v>
      </c>
    </row>
    <row r="26" spans="1:49">
      <c r="A26" s="205" t="s">
        <v>279</v>
      </c>
      <c r="B26" t="str">
        <f ca="1">B25</f>
        <v>db/factVCSSLast90/lake_arrival_date=[:date_yyyy_mm_dd]</v>
      </c>
      <c r="C26" t="s">
        <v>270</v>
      </c>
      <c r="E26" s="279">
        <f t="shared" si="0"/>
        <v>1</v>
      </c>
      <c r="F26" s="279" t="str">
        <f t="shared" ca="1" si="2"/>
        <v xml:space="preserve">&lt;td&gt;[:REPLACE_TARGET_PREFIX]&lt;/td&gt;&lt;td&gt;db/factVCSSLast90/lake_arrival_date=[:date_yyyy_mm&lt;td&gt;Synonym&lt;/td&gt;  </v>
      </c>
    </row>
    <row r="27" spans="1:49">
      <c r="A27" s="205" t="s">
        <v>280</v>
      </c>
      <c r="B27" t="str">
        <f ca="1">B25</f>
        <v>db/factVCSSLast90/lake_arrival_date=[:date_yyyy_mm_dd]</v>
      </c>
      <c r="C27" t="s">
        <v>270</v>
      </c>
      <c r="E27" s="279">
        <f t="shared" si="0"/>
        <v>1</v>
      </c>
      <c r="F27" s="279" t="str">
        <f t="shared" ca="1" si="2"/>
        <v xml:space="preserve">&lt;td&gt;[:REPLACE_TARGET_TABLE_PREFIX]&lt;/td&gt;&lt;td&gt;db/factVCSSLast90/lake_arrival_date=[:date_yyyy_mm&lt;td&gt;Synonym&lt;/td&gt;  </v>
      </c>
    </row>
    <row r="28" spans="1:49">
      <c r="A28" s="205" t="s">
        <v>281</v>
      </c>
      <c r="B28" t="str">
        <f ca="1">"s3://" &amp; REPLACE_TARGET_BUCKET &amp; "/" &amp; REPLACE_TARGET_PREFIX</f>
        <v>s3://uc0039-vgcs-odl-prod/db/factVCSSLast90/lake_arrival_date=[:date_yyyy_mm_dd]</v>
      </c>
      <c r="E28" s="279">
        <f t="shared" si="0"/>
        <v>1</v>
      </c>
      <c r="F28" s="279" t="str">
        <f t="shared" ca="1" si="2"/>
        <v xml:space="preserve">&lt;td&gt;[:REPLACE_TARGET_TABLE_S3_LOCATION]&lt;/td&gt;&lt;td&gt;s3://uc0039-vgcs-odl-prod/db/factVCSSLast90/lake_a&lt;td&gt;&lt;/td&gt;  </v>
      </c>
    </row>
    <row r="29" spans="1:49">
      <c r="A29" s="205" t="s">
        <v>282</v>
      </c>
      <c r="B29" t="str">
        <f>REPLACE_SOURCE_DATABASE &amp; "." &amp;REPLACE_SOURCE_TABLE_NAME</f>
        <v>.0</v>
      </c>
      <c r="E29" s="279">
        <f t="shared" si="0"/>
        <v>1</v>
      </c>
      <c r="F29" s="279" t="str">
        <f t="shared" si="2"/>
        <v xml:space="preserve">&lt;td&gt;[:REPLACE_FULL_SOURCE_TABLE_NAME]&lt;/td&gt;&lt;td&gt;.0&lt;td&gt;&lt;/td&gt;  </v>
      </c>
    </row>
    <row r="30" spans="1:49">
      <c r="A30" s="205" t="s">
        <v>283</v>
      </c>
      <c r="B30">
        <f>Options!B11</f>
        <v>0</v>
      </c>
      <c r="E30" s="279">
        <f t="shared" si="0"/>
        <v>1</v>
      </c>
      <c r="F30" s="279" t="str">
        <f t="shared" si="2"/>
        <v xml:space="preserve">&lt;td&gt;[:REPLACE_SOURCE_TABLE_NAME]&lt;/td&gt;&lt;td&gt;0&lt;td&gt;&lt;/td&gt;  </v>
      </c>
    </row>
    <row r="31" spans="1:49">
      <c r="A31" t="s">
        <v>284</v>
      </c>
      <c r="B31" t="str">
        <f>IF(Options!B10="","",Options!B10)</f>
        <v/>
      </c>
      <c r="C31" t="s">
        <v>285</v>
      </c>
      <c r="E31" s="279">
        <f t="shared" si="0"/>
        <v>1</v>
      </c>
      <c r="F31" s="279" t="str">
        <f t="shared" si="2"/>
        <v xml:space="preserve">&lt;td&gt;[:REPLACE_SOURCE_DATABASE]&lt;/td&gt;&lt;td&gt;&lt;td&gt;Blank if not in use if use source view is set to 1&lt;/td&gt;  </v>
      </c>
    </row>
    <row r="32" spans="1:49">
      <c r="A32" t="s">
        <v>286</v>
      </c>
      <c r="B32" t="str">
        <f>Options!B23</f>
        <v>uc0039</v>
      </c>
      <c r="E32" s="279">
        <f t="shared" si="0"/>
        <v>1</v>
      </c>
      <c r="F32" s="279" t="str">
        <f t="shared" si="2"/>
        <v xml:space="preserve">&lt;td&gt;[:REPLACE_DATABASE_NAME]&lt;/td&gt;&lt;td&gt;uc0039&lt;td&gt;&lt;/td&gt;  </v>
      </c>
    </row>
    <row r="33" spans="1:6">
      <c r="A33" t="s">
        <v>287</v>
      </c>
      <c r="B33" t="str">
        <f>B32</f>
        <v>uc0039</v>
      </c>
      <c r="C33" t="s">
        <v>270</v>
      </c>
      <c r="E33" s="279">
        <f t="shared" si="0"/>
        <v>1</v>
      </c>
      <c r="F33" s="279" t="str">
        <f t="shared" si="2"/>
        <v xml:space="preserve">&lt;td&gt;[:REPLACE_TARGET_DATABASE_NAME]&lt;/td&gt;&lt;td&gt;uc0039&lt;td&gt;Synonym&lt;/td&gt;  </v>
      </c>
    </row>
    <row r="34" spans="1:6">
      <c r="E34" s="279">
        <f t="shared" ref="E34:E65" si="3">IF(LEFT(A34,2)="[:",1,0)</f>
        <v>0</v>
      </c>
      <c r="F34" s="279" t="str">
        <f t="shared" si="2"/>
        <v/>
      </c>
    </row>
    <row r="35" spans="1:6">
      <c r="A35" s="205" t="s">
        <v>288</v>
      </c>
      <c r="B35" t="str">
        <f>Options!B25</f>
        <v>factVCSSLast90</v>
      </c>
      <c r="E35" s="279">
        <f t="shared" si="3"/>
        <v>1</v>
      </c>
      <c r="F35" s="279" t="str">
        <f t="shared" si="2"/>
        <v xml:space="preserve">&lt;td&gt;[:REPLACE_TABLE_NAME]&lt;/td&gt;&lt;td&gt;factVCSSLast90&lt;td&gt;&lt;/td&gt;  </v>
      </c>
    </row>
    <row r="36" spans="1:6">
      <c r="A36" s="205" t="s">
        <v>289</v>
      </c>
      <c r="B36" t="str">
        <f>Options!B25</f>
        <v>factVCSSLast90</v>
      </c>
      <c r="C36" t="s">
        <v>270</v>
      </c>
      <c r="E36" s="279">
        <f t="shared" si="3"/>
        <v>1</v>
      </c>
      <c r="F36" s="279" t="str">
        <f t="shared" si="2"/>
        <v xml:space="preserve">&lt;td&gt;[:REPLACE_TARGET_TABLE_NAME]&lt;/td&gt;&lt;td&gt;factVCSSLast90&lt;td&gt;Synonym&lt;/td&gt;  </v>
      </c>
    </row>
    <row r="37" spans="1:6">
      <c r="E37" s="279">
        <f t="shared" si="3"/>
        <v>0</v>
      </c>
      <c r="F37" s="279" t="str">
        <f t="shared" si="2"/>
        <v/>
      </c>
    </row>
    <row r="38" spans="1:6">
      <c r="E38" s="279">
        <f t="shared" si="3"/>
        <v>0</v>
      </c>
      <c r="F38" s="279" t="str">
        <f t="shared" si="2"/>
        <v/>
      </c>
    </row>
    <row r="39" spans="1:6">
      <c r="A39" s="205" t="s">
        <v>290</v>
      </c>
      <c r="B39" t="str">
        <f>'OUTPUT ICEBERG'!C14</f>
        <v>drop table if exists uc0039.factVCSSLast90</v>
      </c>
      <c r="E39" s="279">
        <f t="shared" si="3"/>
        <v>1</v>
      </c>
      <c r="F39" s="279" t="str">
        <f t="shared" si="2"/>
        <v xml:space="preserve">&lt;td&gt;[:REPLACE_DROP_TABLE]&lt;/td&gt;&lt;td&gt;drop table if exists uc0039.factVCSSLast90&lt;td&gt;&lt;/td&gt;  </v>
      </c>
    </row>
    <row r="40" spans="1:6">
      <c r="A40" s="205" t="s">
        <v>291</v>
      </c>
      <c r="B40" t="str">
        <f>B39</f>
        <v>drop table if exists uc0039.factVCSSLast90</v>
      </c>
      <c r="C40" t="s">
        <v>270</v>
      </c>
      <c r="E40" s="279">
        <f t="shared" si="3"/>
        <v>1</v>
      </c>
      <c r="F40" s="279" t="str">
        <f t="shared" si="2"/>
        <v xml:space="preserve">&lt;td&gt;[:REPLACE_DROP_TARGET_TABLE]&lt;/td&gt;&lt;td&gt;drop table if exists uc0039.factVCSSLast90&lt;td&gt;Synonym&lt;/td&gt;  </v>
      </c>
    </row>
    <row r="41" spans="1:6">
      <c r="E41" s="279">
        <f t="shared" si="3"/>
        <v>0</v>
      </c>
      <c r="F41" s="279" t="str">
        <f t="shared" si="2"/>
        <v/>
      </c>
    </row>
    <row r="42" spans="1:6">
      <c r="A42" t="s">
        <v>292</v>
      </c>
      <c r="B42">
        <f>Options!B34</f>
        <v>0</v>
      </c>
      <c r="C42" t="s">
        <v>293</v>
      </c>
      <c r="E42" s="279">
        <f t="shared" si="3"/>
        <v>1</v>
      </c>
      <c r="F42" s="279" t="str">
        <f t="shared" si="2"/>
        <v xml:space="preserve">&lt;td&gt;[:REPLACE_APPLY_DMA ON TABLE]&lt;/td&gt;&lt;td&gt;0&lt;td&gt;Should we join this table with DMA?&lt;/td&gt;  </v>
      </c>
    </row>
    <row r="43" spans="1:6">
      <c r="A43" t="s">
        <v>294</v>
      </c>
      <c r="B43">
        <f>Options!B32</f>
        <v>0</v>
      </c>
      <c r="C43" t="s">
        <v>295</v>
      </c>
      <c r="E43" s="279">
        <f t="shared" si="3"/>
        <v>1</v>
      </c>
      <c r="F43" s="279" t="str">
        <f t="shared" si="2"/>
        <v xml:space="preserve">&lt;td&gt;[:REPLACE_USE_SCD_2]&lt;/td&gt;&lt;td&gt;0&lt;td&gt;SCD-2 enabled for the table?&lt;/td&gt;  </v>
      </c>
    </row>
    <row r="44" spans="1:6">
      <c r="A44" s="205" t="s">
        <v>296</v>
      </c>
      <c r="B44" t="str">
        <f ca="1">'OUTPUT ICEBERG'!C16</f>
        <v>CREATE OR REPLACE VIEW uc0039.source_factVCSSLast90_[:date_yyyymmdd]_v  AS WITH t1 as (SELECT f.wkVehicle AS wkVehicle, 1 AS has_communicated_last_90_days, f.lake_arrival_date AS lake_arrival_date, CAST(f.timestamp as timestamp)  AS last_modified_timestamp  FROM uc0039.source_factVCSSLast90_[:date_yyyymmdd]_v  f )  SELECT wkVehicle, has_communicated_last_90_days, lake_arrival_date,CAST( '' as varchar(1)) as hashkey, load_date, last_modified_timestamp FROM t1</v>
      </c>
      <c r="E44" s="279">
        <f t="shared" si="3"/>
        <v>1</v>
      </c>
      <c r="F44" s="279" t="str">
        <f t="shared" ref="F44:F75" ca="1" si="4">IF(E44=1,"&lt;td&gt;" &amp; A44 &amp; "&lt;/td&gt;&lt;td&gt;" &amp; LEFT(B44,50) &amp; "&lt;td&gt;" &amp; C44 &amp; "&lt;/td&gt;  ","")</f>
        <v xml:space="preserve">&lt;td&gt;[:REPLACE_STAGE_VIEW]&lt;/td&gt;&lt;td&gt;CREATE OR REPLACE VIEW uc0039.source_factVCSSLast9&lt;td&gt;&lt;/td&gt;  </v>
      </c>
    </row>
    <row r="45" spans="1:6">
      <c r="A45" s="205" t="s">
        <v>297</v>
      </c>
      <c r="B45" t="str">
        <f ca="1">'OUTPUT ICEBERG'!C17</f>
        <v>CREATE TABLE IF NOT EXISTS  uc0039.factVCSSLast90(wkVehicle bigint, has_communicated_last_90_days bigint, lake_arrival_date string,hashkey string, load_date  Timestamp, last_modified_timestamp  TimestampFALSE) PARTITIONED BY (lake_arrival_date)   LOCATION 's3://uc0039-vgcs-odl-prod/db/factVCSSLast90' TBLPROPERTIES ( 'vacuum_max_snapshot_age_seconds' = '259200', 'optimize_rewrite_delete_file_threshold' = '50', 'write_target_data_file_size_bytes' = '536870912','table_type'='iceberg','format'='parquet')</v>
      </c>
      <c r="E45" s="279">
        <f t="shared" si="3"/>
        <v>1</v>
      </c>
      <c r="F45" s="279" t="str">
        <f t="shared" ca="1" si="4"/>
        <v xml:space="preserve">&lt;td&gt;[:REPLACE_CREATE_TARGET_TABLE]&lt;/td&gt;&lt;td&gt;CREATE TABLE IF NOT EXISTS  uc0039.factVCSSLast90(&lt;td&gt;&lt;/td&gt;  </v>
      </c>
    </row>
    <row r="46" spans="1:6">
      <c r="A46" s="205" t="s">
        <v>298</v>
      </c>
      <c r="B46" t="str">
        <f ca="1">'OUTPUT EXTERNAL'!C10</f>
        <v>CREATE EXTERNAL TABLE IF NOT EXISTS  uc0039.factVCSSLast90(wkVehicle bigint, has_communicated_last_90_days bigint) PARTITIONED BY (lake_arrival_date string) ROW FORMAT SERDE 'org.apache.hadoop.hive.ql.io.parquet.serde.ParquetHiveSerDe' STORED AS INPUTFORMAT 'org.apache.hadoop.hive.ql.io.parquet.MapredParquetInputFormat' OUTPUTFORMAT 'org.apache.hadoop.hive.ql.io.parquet.MapredParquetOutputFormat' LOCATION 's3://uc0039-vgcs-odl-prod/db/factVCSSLast90/'</v>
      </c>
      <c r="E46" s="279">
        <f t="shared" si="3"/>
        <v>1</v>
      </c>
      <c r="F46" s="279" t="str">
        <f t="shared" ca="1" si="4"/>
        <v xml:space="preserve">&lt;td&gt;[:REPLACE_CREATE_TARGET_TABLE_EXTERNAL]&lt;/td&gt;&lt;td&gt;CREATE EXTERNAL TABLE IF NOT EXISTS  uc0039.factVC&lt;td&gt;&lt;/td&gt;  </v>
      </c>
    </row>
    <row r="47" spans="1:6">
      <c r="E47" s="279">
        <f t="shared" si="3"/>
        <v>0</v>
      </c>
      <c r="F47" s="279" t="str">
        <f t="shared" si="4"/>
        <v/>
      </c>
    </row>
    <row r="48" spans="1:6">
      <c r="A48" s="205" t="s">
        <v>299</v>
      </c>
      <c r="B48" t="str">
        <f>'OUTPUT ICEBERG'!C18</f>
        <v/>
      </c>
      <c r="E48" s="279">
        <f t="shared" si="3"/>
        <v>1</v>
      </c>
      <c r="F48" s="279" t="str">
        <f t="shared" si="4"/>
        <v xml:space="preserve">&lt;td&gt;[:REPLACE_MISSING_MEMBER]&lt;/td&gt;&lt;td&gt;&lt;td&gt;&lt;/td&gt;  </v>
      </c>
    </row>
    <row r="49" spans="1:6">
      <c r="A49" s="205" t="s">
        <v>300</v>
      </c>
      <c r="B49" t="str">
        <f ca="1">'OUTPUT ICEBERG'!C19</f>
        <v>MERGE INTO uc0039.factVCSSLast90 as trg USING uc0039.source_factVCSSLast90_[:date_yyyymmdd]_v  as src ON trg.wkVehicle = src.wkVehicle  WHEN NOT MATCHED THEN INSERT ( wkVehicle, has_communicated_last_90_days, lake_arrival_date,load_date, hashkey) VALUES (src.wkVehicle, src.has_communicated_last_90_days, COALESCE(src.lake_arrival_date,''), src.load_date,src.hashkey) WHEN MATCHED  AND trg.last_modified_timestamp &lt;&gt;  src.last_modified_timestamp THEN UPDATE SET has_communicated_last_90_days =  src.has_communicated_last_90_days,last_modified_timestamp = src.last_modified_timestamp</v>
      </c>
      <c r="E49" s="279">
        <f t="shared" si="3"/>
        <v>1</v>
      </c>
      <c r="F49" s="279" t="str">
        <f t="shared" ca="1" si="4"/>
        <v xml:space="preserve">&lt;td&gt;[:REPLACE_POPULATE_DATA]&lt;/td&gt;&lt;td&gt;MERGE INTO uc0039.factVCSSLast90 as trg USING uc00&lt;td&gt;&lt;/td&gt;  </v>
      </c>
    </row>
    <row r="50" spans="1:6">
      <c r="A50" s="205" t="s">
        <v>301</v>
      </c>
      <c r="B50" t="str">
        <f ca="1">REPLACE_POPULATE_DATA</f>
        <v>MERGE INTO uc0039.factVCSSLast90 as trg USING uc0039.source_factVCSSLast90_[:date_yyyymmdd]_v  as src ON trg.wkVehicle = src.wkVehicle  WHEN NOT MATCHED THEN INSERT ( wkVehicle, has_communicated_last_90_days, lake_arrival_date,load_date, hashkey) VALUES (src.wkVehicle, src.has_communicated_last_90_days, COALESCE(src.lake_arrival_date,''), src.load_date,src.hashkey) WHEN MATCHED  AND trg.last_modified_timestamp &lt;&gt;  src.last_modified_timestamp THEN UPDATE SET has_communicated_last_90_days =  src.has_communicated_last_90_days,last_modified_timestamp = src.last_modified_timestamp</v>
      </c>
      <c r="E50" s="279">
        <f t="shared" si="3"/>
        <v>1</v>
      </c>
      <c r="F50" s="279" t="str">
        <f t="shared" ca="1" si="4"/>
        <v xml:space="preserve">&lt;td&gt;[:REPLACE_POPULATE_DATA_INCREMENTALY]&lt;/td&gt;&lt;td&gt;MERGE INTO uc0039.factVCSSLast90 as trg USING uc00&lt;td&gt;&lt;/td&gt;  </v>
      </c>
    </row>
    <row r="51" spans="1:6">
      <c r="A51" s="205" t="s">
        <v>302</v>
      </c>
      <c r="B51" t="str">
        <f>'OUTPUT ICEBERG'!C21</f>
        <v/>
      </c>
      <c r="E51" s="279">
        <f t="shared" si="3"/>
        <v>1</v>
      </c>
      <c r="F51" s="279" t="str">
        <f t="shared" si="4"/>
        <v xml:space="preserve">&lt;td&gt;[:REPLACE_SET_ISCURRENT_0]&lt;/td&gt;&lt;td&gt;&lt;td&gt;&lt;/td&gt;  </v>
      </c>
    </row>
    <row r="52" spans="1:6">
      <c r="A52" s="205" t="s">
        <v>303</v>
      </c>
      <c r="B52" s="199" t="str">
        <f>'UPDATE ISCURRENT'!B7</f>
        <v/>
      </c>
      <c r="E52" s="279">
        <f t="shared" si="3"/>
        <v>1</v>
      </c>
      <c r="F52" s="279" t="str">
        <f t="shared" si="4"/>
        <v xml:space="preserve">&lt;td&gt;[:REPLACE_SET_ISCURRENT_1]&lt;/td&gt;&lt;td&gt;&lt;td&gt;&lt;/td&gt;  </v>
      </c>
    </row>
    <row r="53" spans="1:6">
      <c r="A53" s="205" t="s">
        <v>304</v>
      </c>
      <c r="B53" t="str">
        <f>TEMP_REPLACE_CREATE_VIEW</f>
        <v>CREATE OR REPLACE VIEW uc0039.factVCSSLast90 AS WITH _vcss_clean as ( select  wkVehicle, CAST(REPLACE(molastsms,'T',' ') as timestamp) as molastsms ,CAST(REPLACE(molastudp,'T',' ') as timestamp) as molastudp ,lakearrivaldate from uc0039.factVCSS ),  _max_vcss_90 AS (    SELECT  DISTINCT                 wkVehicle                 , CAST(max(molastsms) as date) latest_sms                 , CAST(max(molastudp) as date)  latest_udp                  ,'[:date_yyyy_mm_dd]' lake_arrival_date             FROM                  _vcss_clean  t1              where                  lakearrivaldate &lt;= '[:date_yyyy_mm_dd]'              GROUP BY t1.wkVehicle ), _has_communicated_last_90 AS ( SELECT             wkVehicle, 1 as has_communicated_last_90_days, latest_sms  ,   latest_udp,   lake_arrival_date             FROM                  _max_vcss_90              WHERE                  ((latest_sms &gt; (cast('[:date_yyyy_mm_dd]' as date)  - INTERVAL  '90' DAY))                  OR (latest_udp &gt; (cast('[:date_yyyy_mm_dd]' as date) - INTERVAL  '90' DAY))) ), _no_communication_last_90 AS ( select wkVehicle, 0 as has_communicated_last_90_days, null as latest_sms, null as latest_udp,  '[:date_yyyy_mm_dd]' as lake_arrival_date  from uc0039.dimVehicle  WHERE wkVehicle NOT in (select wkVehicle from _has_communicated_last_90) ) SELECT  wkVehicle, has_communicated_last_90_days,cast( latest_udp as date) as latest_udp,cast(latest_sms as date) as latest_sms, cast(lake_arrival_date as varchar)  as lake_arrival_date FROM _has_communicated_last_90   UNION ALL  SELECT wkVehicle, has_communicated_last_90_days,  CAST(latest_udp as date), cast(latest_sms as date),  cast(lake_arrival_date as varchar)  as lake_arrival_date  FROM _no_communication_last_90</v>
      </c>
      <c r="E53" s="279">
        <f t="shared" si="3"/>
        <v>1</v>
      </c>
      <c r="F53" s="279" t="str">
        <f t="shared" si="4"/>
        <v xml:space="preserve">&lt;td&gt;[:REPLACE_CREATE_VIEW]&lt;/td&gt;&lt;td&gt;CREATE OR REPLACE VIEW uc0039.factVCSSLast90 AS WI&lt;td&gt;&lt;/td&gt;  </v>
      </c>
    </row>
    <row r="54" spans="1:6">
      <c r="A54" s="205" t="s">
        <v>305</v>
      </c>
      <c r="B54" t="str">
        <f>'OUTPUT ICEBERG'!C23</f>
        <v xml:space="preserve">drop view uc0039.source_factVCSSLast90_[:date_yyyymmdd]_v </v>
      </c>
      <c r="E54" s="279">
        <f t="shared" si="3"/>
        <v>1</v>
      </c>
      <c r="F54" s="279" t="str">
        <f t="shared" si="4"/>
        <v xml:space="preserve">&lt;td&gt;[:REPLACE_DROP_STAGE_VIEW]&lt;/td&gt;&lt;td&gt;drop view uc0039.source_factVCSSLast90_[:date_yyyy&lt;td&gt;&lt;/td&gt;  </v>
      </c>
    </row>
    <row r="55" spans="1:6">
      <c r="A55" s="205" t="s">
        <v>306</v>
      </c>
      <c r="B55" t="str">
        <f>IF('OUTPUT ICEBERG'!C24="","select current_date --just so we do not try to execute empty sql statments..",'OUTPUT ICEBERG'!C24)</f>
        <v xml:space="preserve">drop view uc0039.source_factVCSSLast90_[:date_yyyymmdd]_v </v>
      </c>
      <c r="E55" s="279">
        <f t="shared" si="3"/>
        <v>1</v>
      </c>
      <c r="F55" s="279" t="str">
        <f t="shared" si="4"/>
        <v xml:space="preserve">&lt;td&gt;[:REPLACE_DROP_SOURCE_VIEW]&lt;/td&gt;&lt;td&gt;drop view uc0039.source_factVCSSLast90_[:date_yyyy&lt;td&gt;&lt;/td&gt;  </v>
      </c>
    </row>
    <row r="56" spans="1:6">
      <c r="A56" s="205" t="s">
        <v>307</v>
      </c>
      <c r="B56" t="str">
        <f>HELPER!B124</f>
        <v xml:space="preserve">uc0039.source_factVCSSLast90_[:date_yyyymmdd]_v </v>
      </c>
      <c r="E56" s="279">
        <f t="shared" si="3"/>
        <v>1</v>
      </c>
      <c r="F56" s="279" t="str">
        <f t="shared" si="4"/>
        <v xml:space="preserve">&lt;td&gt;[:REPLACE_SOURCE_VIEW_NAME]&lt;/td&gt;&lt;td&gt;uc0039.source_factVCSSLast90_[:date_yyyymmdd]_v &lt;td&gt;&lt;/td&gt;  </v>
      </c>
    </row>
    <row r="57" spans="1:6">
      <c r="A57" s="205" t="s">
        <v>308</v>
      </c>
      <c r="B57" t="str">
        <f>IF('OUTPUT ICEBERG'!C15="", "select current_date --just so we do not try to execute empty sql statments..",'OUTPUT ICEBERG'!C15)</f>
        <v>Create Or Replace View uc0039.source_factVCSSLast90_[:date_yyyymmdd]_v  AS WITH _vcss_clean as ( select  wkVehicle, CAST(REPLACE(molastsms,'T',' ') as timestamp) as molastsms ,CAST(REPLACE(molastudp,'T',' ') as timestamp) as molastudp ,lakearrivaldate from uc0039.factVCSS ),  _max_vcss_90 AS (    SELECT  DISTINCT                 wkVehicle                 , CAST(max(molastsms) as date) latest_sms                 , CAST(max(molastudp) as date)  latest_udp                  ,'[:date_yyyy_mm_dd]' lake_arrival_date             FROM                  _vcss_clean  t1              where                  lakearrivaldate &lt;= '[:date_yyyy_mm_dd]'              GROUP BY t1.wkVehicle ), _has_communicated_last_90 AS ( SELECT             wkVehicle, 1 as has_communicated_last_90_days, latest_sms  ,   latest_udp,   lake_arrival_date             FROM                  _max_vcss_90              WHERE                  ((latest_sms &gt; (cast('[:date_yyyy_mm_dd]' as date)  - INTERVAL  '90' DAY))                  OR (latest_udp &gt; (cast('[:date_yyyy_mm_dd]' as date) - INTERVAL  '90' DAY))) ), _no_communication_last_90 AS ( select wkVehicle, 0 as has_communicated_last_90_days, null as latest_sms, null as latest_udp,  '[:date_yyyy_mm_dd]' as lake_arrival_date  from uc0039.dimVehicle  WHERE wkVehicle NOT in (select wkVehicle from _has_communicated_last_90) ) SELECT  wkVehicle, has_communicated_last_90_days,cast( latest_udp as date) as latest_udp,cast(latest_sms as date) as latest_sms, cast(lake_arrival_date as varchar)  as lake_arrival_date FROM _has_communicated_last_90   UNION ALL  SELECT wkVehicle, has_communicated_last_90_days,  CAST(latest_udp as date), cast(latest_sms as date),  cast(lake_arrival_date as varchar)  as lake_arrival_date  FROM _no_communication_last_90</v>
      </c>
      <c r="E57" s="279">
        <f t="shared" si="3"/>
        <v>1</v>
      </c>
      <c r="F57" s="279" t="str">
        <f t="shared" si="4"/>
        <v xml:space="preserve">&lt;td&gt;[:REPLACE_SOURCE_VIEW]&lt;/td&gt;&lt;td&gt;Create Or Replace View uc0039.source_factVCSSLast9&lt;td&gt;&lt;/td&gt;  </v>
      </c>
    </row>
    <row r="58" spans="1:6">
      <c r="A58" s="205" t="s">
        <v>309</v>
      </c>
      <c r="B58">
        <f>Options!B19</f>
        <v>1</v>
      </c>
      <c r="E58" s="279">
        <f t="shared" si="3"/>
        <v>1</v>
      </c>
      <c r="F58" s="279" t="str">
        <f t="shared" si="4"/>
        <v xml:space="preserve">&lt;td&gt;[:REPLACE_IS_SOURCE_VIEW_IN_USE]&lt;/td&gt;&lt;td&gt;1&lt;td&gt;&lt;/td&gt;  </v>
      </c>
    </row>
    <row r="59" spans="1:6">
      <c r="A59" s="205" t="s">
        <v>310</v>
      </c>
      <c r="B59" t="str">
        <f>'OUTPUT ICEBERG'!C25</f>
        <v>OPTIMIZE uc0039.factVCSSLast90 REWRITE DATA USING BIN_PACK</v>
      </c>
      <c r="E59" s="279">
        <f t="shared" si="3"/>
        <v>1</v>
      </c>
      <c r="F59" s="279" t="str">
        <f t="shared" si="4"/>
        <v xml:space="preserve">&lt;td&gt;[:REPLACE_OPTIMIZE_TABLE]&lt;/td&gt;&lt;td&gt;OPTIMIZE uc0039.factVCSSLast90 REWRITE DATA USING &lt;td&gt;&lt;/td&gt;  </v>
      </c>
    </row>
    <row r="60" spans="1:6">
      <c r="A60" s="205" t="s">
        <v>311</v>
      </c>
      <c r="B60" t="str">
        <f>TEST!E24</f>
        <v>VACUUM uc0039.factVCSSLast90</v>
      </c>
      <c r="E60" s="279">
        <f t="shared" si="3"/>
        <v>1</v>
      </c>
      <c r="F60" s="279" t="str">
        <f t="shared" si="4"/>
        <v xml:space="preserve">&lt;td&gt;[:REPLACE_VACUUM_TABLE]&lt;/td&gt;&lt;td&gt;VACUUM uc0039.factVCSSLast90&lt;td&gt;&lt;/td&gt;  </v>
      </c>
    </row>
    <row r="61" spans="1:6">
      <c r="A61" s="205" t="s">
        <v>312</v>
      </c>
      <c r="B61" t="str">
        <f ca="1">'OUTPUT ICEBERG'!C26</f>
        <v>SELECT  wkVehicle, COUNT(*) FROM uc0039.factVCSSLast90 WHERE   GROUP BY wkVehicle HAVING COUNT(*)&gt;1</v>
      </c>
      <c r="E61" s="279">
        <f t="shared" si="3"/>
        <v>1</v>
      </c>
      <c r="F61" s="279" t="str">
        <f t="shared" ca="1" si="4"/>
        <v xml:space="preserve">&lt;td&gt;[:REPLACE_VERIFY_WK_UNIQUE]&lt;/td&gt;&lt;td&gt;SELECT  wkVehicle, COUNT(*) FROM uc0039.factVCSSLa&lt;td&gt;&lt;/td&gt;  </v>
      </c>
    </row>
    <row r="62" spans="1:6">
      <c r="A62" s="205" t="s">
        <v>313</v>
      </c>
      <c r="B62" t="str">
        <f>'OUTPUT ICEBERG'!C27</f>
        <v/>
      </c>
      <c r="E62" s="279">
        <f t="shared" si="3"/>
        <v>1</v>
      </c>
      <c r="F62" s="279" t="str">
        <f t="shared" si="4"/>
        <v xml:space="preserve">&lt;td&gt;[:REPLACE_VERIFY_WK_NOT_NULL]&lt;/td&gt;&lt;td&gt;&lt;td&gt;&lt;/td&gt;  </v>
      </c>
    </row>
    <row r="63" spans="1:6">
      <c r="A63" s="205" t="s">
        <v>314</v>
      </c>
      <c r="B63" t="str">
        <f>'OUTPUT ICEBERG'!C28</f>
        <v/>
      </c>
      <c r="E63" s="279">
        <f t="shared" si="3"/>
        <v>1</v>
      </c>
      <c r="F63" s="279" t="str">
        <f t="shared" si="4"/>
        <v xml:space="preserve">&lt;td&gt;[:REPLACE_VERIFY_BK_UNIQUE]&lt;/td&gt;&lt;td&gt;&lt;td&gt;&lt;/td&gt;  </v>
      </c>
    </row>
    <row r="64" spans="1:6">
      <c r="E64" s="279">
        <f t="shared" si="3"/>
        <v>0</v>
      </c>
      <c r="F64" s="279" t="str">
        <f t="shared" si="4"/>
        <v/>
      </c>
    </row>
    <row r="65" spans="1:6">
      <c r="A65" s="201" t="s">
        <v>315</v>
      </c>
      <c r="B65" s="192"/>
      <c r="E65" s="279">
        <f t="shared" si="3"/>
        <v>0</v>
      </c>
      <c r="F65" s="279" t="str">
        <f t="shared" si="4"/>
        <v/>
      </c>
    </row>
    <row r="66" spans="1:6">
      <c r="A66" s="205" t="s">
        <v>316</v>
      </c>
      <c r="B66" t="str">
        <f ca="1">'OUTPUT EXTERNAL'!C13</f>
        <v>UNLOAD(SELECT wkVehicle, has_communicated_last_90_days, lake_arrival_date FROM uc0039.source_factVCSSLast90_[:date_yyyymmdd]_v   WHERE lake_arrival_date='[:date_yyyy_mm_dd]') TO  's3://uc0039-vgcs-odl-prod/db/factVCSSLast90/lake_arrival_date=[:date_yyyy_mm_dd]' WITH (format='parquet')</v>
      </c>
      <c r="E66" s="279">
        <f t="shared" ref="E66:E97" si="5">IF(LEFT(A66,2)="[:",1,0)</f>
        <v>1</v>
      </c>
      <c r="F66" s="279" t="str">
        <f t="shared" ca="1" si="4"/>
        <v xml:space="preserve">&lt;td&gt;[:REPLACE_UNLOAD_TABLE]&lt;/td&gt;&lt;td&gt;UNLOAD(SELECT wkVehicle, has_communicated_last_90_&lt;td&gt;&lt;/td&gt;  </v>
      </c>
    </row>
    <row r="67" spans="1:6">
      <c r="A67" s="205" t="s">
        <v>317</v>
      </c>
      <c r="B67" t="str">
        <f ca="1">B66</f>
        <v>UNLOAD(SELECT wkVehicle, has_communicated_last_90_days, lake_arrival_date FROM uc0039.source_factVCSSLast90_[:date_yyyymmdd]_v   WHERE lake_arrival_date='[:date_yyyy_mm_dd]') TO  's3://uc0039-vgcs-odl-prod/db/factVCSSLast90/lake_arrival_date=[:date_yyyy_mm_dd]' WITH (format='parquet')</v>
      </c>
      <c r="E67" s="279">
        <f t="shared" si="5"/>
        <v>1</v>
      </c>
      <c r="F67" s="279" t="str">
        <f t="shared" ca="1" si="4"/>
        <v xml:space="preserve">&lt;td&gt;[:REPLACE_UNLOAD_TARGET_PARTITION]&lt;/td&gt;&lt;td&gt;UNLOAD(SELECT wkVehicle, has_communicated_last_90_&lt;td&gt;&lt;/td&gt;  </v>
      </c>
    </row>
    <row r="68" spans="1:6">
      <c r="A68" s="205" t="s">
        <v>318</v>
      </c>
      <c r="B68" t="str">
        <f ca="1">IF( 'OUTPUT EXTERNAL'!C14="","SELECT current_date", 'OUTPUT EXTERNAL'!C14)</f>
        <v>ALTER TABLE uc0039.factVCSSLast90 ADD IF NOT EXISTS PARTITION  (lake_arrival_date='[:date_yyyy_mm_dd]')</v>
      </c>
      <c r="E68" s="279">
        <f t="shared" si="5"/>
        <v>1</v>
      </c>
      <c r="F68" s="279" t="str">
        <f t="shared" ca="1" si="4"/>
        <v xml:space="preserve">&lt;td&gt;[:REPLACE_ADD_PARTITION]&lt;/td&gt;&lt;td&gt;ALTER TABLE uc0039.factVCSSLast90 ADD IF NOT EXIST&lt;td&gt;&lt;/td&gt;  </v>
      </c>
    </row>
    <row r="69" spans="1:6">
      <c r="A69" s="205" t="s">
        <v>319</v>
      </c>
      <c r="B69" t="str">
        <f ca="1">B68</f>
        <v>ALTER TABLE uc0039.factVCSSLast90 ADD IF NOT EXISTS PARTITION  (lake_arrival_date='[:date_yyyy_mm_dd]')</v>
      </c>
      <c r="C69" t="s">
        <v>270</v>
      </c>
      <c r="E69" s="279">
        <f t="shared" si="5"/>
        <v>1</v>
      </c>
      <c r="F69" s="279" t="str">
        <f t="shared" ca="1" si="4"/>
        <v xml:space="preserve">&lt;td&gt;[:REPLACE_ADD_TARGET_PARTITION]&lt;/td&gt;&lt;td&gt;ALTER TABLE uc0039.factVCSSLast90 ADD IF NOT EXIST&lt;td&gt;Synonym&lt;/td&gt;  </v>
      </c>
    </row>
    <row r="70" spans="1:6">
      <c r="A70" s="205" t="s">
        <v>320</v>
      </c>
      <c r="B70" t="str">
        <f ca="1">'OUTPUT EXTERNAL'!C15</f>
        <v>SELECT COUNT(*) FROM uc0039.factVCSSLast90 WHERE lake_arrival_date='[:date_yyyy_mm_dd]'</v>
      </c>
      <c r="E70" s="279">
        <f t="shared" si="5"/>
        <v>1</v>
      </c>
      <c r="F70" s="279" t="str">
        <f t="shared" ca="1" si="4"/>
        <v xml:space="preserve">&lt;td&gt;[:REPLACE_VERIFY_PARTITION_ROW_COUNT]&lt;/td&gt;&lt;td&gt;SELECT COUNT(*) FROM uc0039.factVCSSLast90 WHERE l&lt;td&gt;&lt;/td&gt;  </v>
      </c>
    </row>
    <row r="71" spans="1:6">
      <c r="A71" s="205" t="s">
        <v>321</v>
      </c>
      <c r="B71" t="str">
        <f ca="1">REPLACE_VERIFY_PARTITION_ROW_COUNT</f>
        <v>SELECT COUNT(*) FROM uc0039.factVCSSLast90 WHERE lake_arrival_date='[:date_yyyy_mm_dd]'</v>
      </c>
      <c r="C71" t="s">
        <v>270</v>
      </c>
      <c r="E71" s="279">
        <f t="shared" si="5"/>
        <v>1</v>
      </c>
      <c r="F71" s="279" t="str">
        <f t="shared" ca="1" si="4"/>
        <v xml:space="preserve">&lt;td&gt;[:REPLACE_VERIFY_TARGET_PARTITION_ROW_COUNT]&lt;/td&gt;&lt;td&gt;SELECT COUNT(*) FROM uc0039.factVCSSLast90 WHERE l&lt;td&gt;Synonym&lt;/td&gt;  </v>
      </c>
    </row>
    <row r="72" spans="1:6">
      <c r="E72" s="279">
        <f t="shared" si="5"/>
        <v>0</v>
      </c>
      <c r="F72" s="279" t="str">
        <f t="shared" si="4"/>
        <v/>
      </c>
    </row>
    <row r="73" spans="1:6">
      <c r="E73" s="279">
        <f t="shared" si="5"/>
        <v>0</v>
      </c>
      <c r="F73" s="279" t="str">
        <f t="shared" si="4"/>
        <v/>
      </c>
    </row>
    <row r="74" spans="1:6">
      <c r="E74" s="279">
        <f t="shared" si="5"/>
        <v>0</v>
      </c>
      <c r="F74" s="279" t="str">
        <f t="shared" si="4"/>
        <v/>
      </c>
    </row>
    <row r="75" spans="1:6">
      <c r="A75" s="30" t="s">
        <v>322</v>
      </c>
      <c r="B75" s="192"/>
      <c r="E75" s="279">
        <f t="shared" si="5"/>
        <v>0</v>
      </c>
      <c r="F75" s="279" t="str">
        <f t="shared" si="4"/>
        <v/>
      </c>
    </row>
    <row r="76" spans="1:6">
      <c r="A76" t="s">
        <v>323</v>
      </c>
      <c r="B76" t="s">
        <v>324</v>
      </c>
      <c r="E76" s="279">
        <f t="shared" si="5"/>
        <v>1</v>
      </c>
      <c r="F76" s="279" t="str">
        <f t="shared" ref="F76:F107" si="6">IF(E76=1,"&lt;td&gt;" &amp; A76 &amp; "&lt;/td&gt;&lt;td&gt;" &amp; LEFT(B76,50) &amp; "&lt;td&gt;" &amp; C76 &amp; "&lt;/td&gt;  ","")</f>
        <v xml:space="preserve">&lt;td&gt;[:REPLACE_RAW_BUCKET_NAME]&lt;/td&gt;&lt;td&gt;odl-raw.prod.shared.eu-west-1.prod.aws.vgthosting.&lt;td&gt;&lt;/td&gt;  </v>
      </c>
    </row>
    <row r="77" spans="1:6">
      <c r="A77" t="s">
        <v>325</v>
      </c>
      <c r="B77" t="s">
        <v>326</v>
      </c>
      <c r="E77" s="279">
        <f t="shared" si="5"/>
        <v>1</v>
      </c>
      <c r="F77" s="279" t="str">
        <f t="shared" si="6"/>
        <v xml:space="preserve">&lt;td&gt;[:REPLACE_RAW_DMS_BUCKET_NAME]&lt;/td&gt;&lt;td&gt;raw-dms-odl-prod&lt;td&gt;&lt;/td&gt;  </v>
      </c>
    </row>
    <row r="78" spans="1:6">
      <c r="A78" t="s">
        <v>327</v>
      </c>
      <c r="B78" t="s">
        <v>328</v>
      </c>
      <c r="E78" s="279">
        <f t="shared" si="5"/>
        <v>1</v>
      </c>
      <c r="F78" s="279" t="str">
        <f t="shared" si="6"/>
        <v xml:space="preserve">&lt;td&gt;[:REPLACE_STAGED_BUCKET_NAME]&lt;/td&gt;&lt;td&gt;staged-odl-prod&lt;td&gt;&lt;/td&gt;  </v>
      </c>
    </row>
    <row r="79" spans="1:6">
      <c r="E79" s="279">
        <f t="shared" si="5"/>
        <v>0</v>
      </c>
      <c r="F79" s="279" t="str">
        <f t="shared" si="6"/>
        <v/>
      </c>
    </row>
    <row r="80" spans="1:6">
      <c r="E80" s="279">
        <f t="shared" si="5"/>
        <v>0</v>
      </c>
      <c r="F80" s="279" t="str">
        <f t="shared" si="6"/>
        <v/>
      </c>
    </row>
    <row r="81" spans="1:6">
      <c r="E81" s="279">
        <f t="shared" si="5"/>
        <v>0</v>
      </c>
      <c r="F81" s="279" t="str">
        <f t="shared" si="6"/>
        <v/>
      </c>
    </row>
    <row r="82" spans="1:6">
      <c r="A82" s="30" t="s">
        <v>329</v>
      </c>
      <c r="B82" s="30"/>
      <c r="E82" s="279">
        <f t="shared" si="5"/>
        <v>0</v>
      </c>
      <c r="F82" s="279" t="str">
        <f t="shared" si="6"/>
        <v/>
      </c>
    </row>
    <row r="83" spans="1:6">
      <c r="A83" t="s">
        <v>330</v>
      </c>
      <c r="E83" s="279">
        <f t="shared" si="5"/>
        <v>1</v>
      </c>
      <c r="F83" s="279" t="str">
        <f t="shared" si="6"/>
        <v xml:space="preserve">&lt;td&gt;[:REPLACE_CREATE_RAW_TABLE]&lt;/td&gt;&lt;td&gt;&lt;td&gt;&lt;/td&gt;  </v>
      </c>
    </row>
    <row r="84" spans="1:6">
      <c r="A84" t="s">
        <v>331</v>
      </c>
      <c r="E84" s="279">
        <f t="shared" si="5"/>
        <v>1</v>
      </c>
      <c r="F84" s="279" t="str">
        <f t="shared" si="6"/>
        <v xml:space="preserve">&lt;td&gt;[:REPLACE_ADD_RAW_PARTITION]&lt;/td&gt;&lt;td&gt;&lt;td&gt;&lt;/td&gt;  </v>
      </c>
    </row>
    <row r="85" spans="1:6">
      <c r="A85" t="s">
        <v>332</v>
      </c>
      <c r="B85" t="str">
        <f>'RAW-TO-STAGED'!B2</f>
        <v>raw_tracking</v>
      </c>
      <c r="E85" s="279">
        <f t="shared" si="5"/>
        <v>1</v>
      </c>
      <c r="F85" s="279" t="str">
        <f t="shared" si="6"/>
        <v xml:space="preserve">&lt;td&gt;[:REPLACE_RAW_DATABASE_NAME]&lt;/td&gt;&lt;td&gt;raw_tracking&lt;td&gt;&lt;/td&gt;  </v>
      </c>
    </row>
    <row r="86" spans="1:6">
      <c r="A86" t="s">
        <v>333</v>
      </c>
      <c r="B86" t="str">
        <f>'RAW-TO-STAGED'!B3</f>
        <v>raw_tracking</v>
      </c>
      <c r="E86" s="279">
        <f t="shared" si="5"/>
        <v>1</v>
      </c>
      <c r="F86" s="279" t="str">
        <f t="shared" si="6"/>
        <v xml:space="preserve">&lt;td&gt;[:REPLACE_RAW_TABLE_NAME]&lt;/td&gt;&lt;td&gt;raw_tracking&lt;td&gt;&lt;/td&gt;  </v>
      </c>
    </row>
    <row r="87" spans="1:6">
      <c r="A87" t="s">
        <v>334</v>
      </c>
      <c r="B87" t="str">
        <f>'RAW-TO-STAGED'!B5</f>
        <v>te2odl</v>
      </c>
      <c r="E87" s="279">
        <f t="shared" si="5"/>
        <v>1</v>
      </c>
      <c r="F87" s="279" t="str">
        <f t="shared" si="6"/>
        <v xml:space="preserve">&lt;td&gt;[:REPLACE_RAW_PREFIX]&lt;/td&gt;&lt;td&gt;te2odl&lt;td&gt;&lt;/td&gt;  </v>
      </c>
    </row>
    <row r="88" spans="1:6">
      <c r="A88" t="s">
        <v>335</v>
      </c>
      <c r="B88" t="str">
        <f>'RAW-TO-STAGED'!B5&amp;IF('RAW-TO-STAGED'!B7="","",IF('RAW-TO-STAGED'!B7="Daily","[:date_yyyymmdd]'",IF('RAW-TO-STAGED'!B7="Hourly","/[:date_yyyymmdd]/[:hour]","")))</f>
        <v>te2odl/[:date_yyyymmdd]/[:hour]</v>
      </c>
      <c r="E88" s="279">
        <f t="shared" si="5"/>
        <v>1</v>
      </c>
      <c r="F88" s="279" t="str">
        <f t="shared" si="6"/>
        <v xml:space="preserve">&lt;td&gt;[:REPLACE_RAW_PARTITION_PREFIX]&lt;/td&gt;&lt;td&gt;te2odl/[:date_yyyymmdd]/[:hour]&lt;td&gt;&lt;/td&gt;  </v>
      </c>
    </row>
    <row r="89" spans="1:6">
      <c r="A89" t="s">
        <v>336</v>
      </c>
      <c r="B89" t="str">
        <f>IF('RAW-TO-STAGED'!B4="API",REPLACE_RAW_BUCKET_NAME,REPLACE_RAW_DMS_BUCKET_NAME)</f>
        <v>odl-raw.prod.shared.eu-west-1.prod.aws.vgthosting.net</v>
      </c>
      <c r="E89" s="279">
        <f t="shared" si="5"/>
        <v>1</v>
      </c>
      <c r="F89" s="279" t="str">
        <f t="shared" si="6"/>
        <v xml:space="preserve">&lt;td&gt;[:REPLACE_RAW_BUCKET]&lt;/td&gt;&lt;td&gt;odl-raw.prod.shared.eu-west-1.prod.aws.vgthosting.&lt;td&gt;&lt;/td&gt;  </v>
      </c>
    </row>
    <row r="90" spans="1:6">
      <c r="A90" t="s">
        <v>337</v>
      </c>
      <c r="B90" t="str">
        <f>"s3://" &amp; REPLACE_RAW_BUCKET &amp; "/" &amp;B88 &amp; "/"</f>
        <v>s3://odl-raw.prod.shared.eu-west-1.prod.aws.vgthosting.net/te2odl/[:date_yyyymmdd]/[:hour]/</v>
      </c>
      <c r="E90" s="279">
        <f t="shared" si="5"/>
        <v>1</v>
      </c>
      <c r="F90" s="279" t="str">
        <f t="shared" si="6"/>
        <v xml:space="preserve">&lt;td&gt;[:REPLACE_RAW_PARTITION_S3_PATH]&lt;/td&gt;&lt;td&gt;s3://odl-raw.prod.shared.eu-west-1.prod.aws.vgthos&lt;td&gt;&lt;/td&gt;  </v>
      </c>
    </row>
    <row r="91" spans="1:6">
      <c r="E91" s="279">
        <f t="shared" si="5"/>
        <v>0</v>
      </c>
      <c r="F91" s="279" t="str">
        <f t="shared" si="6"/>
        <v/>
      </c>
    </row>
    <row r="92" spans="1:6">
      <c r="E92" s="279">
        <f t="shared" si="5"/>
        <v>0</v>
      </c>
      <c r="F92" s="279" t="str">
        <f t="shared" si="6"/>
        <v/>
      </c>
    </row>
    <row r="93" spans="1:6">
      <c r="A93" t="s">
        <v>338</v>
      </c>
      <c r="E93" s="279">
        <f t="shared" si="5"/>
        <v>0</v>
      </c>
      <c r="F93" s="279" t="str">
        <f t="shared" si="6"/>
        <v/>
      </c>
    </row>
    <row r="94" spans="1:6">
      <c r="A94" t="s">
        <v>339</v>
      </c>
      <c r="B94" t="str">
        <f ca="1">COLHELPER!CD152</f>
        <v/>
      </c>
      <c r="E94" s="279">
        <f t="shared" si="5"/>
        <v>1</v>
      </c>
      <c r="F94" s="279" t="str">
        <f t="shared" ca="1" si="6"/>
        <v xml:space="preserve">&lt;td&gt;[:REPLACE_LIST_OF_QUALIFIED_DIMENSIONS]&lt;/td&gt;&lt;td&gt;&lt;td&gt;&lt;/td&gt;  </v>
      </c>
    </row>
    <row r="95" spans="1:6">
      <c r="A95" t="s">
        <v>340</v>
      </c>
      <c r="B95" t="str">
        <f ca="1">_xlfn.TEXTJOIN(",",TRUE,DIMENSIONS!A2:J2)</f>
        <v/>
      </c>
      <c r="E95" s="279">
        <f t="shared" si="5"/>
        <v>1</v>
      </c>
      <c r="F95" s="279" t="str">
        <f t="shared" ca="1" si="6"/>
        <v xml:space="preserve">&lt;td&gt;[:REPLACE_LIST_OF_DIMENSIONS]&lt;/td&gt;&lt;td&gt;&lt;td&gt;&lt;/td&gt;  </v>
      </c>
    </row>
    <row r="96" spans="1:6">
      <c r="A96" t="s">
        <v>341</v>
      </c>
      <c r="B96" t="str">
        <f>_xlfn.TEXTJOIN(" AND ",TRUE,DIMENSIONS!L4:L16)</f>
        <v/>
      </c>
      <c r="E96" s="279">
        <f t="shared" si="5"/>
        <v>1</v>
      </c>
      <c r="F96" s="279" t="str">
        <f t="shared" si="6"/>
        <v xml:space="preserve">&lt;td&gt;[:REPLACE_DIM1_JOINS]&lt;/td&gt;&lt;td&gt;&lt;td&gt;&lt;/td&gt;  </v>
      </c>
    </row>
    <row r="97" spans="1:6">
      <c r="A97" t="s">
        <v>342</v>
      </c>
      <c r="B97" t="str">
        <f>_xlfn.TEXTJOIN(" AND ",TRUE,DIMENSIONS!M4:M16)</f>
        <v/>
      </c>
      <c r="E97" s="279">
        <f t="shared" si="5"/>
        <v>1</v>
      </c>
      <c r="F97" s="279" t="str">
        <f t="shared" si="6"/>
        <v xml:space="preserve">&lt;td&gt;[:REPLACE_DIM2_JOINS]&lt;/td&gt;&lt;td&gt;&lt;td&gt;&lt;/td&gt;  </v>
      </c>
    </row>
    <row r="98" spans="1:6">
      <c r="A98" t="s">
        <v>343</v>
      </c>
      <c r="B98" t="str">
        <f>_xlfn.TEXTJOIN(" AND ",TRUE,DIMENSIONS!N4:N16)</f>
        <v/>
      </c>
      <c r="E98" s="279">
        <f t="shared" ref="E98:E129" si="7">IF(LEFT(A98,2)="[:",1,0)</f>
        <v>1</v>
      </c>
      <c r="F98" s="279" t="str">
        <f t="shared" si="6"/>
        <v xml:space="preserve">&lt;td&gt;[:REPLACE_DIM3_JOINS]&lt;/td&gt;&lt;td&gt;&lt;td&gt;&lt;/td&gt;  </v>
      </c>
    </row>
    <row r="99" spans="1:6">
      <c r="A99" t="s">
        <v>344</v>
      </c>
      <c r="B99" t="str">
        <f>_xlfn.TEXTJOIN(" AND ",TRUE,DIMENSIONS!O4:O16)</f>
        <v/>
      </c>
      <c r="E99" s="279">
        <f t="shared" si="7"/>
        <v>1</v>
      </c>
      <c r="F99" s="279" t="str">
        <f t="shared" si="6"/>
        <v xml:space="preserve">&lt;td&gt;[:REPLACE_DIM4_JOINS]&lt;/td&gt;&lt;td&gt;&lt;td&gt;&lt;/td&gt;  </v>
      </c>
    </row>
    <row r="100" spans="1:6">
      <c r="A100" t="s">
        <v>345</v>
      </c>
      <c r="B100" t="str">
        <f>_xlfn.TEXTJOIN(" AND ",TRUE,DIMENSIONS!P4:P16)</f>
        <v/>
      </c>
      <c r="E100" s="279">
        <f t="shared" si="7"/>
        <v>1</v>
      </c>
      <c r="F100" s="279" t="str">
        <f t="shared" si="6"/>
        <v xml:space="preserve">&lt;td&gt;[:REPLACE_DIM5_JOINS]&lt;/td&gt;&lt;td&gt;&lt;td&gt;&lt;/td&gt;  </v>
      </c>
    </row>
    <row r="101" spans="1:6">
      <c r="E101" s="279">
        <f t="shared" si="7"/>
        <v>0</v>
      </c>
      <c r="F101" s="279" t="str">
        <f t="shared" si="6"/>
        <v/>
      </c>
    </row>
    <row r="102" spans="1:6">
      <c r="E102" s="279">
        <f t="shared" si="7"/>
        <v>0</v>
      </c>
      <c r="F102" s="279" t="str">
        <f t="shared" si="6"/>
        <v/>
      </c>
    </row>
    <row r="103" spans="1:6">
      <c r="A103" t="s">
        <v>346</v>
      </c>
      <c r="B103" t="str">
        <f ca="1">IF(Options!B7=1,'STAGE VIEW 1'!B12, 'STAGE VIEW 1'!C5)</f>
        <v>WITH t1 as (SELECT f.wkVehicle AS wkVehicle, 1 AS has_communicated_last_90_days, f.lake_arrival_date AS lake_arrival_date, CAST(f.timestamp as timestamp)  AS last_modified_timestamp  FROM uc0039.source_factVCSSLast90_[:date_yyyymmdd]_v  f )  SELECT wkVehicle, has_communicated_last_90_days, lake_arrival_date,CAST( '' as varchar(1)) as hashkey, load_date, last_modified_timestamp FROM t1</v>
      </c>
      <c r="E103" s="279">
        <f t="shared" si="7"/>
        <v>1</v>
      </c>
      <c r="F103" s="279" t="str">
        <f t="shared" ca="1" si="6"/>
        <v xml:space="preserve">&lt;td&gt;[:REPLACE_STAGE_VIEW_SELECT]&lt;/td&gt;&lt;td&gt;WITH t1 as (SELECT f.wkVehicle AS wkVehicle, 1 AS &lt;td&gt;&lt;/td&gt;  </v>
      </c>
    </row>
    <row r="104" spans="1:6">
      <c r="E104" s="279">
        <f t="shared" si="7"/>
        <v>0</v>
      </c>
      <c r="F104" s="279" t="str">
        <f t="shared" si="6"/>
        <v/>
      </c>
    </row>
    <row r="105" spans="1:6">
      <c r="E105" s="279">
        <f t="shared" si="7"/>
        <v>0</v>
      </c>
      <c r="F105" s="279" t="str">
        <f t="shared" si="6"/>
        <v/>
      </c>
    </row>
    <row r="106" spans="1:6">
      <c r="E106" s="279">
        <f t="shared" si="7"/>
        <v>0</v>
      </c>
      <c r="F106" s="279" t="str">
        <f t="shared" si="6"/>
        <v/>
      </c>
    </row>
    <row r="107" spans="1:6">
      <c r="A107" t="s">
        <v>347</v>
      </c>
      <c r="E107" s="279">
        <f t="shared" si="7"/>
        <v>0</v>
      </c>
      <c r="F107" s="279" t="str">
        <f t="shared" si="6"/>
        <v/>
      </c>
    </row>
    <row r="108" spans="1:6">
      <c r="A108" s="280" t="s">
        <v>348</v>
      </c>
      <c r="B108" t="str">
        <f>IF(USERINPUT_TABLE_DESCRIPTION="","",USERINPUT_TABLE_DESCRIPTION)</f>
        <v>A fact table containing all vehicles and an idication if the vehicle has comminicated (vcss) the last 90 days or not. 1 menas that the vehicle has communicated and 0 means that it has not.
One full partition per calender day.</v>
      </c>
      <c r="E108" s="279">
        <f t="shared" si="7"/>
        <v>1</v>
      </c>
      <c r="F108" s="279" t="str">
        <f t="shared" ref="F108" si="8">IF(E108=1,"&lt;td&gt;" &amp; A108 &amp; "&lt;/td&gt;&lt;td&gt;" &amp; LEFT(B108,50) &amp; "&lt;td&gt;" &amp; C108 &amp; "&lt;/td&gt;  ","")</f>
        <v xml:space="preserve">&lt;td&gt;[:REPLACE_TABLE_DESCRIPTION]&lt;/td&gt;&lt;td&gt;A fact table containing all vehicles and an idicat&lt;td&gt;&lt;/td&gt;  </v>
      </c>
    </row>
    <row r="109" spans="1:6">
      <c r="A109" s="280" t="s">
        <v>349</v>
      </c>
      <c r="B109" t="str">
        <f ca="1">html!B4</f>
        <v>&lt;table&gt;&lt;th class=''&gt;Target Column Name&lt;/th&gt;&lt;th class=''&gt;Source Column Name&lt;/th&gt;&lt;th class=''&gt;Target Data Type&lt;/th&gt;&lt;th class=''&gt;Source Data Type&lt;/th&gt;&lt;th class=''&gt;SCD-TYPE&lt;/th&gt;&lt;th class=''&gt;Partition by&lt;/th&gt;&lt;th class=''&gt;Calculation&lt;/th&gt;&lt;th class=''&gt;BUSINESS KEY&lt;/th&gt;&lt;th class=''&gt;WKKEy&lt;/th&gt;&lt;th class=''&gt;Lookup Dimension&lt;/th&gt;&lt;th class=''&gt;JOIN TYPE (LEFT or INNER)&lt;/th&gt;&lt;tr&gt;&lt;td&gt;wkVehicle&lt;td&gt;wkVehicle&lt;td&gt;bigint&lt;td&gt;bigint&lt;td&gt;&lt;td&gt;&lt;td&gt;&lt;td&gt;1&lt;td&gt;&lt;td&gt;&lt;td&gt;&lt;/td&gt;&lt;/tr&gt;&lt;tr&gt;&lt;td&gt;has_communicated_last_90_days&lt;td&gt;1 AS has_communicated_last_90_days&lt;td&gt;bigint&lt;td&gt;bigint&lt;td&gt;&lt;td&gt;&lt;td&gt;1&lt;td&gt;&lt;td&gt;&lt;td&gt;&lt;td&gt;&lt;/td&gt;&lt;/tr&gt;&lt;tr&gt;&lt;td&gt;lake_arrival_date&lt;td&gt;lake_arrival_date&lt;td&gt;string&lt;td&gt;string&lt;td&gt;&lt;td&gt;1&lt;td&gt;&lt;td&gt;&lt;td&gt;&lt;td&gt;&lt;td&gt;&lt;/td&gt;&lt;/tr&gt;&lt;/table&gt;</v>
      </c>
      <c r="E109" s="279">
        <f t="shared" si="7"/>
        <v>1</v>
      </c>
      <c r="F109" s="279" t="str">
        <f>IF(E109=1,"&lt;td&gt;" &amp; A109 &amp; "&lt;/td&gt;&lt;td&gt;" &amp; "" &amp; "&lt;td&gt;" &amp; C109 &amp; "&lt;/td&gt;  ","")</f>
        <v xml:space="preserve">&lt;td&gt;[:REPLACE_TABLE_TARGET_TABLE_HTML]&lt;/td&gt;&lt;td&gt;&lt;td&gt;&lt;/td&gt;  </v>
      </c>
    </row>
    <row r="110" spans="1:6">
      <c r="A110" s="215" t="s">
        <v>350</v>
      </c>
      <c r="B110" t="str">
        <f>IF(REPLACE_USE_SOURCE_VIEW=1, "Visible","Hidden")</f>
        <v>Visible</v>
      </c>
      <c r="E110" s="279">
        <f t="shared" si="7"/>
        <v>1</v>
      </c>
      <c r="F110" s="279" t="str">
        <f t="shared" ref="F110:F115" si="9">IF(E110=1,"&lt;td&gt;" &amp; A110 &amp; "&lt;/td&gt;&lt;td&gt;" &amp; LEFT(B110,50) &amp; "&lt;td&gt;" &amp; C110 &amp; "&lt;/td&gt;  ","")</f>
        <v xml:space="preserve">&lt;td&gt;[:REPLACE_SOURCE_VIEW_VISABILITY]&lt;/td&gt;&lt;td&gt;Visible&lt;td&gt;&lt;/td&gt;  </v>
      </c>
    </row>
    <row r="111" spans="1:6">
      <c r="A111" s="280" t="s">
        <v>351</v>
      </c>
      <c r="B111" t="str">
        <f>IF(Options!B19=0,"Visible","Hidden")</f>
        <v>Hidden</v>
      </c>
      <c r="E111" s="279">
        <f t="shared" si="7"/>
        <v>1</v>
      </c>
      <c r="F111" s="279" t="str">
        <f t="shared" si="9"/>
        <v xml:space="preserve">&lt;td&gt;[:REPLACE_SOURCE_TABLE_VISABILITY]&lt;/td&gt;&lt;td&gt;Hidden&lt;td&gt;&lt;/td&gt;  </v>
      </c>
    </row>
    <row r="112" spans="1:6">
      <c r="A112" s="280" t="s">
        <v>352</v>
      </c>
      <c r="B112" t="str">
        <f>IF(USERINPUT_SOURCE_VIEW_DESCRIPTION="","",USERINPUT_SOURCE_VIEW_DESCRIPTION)</f>
        <v>Custom source view</v>
      </c>
      <c r="E112" s="279">
        <f t="shared" si="7"/>
        <v>1</v>
      </c>
      <c r="F112" s="279" t="str">
        <f t="shared" si="9"/>
        <v xml:space="preserve">&lt;td&gt;[:REPLACE_SOURCE_VIEW_DESCRIPTION]&lt;/td&gt;&lt;td&gt;Custom source view&lt;td&gt;&lt;/td&gt;  </v>
      </c>
    </row>
    <row r="113" spans="1:6">
      <c r="A113" s="280" t="s">
        <v>353</v>
      </c>
      <c r="B113" t="str">
        <f>DIMENSIONS_JOIN_CONDITION_TABLE</f>
        <v>&lt;table&gt;&lt;th&gt;Dimension&lt;/th&gt;&lt;th&gt;Join Conditions&lt;/th&gt;&lt;/table&gt;</v>
      </c>
      <c r="E113" s="279">
        <f t="shared" si="7"/>
        <v>1</v>
      </c>
      <c r="F113" s="279" t="str">
        <f t="shared" si="9"/>
        <v xml:space="preserve">&lt;td&gt;[:REPLACE_DIMENSIONS_JOIN_CONDITION_TABLE]&lt;/td&gt;&lt;td&gt;&lt;table&gt;&lt;th&gt;Dimension&lt;/th&gt;&lt;th&gt;Join Conditions&lt;/th&gt;&lt;&lt;td&gt;&lt;/td&gt;  </v>
      </c>
    </row>
    <row r="114" spans="1:6">
      <c r="E114" s="279">
        <f t="shared" si="7"/>
        <v>0</v>
      </c>
      <c r="F114" s="279" t="str">
        <f t="shared" si="9"/>
        <v/>
      </c>
    </row>
    <row r="115" spans="1:6">
      <c r="E115" s="279">
        <f t="shared" si="7"/>
        <v>0</v>
      </c>
      <c r="F115" s="279" t="str">
        <f t="shared" si="9"/>
        <v/>
      </c>
    </row>
    <row r="116" spans="1:6">
      <c r="A116" t="s">
        <v>354</v>
      </c>
      <c r="B116" t="str">
        <f ca="1">G1</f>
        <v>&lt;table&gt;&lt;th&gt;Variable&lt;/th&gt;&lt;th&gt;Sample Value&lt;/th&gt;&lt;th&gt;comment&lt;/th&gt;&lt;tr&gt;&lt;td&gt;[:REPLACE_CURRENT_DATE]&lt;/td&gt;&lt;td&gt;2024-01-19 09:40&lt;td&gt;Current Date&lt;/td&gt;  &lt;/tr&gt;&lt;tr&gt;&lt;td&gt;[:REPLACE_CODEGEN_VERSION]&lt;/td&gt;&lt;td&gt;115&lt;td&gt;Version Number of the excel template used&lt;/td&gt;  &lt;/tr&gt;&lt;tr&gt;&lt;td&gt;[:REPLACE_TEMPLATE_NUMBER]&lt;/td&gt;&lt;td&gt;33&lt;td&gt;Data Load Template Number used&lt;/td&gt;  &lt;/tr&gt;&lt;tr&gt;&lt;td&gt;[:REPLACE_SOLUTION_NAME]&lt;/td&gt;&lt;td&gt;uc0039&lt;td&gt;Name of the solution&lt;/td&gt;  &lt;/tr&gt;&lt;tr&gt;&lt;td&gt;[:REPLACE_SOLUTION_LONG_NAME]&lt;/td&gt;&lt;td&gt;DO NOT USE&lt;td&gt;Long soulution name&lt;/td&gt;  &lt;/tr&gt;&lt;tr&gt;&lt;td&gt;[:REPLACE_DEPLOY_TO_ENVIRONMENT]&lt;/td&gt;&lt;td&gt;prod&lt;td&gt;To what enviroment the stuff should be deloyd to. Use cdk to let the cdk project decide this&lt;/td&gt;  &lt;/tr&gt;&lt;tr&gt;&lt;td&gt;[:REPLACE_AWS_STEPS_NAME]&lt;/td&gt;&lt;td&gt;uc0039_factVCSSLast90&lt;td&gt;Name of the AWS Steps State Machine&lt;/td&gt;  &lt;/tr&gt;&lt;tr&gt;&lt;td&gt;[:REPLACE_RESOURCE_IDENTIFIER]&lt;/td&gt;&lt;td&gt;uc0039_factVCSSLast90&lt;td&gt;SYNONYM&lt;/td&gt;  &lt;/tr&gt;&lt;tr&gt;&lt;td&gt;[:REPLACE_AWS_STEPS_LOOP_NAME]&lt;/td&gt;&lt;td&gt;uc0039_factVCSSLast90_template_33_loop&lt;td&gt;&lt;/td&gt;  &lt;/tr&gt;&lt;tr&gt;&lt;td&gt;[:REPLACE_HTML_DOC_FILENAME]&lt;/td&gt;&lt;td&gt;uc0039_factVCSSLast90.html&lt;td&gt;&lt;/td&gt;  &lt;/tr&gt;&lt;tr&gt;&lt;td&gt;[:REPLACE_AWS_ENVIRONMENT_UPPERCASE]&lt;/td&gt;&lt;td&gt;PROD&lt;td&gt;&lt;/td&gt;  &lt;/tr&gt;&lt;tr&gt;&lt;td&gt;[:REPLACE_AWS_REGION]&lt;/td&gt;&lt;td&gt;eu-west-1&lt;td&gt;&lt;/td&gt;  &lt;/tr&gt;&lt;tr&gt;&lt;td&gt;[:REPLACE_AWS_ACCOUNT_NUMBER]&lt;/td&gt;&lt;td&gt;761560768765&lt;td&gt;&lt;/td&gt;  &lt;/tr&gt;&lt;tr&gt;&lt;td&gt;[:REPLACE_ATHENA_OUTPUT_LOCATION]&lt;/td&gt;&lt;td&gt;s3://uc0039-vgcs-odl-prod/athena-query-result&lt;td&gt;&lt;/td&gt;  &lt;/tr&gt;&lt;tr&gt;&lt;td&gt;[:REPLACE_AWS_ATHENA_OUTPUT_S3_LOCATION]&lt;/td&gt;&lt;td&gt;s3://uc0039-vgcs-odl-prod/athena-query-result&lt;td&gt;&lt;/td&gt;  &lt;/tr&gt;&lt;tr&gt;&lt;td&gt;[:REPLACE_ATHENA_WORKGROUP]&lt;/td&gt;&lt;td&gt;uc0039&lt;td&gt;Synonym&lt;/td&gt;  &lt;/tr&gt;&lt;tr&gt;&lt;td&gt;[:REPLACE_BUCKET_NAME]&lt;/td&gt;&lt;td&gt;uc0039-vgcs-odl-prod&lt;td&gt;AWS S3 bucket for all tables in the solution&lt;/td&gt;  &lt;/tr&gt;&lt;tr&gt;&lt;td&gt;[:REPLACE_TARGET_BUCKET]&lt;/td&gt;&lt;td&gt;uc0039-vgcs-odl-prod&lt;td&gt;AWS S3 bucket for all tables in the solution (synonym)&lt;/td&gt;  &lt;/tr&gt;&lt;tr&gt;&lt;td&gt;[:REPLACE_TARGET_ROOT_PREFIX]&lt;/td&gt;&lt;td&gt;db&lt;td&gt;Root prefix for all tables in the solution&lt;/td&gt;  &lt;/tr&gt;&lt;tr&gt;&lt;td&gt;[:REPLACE_PREFIX]&lt;/td&gt;&lt;td&gt;db/factVCSSLast90/lake_arrival_date=[:date_yyyy_mm&lt;td&gt;AWS S3 prefix specific for this table&lt;/td&gt;  &lt;/tr&gt;&lt;tr&gt;&lt;td&gt;[:REPLACE_TARGET_PREFIX]&lt;/td&gt;&lt;td&gt;db/factVCSSLast90/lake_arrival_date=[:date_yyyy_mm&lt;td&gt;Synonym&lt;/td&gt;  &lt;/tr&gt;&lt;tr&gt;&lt;td&gt;[:REPLACE_TARGET_TABLE_PREFIX]&lt;/td&gt;&lt;td&gt;db/factVCSSLast90/lake_arrival_date=[:date_yyyy_mm&lt;td&gt;Synonym&lt;/td&gt;  &lt;/tr&gt;&lt;tr&gt;&lt;td&gt;[:REPLACE_TARGET_TABLE_S3_LOCATION]&lt;/td&gt;&lt;td&gt;s3://uc0039-vgcs-odl-prod/db/factVCSSLast90/lake_a&lt;td&gt;&lt;/td&gt;  &lt;/tr&gt;&lt;tr&gt;&lt;td&gt;[:REPLACE_FULL_SOURCE_TABLE_NAME]&lt;/td&gt;&lt;td&gt;.0&lt;td&gt;&lt;/td&gt;  &lt;/tr&gt;&lt;tr&gt;&lt;td&gt;[:REPLACE_SOURCE_TABLE_NAME]&lt;/td&gt;&lt;td&gt;0&lt;td&gt;&lt;/td&gt;  &lt;/tr&gt;&lt;tr&gt;&lt;td&gt;[:REPLACE_SOURCE_DATABASE]&lt;/td&gt;&lt;td&gt;&lt;td&gt;Blank if not in use if use source view is set to 1&lt;/td&gt;  &lt;/tr&gt;&lt;tr&gt;&lt;td&gt;[:REPLACE_DATABASE_NAME]&lt;/td&gt;&lt;td&gt;uc0039&lt;td&gt;&lt;/td&gt;  &lt;/tr&gt;&lt;tr&gt;&lt;td&gt;[:REPLACE_TARGET_DATABASE_NAME]&lt;/td&gt;&lt;td&gt;uc0039&lt;td&gt;Synonym&lt;/td&gt;  &lt;/tr&gt;&lt;tr&gt;&lt;td&gt;[:REPLACE_TABLE_NAME]&lt;/td&gt;&lt;td&gt;factVCSSLast90&lt;td&gt;&lt;/td&gt;  &lt;/tr&gt;&lt;tr&gt;&lt;td&gt;[:REPLACE_TARGET_TABLE_NAME]&lt;/td&gt;&lt;td&gt;factVCSSLast90&lt;td&gt;Synonym&lt;/td&gt;  &lt;/tr&gt;&lt;tr&gt;&lt;td&gt;[:REPLACE_DROP_TABLE]&lt;/td&gt;&lt;td&gt;drop table if exists uc0039.factVCSSLast90&lt;td&gt;&lt;/td&gt;  &lt;/tr&gt;&lt;tr&gt;&lt;td&gt;[:REPLACE_DROP_TARGET_TABLE]&lt;/td&gt;&lt;td&gt;drop table if exists uc0039.factVCSSLast90&lt;td&gt;Synonym&lt;/td&gt;  &lt;/tr&gt;&lt;tr&gt;&lt;td&gt;[:REPLACE_APPLY_DMA ON TABLE]&lt;/td&gt;&lt;td&gt;0&lt;td&gt;Should we join this table with DMA?&lt;/td&gt;  &lt;/tr&gt;&lt;tr&gt;&lt;td&gt;[:REPLACE_USE_SCD_2]&lt;/td&gt;&lt;td&gt;0&lt;td&gt;SCD-2 enabled for the table?&lt;/td&gt;  &lt;/tr&gt;&lt;tr&gt;&lt;td&gt;[:REPLACE_STAGE_VIEW]&lt;/td&gt;&lt;td&gt;CREATE OR REPLACE VIEW uc0039.source_factVCSSLast9&lt;td&gt;&lt;/td&gt;  &lt;/tr&gt;&lt;tr&gt;&lt;td&gt;[:REPLACE_CREATE_TARGET_TABLE]&lt;/td&gt;&lt;td&gt;CREATE TABLE IF NOT EXISTS  uc0039.factVCSSLast90(&lt;td&gt;&lt;/td&gt;  &lt;/tr&gt;&lt;tr&gt;&lt;td&gt;[:REPLACE_CREATE_TARGET_TABLE_EXTERNAL]&lt;/td&gt;&lt;td&gt;CREATE EXTERNAL TABLE IF NOT EXISTS  uc0039.factVC&lt;td&gt;&lt;/td&gt;  &lt;/tr&gt;&lt;tr&gt;&lt;td&gt;[:REPLACE_MISSING_MEMBER]&lt;/td&gt;&lt;td&gt;&lt;td&gt;&lt;/td&gt;  &lt;/tr&gt;&lt;tr&gt;&lt;td&gt;[:REPLACE_POPULATE_DATA]&lt;/td&gt;&lt;td&gt;MERGE INTO uc0039.factVCSSLast90 as trg USING uc00&lt;td&gt;&lt;/td&gt;  &lt;/tr&gt;&lt;tr&gt;&lt;td&gt;[:REPLACE_POPULATE_DATA_INCREMENTALY]&lt;/td&gt;&lt;td&gt;MERGE INTO uc0039.factVCSSLast90 as trg USING uc00&lt;td&gt;&lt;/td&gt;  &lt;/tr&gt;&lt;tr&gt;&lt;td&gt;[:REPLACE_SET_ISCURRENT_0]&lt;/td&gt;&lt;td&gt;&lt;td&gt;&lt;/td&gt;  &lt;/tr&gt;&lt;tr&gt;&lt;td&gt;[:REPLACE_SET_ISCURRENT_1]&lt;/td&gt;&lt;td&gt;&lt;td&gt;&lt;/td&gt;  &lt;/tr&gt;&lt;tr&gt;&lt;td&gt;[:REPLACE_CREATE_VIEW]&lt;/td&gt;&lt;td&gt;CREATE OR REPLACE VIEW uc0039.factVCSSLast90 AS WI&lt;td&gt;&lt;/td&gt;  &lt;/tr&gt;&lt;tr&gt;&lt;td&gt;[:REPLACE_DROP_STAGE_VIEW]&lt;/td&gt;&lt;td&gt;drop view uc0039.source_factVCSSLast90_[:date_yyyy&lt;td&gt;&lt;/td&gt;  &lt;/tr&gt;&lt;tr&gt;&lt;td&gt;[:REPLACE_DROP_SOURCE_VIEW]&lt;/td&gt;&lt;td&gt;drop view uc0039.source_factVCSSLast90_[:date_yyyy&lt;td&gt;&lt;/td&gt;  &lt;/tr&gt;&lt;tr&gt;&lt;td&gt;[:REPLACE_SOURCE_VIEW_NAME]&lt;/td&gt;&lt;td&gt;uc0039.source_factVCSSLast90_[:date_yyyymmdd]_v &lt;td&gt;&lt;/td&gt;  &lt;/tr&gt;&lt;tr&gt;&lt;td&gt;[:REPLACE_SOURCE_VIEW]&lt;/td&gt;&lt;td&gt;Create Or Replace View uc0039.source_factVCSSLast9&lt;td&gt;&lt;/td&gt;  &lt;/tr&gt;&lt;tr&gt;&lt;td&gt;[:REPLACE_IS_SOURCE_VIEW_IN_USE]&lt;/td&gt;&lt;td&gt;1&lt;td&gt;&lt;/td&gt;  &lt;/tr&gt;&lt;tr&gt;&lt;td&gt;[:REPLACE_OPTIMIZE_TABLE]&lt;/td&gt;&lt;td&gt;OPTIMIZE uc0039.factVCSSLast90 REWRITE DATA USING &lt;td&gt;&lt;/td&gt;  &lt;/tr&gt;&lt;tr&gt;&lt;td&gt;[:REPLACE_VACUUM_TABLE]&lt;/td&gt;&lt;td&gt;VACUUM uc0039.factVCSSLast90&lt;td&gt;&lt;/td&gt;  &lt;/tr&gt;&lt;tr&gt;&lt;td&gt;[:REPLACE_VERIFY_WK_UNIQUE]&lt;/td&gt;&lt;td&gt;SELECT  wkVehicle, COUNT(*) FROM uc0039.factVCSSLa&lt;td&gt;&lt;/td&gt;  &lt;/tr&gt;&lt;tr&gt;&lt;td&gt;[:REPLACE_VERIFY_WK_NOT_NULL]&lt;/td&gt;&lt;td&gt;&lt;td&gt;&lt;/td&gt;  &lt;/tr&gt;&lt;tr&gt;&lt;td&gt;[:REPLACE_VERIFY_BK_UNIQUE]&lt;/td&gt;&lt;td&gt;&lt;td&gt;&lt;/td&gt;  &lt;/tr&gt;&lt;tr&gt;&lt;td&gt;[:REPLACE_UNLOAD_TABLE]&lt;/td&gt;&lt;td&gt;UNLOAD(SELECT wkVehicle, has_communicated_last_90_&lt;td&gt;&lt;/td&gt;  &lt;/tr&gt;&lt;tr&gt;&lt;td&gt;[:REPLACE_UNLOAD_TARGET_PARTITION]&lt;/td&gt;&lt;td&gt;UNLOAD(SELECT wkVehicle, has_communicated_last_90_&lt;td&gt;&lt;/td&gt;  &lt;/tr&gt;&lt;tr&gt;&lt;td&gt;[:REPLACE_ADD_PARTITION]&lt;/td&gt;&lt;td&gt;ALTER TABLE uc0039.factVCSSLast90 ADD IF NOT EXIST&lt;td&gt;&lt;/td&gt;  &lt;/tr&gt;&lt;tr&gt;&lt;td&gt;[:REPLACE_ADD_TARGET_PARTITION]&lt;/td&gt;&lt;td&gt;ALTER TABLE uc0039.factVCSSLast90 ADD IF NOT EXIST&lt;td&gt;Synonym&lt;/td&gt;  &lt;/tr&gt;&lt;tr&gt;&lt;td&gt;[:REPLACE_VERIFY_PARTITION_ROW_COUNT]&lt;/td&gt;&lt;td&gt;SELECT COUNT(*) FROM uc0039.factVCSSLast90 WHERE l&lt;td&gt;&lt;/td&gt;  &lt;/tr&gt;&lt;tr&gt;&lt;td&gt;[:REPLACE_VERIFY_TARGET_PARTITION_ROW_COUNT]&lt;/td&gt;&lt;td&gt;SELECT COUNT(*) FROM uc0039.factVCSSLast90 WHERE l&lt;td&gt;Synonym&lt;/td&gt;  &lt;/tr&gt;&lt;tr&gt;&lt;td&gt;[:REPLACE_RAW_BUCKET_NAME]&lt;/td&gt;&lt;td&gt;odl-raw.prod.shared.eu-west-1.prod.aws.vgthosting.&lt;td&gt;&lt;/td&gt;  &lt;/tr&gt;&lt;tr&gt;&lt;td&gt;[:REPLACE_RAW_DMS_BUCKET_NAME]&lt;/td&gt;&lt;td&gt;raw-dms-odl-prod&lt;td&gt;&lt;/td&gt;  &lt;/tr&gt;&lt;tr&gt;&lt;td&gt;[:REPLACE_STAGED_BUCKET_NAME]&lt;/td&gt;&lt;td&gt;staged-odl-prod&lt;td&gt;&lt;/td&gt;  &lt;/tr&gt;&lt;tr&gt;&lt;td&gt;[:REPLACE_CREATE_RAW_TABLE]&lt;/td&gt;&lt;td&gt;&lt;td&gt;&lt;/td&gt;  &lt;/tr&gt;&lt;tr&gt;&lt;td&gt;[:REPLACE_ADD_RAW_PARTITION]&lt;/td&gt;&lt;td&gt;&lt;td&gt;&lt;/td&gt;  &lt;/tr&gt;&lt;tr&gt;&lt;td&gt;[:REPLACE_RAW_DATABASE_NAME]&lt;/td&gt;&lt;td&gt;raw_tracking&lt;td&gt;&lt;/td&gt;  &lt;/tr&gt;&lt;tr&gt;&lt;td&gt;[:REPLACE_RAW_TABLE_NAME]&lt;/td&gt;&lt;td&gt;raw_tracking&lt;td&gt;&lt;/td&gt;  &lt;/tr&gt;&lt;tr&gt;&lt;td&gt;[:REPLACE_RAW_PREFIX]&lt;/td&gt;&lt;td&gt;te2odl&lt;td&gt;&lt;/td&gt;  &lt;/tr&gt;&lt;tr&gt;&lt;td&gt;[:REPLACE_RAW_PARTITION_PREFIX]&lt;/td&gt;&lt;td&gt;te2odl/[:date_yyyymmdd]/[:hour]&lt;td&gt;&lt;/td&gt;  &lt;/tr&gt;&lt;tr&gt;&lt;td&gt;[:REPLACE_RAW_BUCKET]&lt;/td&gt;&lt;td&gt;odl-raw.prod.shared.eu-west-1.prod.aws.vgthosting.&lt;td&gt;&lt;/td&gt;  &lt;/tr&gt;&lt;tr&gt;&lt;td&gt;[:REPLACE_RAW_PARTITION_S3_PATH]&lt;/td&gt;&lt;td&gt;s3://odl-raw.prod.shared.eu-west-1.prod.aws.vgthos&lt;td&gt;&lt;/td&gt;  &lt;/tr&gt;&lt;tr&gt;&lt;td&gt;[:REPLACE_LIST_OF_QUALIFIED_DIMENSIONS]&lt;/td&gt;&lt;td&gt;&lt;td&gt;&lt;/td&gt;  &lt;/tr&gt;&lt;tr&gt;&lt;td&gt;[:REPLACE_LIST_OF_DIMENSIONS]&lt;/td&gt;&lt;td&gt;&lt;td&gt;&lt;/td&gt;  &lt;/tr&gt;&lt;tr&gt;&lt;td&gt;[:REPLACE_DIM1_JOINS]&lt;/td&gt;&lt;td&gt;&lt;td&gt;&lt;/td&gt;  &lt;/tr&gt;&lt;tr&gt;&lt;td&gt;[:REPLACE_DIM2_JOINS]&lt;/td&gt;&lt;td&gt;&lt;td&gt;&lt;/td&gt;  &lt;/tr&gt;&lt;tr&gt;&lt;td&gt;[:REPLACE_DIM3_JOINS]&lt;/td&gt;&lt;td&gt;&lt;td&gt;&lt;/td&gt;  &lt;/tr&gt;&lt;tr&gt;&lt;td&gt;[:REPLACE_DIM4_JOINS]&lt;/td&gt;&lt;td&gt;&lt;td&gt;&lt;/td&gt;  &lt;/tr&gt;&lt;tr&gt;&lt;td&gt;[:REPLACE_DIM5_JOINS]&lt;/td&gt;&lt;td&gt;&lt;td&gt;&lt;/td&gt;  &lt;/tr&gt;&lt;tr&gt;&lt;td&gt;[:REPLACE_STAGE_VIEW_SELECT]&lt;/td&gt;&lt;td&gt;WITH t1 as (SELECT f.wkVehicle AS wkVehicle, 1 AS &lt;td&gt;&lt;/td&gt;  &lt;/tr&gt;&lt;tr&gt;&lt;td&gt;[:REPLACE_TABLE_DESCRIPTION]&lt;/td&gt;&lt;td&gt;A fact table containing all vehicles and an idicat&lt;td&gt;&lt;/td&gt;  &lt;/tr&gt;&lt;tr&gt;&lt;td&gt;[:REPLACE_TABLE_TARGET_TABLE_HTML]&lt;/td&gt;&lt;td&gt;&lt;td&gt;&lt;/td&gt;  &lt;/tr&gt;&lt;tr&gt;&lt;td&gt;[:REPLACE_SOURCE_VIEW_VISABILITY]&lt;/td&gt;&lt;td&gt;Visible&lt;td&gt;&lt;/td&gt;  &lt;/tr&gt;&lt;tr&gt;&lt;td&gt;[:REPLACE_SOURCE_TABLE_VISABILITY]&lt;/td&gt;&lt;td&gt;Hidden&lt;td&gt;&lt;/td&gt;  &lt;/tr&gt;&lt;tr&gt;&lt;td&gt;[:REPLACE_SOURCE_VIEW_DESCRIPTION]&lt;/td&gt;&lt;td&gt;Custom source view&lt;td&gt;&lt;/td&gt;  &lt;/tr&gt;&lt;tr&gt;&lt;td&gt;[:REPLACE_DIMENSIONS_JOIN_CONDITION_TABLE]&lt;/td&gt;&lt;td&gt;&lt;table&gt;&lt;th&gt;Dimension&lt;/th&gt;&lt;th&gt;Join Conditions&lt;/th&gt;&lt;&lt;td&gt;&lt;/td&gt;  &lt;/tr&gt;&lt;tr&gt;&lt;td&gt;[:REPLACE_TEMPLATE_VARIABLES_TABLE]&lt;/td&gt;&lt;td&gt;&lt;td&gt;A list over available variables&lt;/td&gt;  &lt;/tr&gt;&lt;tr&gt;&lt;td&gt;[:REPLACE_HTML_TABLE_OF_TEMPLATES]&lt;/td&gt;&lt;td&gt;&lt;table&gt;&lt;th&gt;Template Number&lt;/th&gt;&lt;th&gt;Name&lt;/th&gt;&lt;th&gt;De&lt;td&gt;&lt;/td&gt;  &lt;/tr&gt;&lt;tr&gt;&lt;td&gt;[:REPLACE_HTML_TABLE_OF_DIMENSIONS]&lt;/td&gt;&lt;td&gt;&lt;td&gt;&lt;/td&gt;  &lt;/tr&gt;&lt;tr&gt;&lt;td&gt;[:REPLACE_USE_SOURCE_VIEW]&lt;/td&gt;&lt;td&gt;1&lt;td&gt;&lt;/td&gt;  &lt;/tr&gt;&lt;tr&gt;&lt;td&gt;[:REPLACE_CREATE_MINI_DIMENSION]&lt;/td&gt;&lt;td&gt;CREATE TABLE IF NOT EXISTS  uc0039.factVCSSLast90_&lt;td&gt;&lt;/td&gt;  &lt;/tr&gt;&lt;tr&gt;&lt;td&gt;[:REPLACE_POPULATE_MINI_DIMENSION]&lt;/td&gt;&lt;td&gt;MERGE INTO uc0039.factVCSSLast90_history AS trg   &lt;td&gt;&lt;/td&gt;  &lt;/tr&gt;&lt;tr&gt;&lt;td&gt;[:REPLACE_SET_ISCURRENT_0_MINI_DIMENSION]&lt;/td&gt;&lt;td&gt;UPDATE uc0039.factVCSSLast90_history SET iscurrent&lt;td&gt;&lt;/td&gt;  &lt;/tr&gt;&lt;tr&gt;&lt;td&gt;[:REPLACE_DROP_TABLE_MINI_DIMENSION]&lt;/td&gt;&lt;td&gt;drop table if exists uc0039.factVCSSLast90_history&lt;td&gt;&lt;/td&gt;  &lt;/tr&gt;&lt;tr&gt;&lt;td&gt;[:REPLACE_TABLE_NAME_MINI_DIMENSION]&lt;/td&gt;&lt;td&gt;factVCSSLast90_history&lt;td&gt;&lt;/td&gt;  &lt;/tr&gt;&lt;tr&gt;&lt;td&gt;[:REPLACE_MISSING_MEMBER_MINI_DIMENSION]&lt;/td&gt;&lt;td&gt;INSERT INTO uc0039.factVCSSLast90_history(,hashkey&lt;td&gt;&lt;/td&gt;  &lt;/tr&gt;&lt;tr&gt;&lt;td&gt;[:REPLACE_SET_ISCURRENT_1_MINI_DIMENSION]&lt;/td&gt;&lt;td&gt;&lt;td&gt;&lt;/td&gt;  &lt;/tr&gt;&lt;tr&gt;&lt;td&gt;[:REPLACE_OPTIMIZE_TABLE_MINI_DIMENSION]&lt;/td&gt;&lt;td&gt;OPTIMIZE uc0039.factVCSSLast90_history  REWRITE DA&lt;td&gt;&lt;/td&gt;  &lt;/tr&gt;&lt;tr&gt;&lt;td&gt;[:REPLACE_USE_MINI_DIMENSION]&lt;/td&gt;&lt;td&gt;0&lt;td&gt;Do we have any SCD-4 columns&lt;/td&gt;  &lt;/tr&gt;&lt;tr&gt;&lt;td&gt;[:REPLACE_TARGET_TABLE_NAME_MINI_DIMENSION]&lt;/td&gt;&lt;td&gt;uc0039.factVCSSLast90_history&lt;td&gt;&lt;/td&gt;  &lt;/tr&gt;&lt;tr&gt;&lt;td&gt;[:REPLACE_SCD4_CREATE_FACTLESSFACT_TABLE]&lt;/td&gt;&lt;td&gt;CREATE TABLE IF NOT EXISTS  uc0039.factfactVCSSLas&lt;td&gt;&lt;/td&gt;  &lt;/tr&gt;&lt;tr&gt;&lt;td&gt;[:REPLACE_HTML_SHOW_MINI_DIMENSION]&lt;/td&gt;&lt;td&gt;display: none&lt;td&gt;&lt;/td&gt;  &lt;/tr&gt;&lt;tr&gt;&lt;td&gt;[:REPLACE_SCD4_OPTIMIZE_FACTLESSFACT_TABLE]&lt;/td&gt;&lt;td&gt;OPTIMIZE uc0039.factfactVCSSLast90factVCSSLast90hi&lt;td&gt;&lt;/td&gt;  &lt;/tr&gt;&lt;tr&gt;&lt;td&gt;[:REPLACE_SCD4_FACTLESSFACT_DROP_TABLE]&lt;/td&gt;&lt;td&gt;drop table if exists uc0039.factfactVCSSLast90fact&lt;td&gt;&lt;/td&gt;  &lt;/tr&gt;&lt;tr&gt;&lt;td&gt;[:REPLACE_GENERATED_SOURCE_TABLE_SELECT]&lt;/td&gt;&lt;td&gt;&lt;td&gt;&lt;/td&gt;  &lt;/tr&gt;&lt;tr&gt;&lt;td&gt;[:REPLACE_SCD4_FACTLESSFACT_CREATE_INITIAL_LOAD_VIEW]&lt;/td&gt;&lt;td&gt;CREATE OR REPLACE VIEW uc0039.factfactVCSSLast90fa&lt;td&gt;&lt;/td&gt;  &lt;/tr&gt;&lt;tr&gt;&lt;td&gt;[:REPLACE_SCD4_FACTLESSFACT_INSERT_INITIAL_DATA]&lt;/td&gt;&lt;td&gt;INSERT INTO uc0039.factfactVCSSLast90factVCSSLast9&lt;td&gt;&lt;/td&gt;  &lt;/tr&gt;&lt;tr&gt;&lt;td&gt;[:REPLACE_LIST_OF_BK_IN_SOURCE]&lt;/td&gt;&lt;td&gt;wkVehicle&lt;td&gt;&lt;/td&gt;  &lt;/tr&gt;&lt;tr&gt;&lt;td&gt;[:REPLACE_TEST_SOURCE_BK]&lt;/td&gt;&lt;td&gt;WITH t1 As (SELECT wkVehicle FROM uc0039.source_fa&lt;td&gt;&lt;/td&gt;  &lt;/tr&gt;&lt;tr&gt;&lt;td&gt;[:REPLACE_SCD4_INITIAL_LOAD_MINI_DIM_SOURCE_TABLE_NAME]&lt;/td&gt;&lt;td&gt;odl_dwh_raw.common_dim_vehicle_tea2plus_history&lt;td&gt;&lt;/td&gt;  &lt;/tr&gt;&lt;tr&gt;&lt;td&gt;[:REPLACE_SCD4_INITIAL_LOAD_POPULATE_MINI_DIM]&lt;/td&gt;&lt;td&gt;MERGE INTO uc0039.factVCSSLast90_history AS trg   &lt;td&gt;&lt;/td&gt;  &lt;/tr&gt;&lt;tr&gt;&lt;td&gt;[:REPLACE_SCD4_INITIAL_LOAD_POPULATE_FACTLESSFACT]&lt;/td&gt;&lt;td&gt;INSERT INTO uc0039.factfactVCSSLast90factVCSSLast9&lt;td&gt;&lt;/td&gt;  &lt;/tr&gt;&lt;tr&gt;&lt;td&gt;[:REPLACE_SCD4_INITIAL_LOAD_MINI_DIM]&lt;/td&gt;&lt;td&gt;MERGE INTO uc0039.factVCSSLast90_history AS trg   &lt;td&gt;&lt;/td&gt;  &lt;/tr&gt;&lt;tr&gt;&lt;td&gt;[:REPLACE_SQL_CUSTOM_SOURCE_VIEW]&lt;/td&gt;&lt;td&gt;WITH _vcss_clean as (
select 
wkVehicle,
CAST(REPL&lt;td&gt;&lt;/td&gt;  &lt;/tr&gt;&lt;/table&gt;</v>
      </c>
      <c r="C116" t="s">
        <v>355</v>
      </c>
      <c r="E116" s="279">
        <f t="shared" si="7"/>
        <v>1</v>
      </c>
      <c r="F116" s="279" t="str">
        <f>IF(E116=1,"&lt;td&gt;" &amp; A116 &amp; "&lt;/td&gt;&lt;td&gt;" &amp; "" &amp; "&lt;td&gt;" &amp; C116 &amp; "&lt;/td&gt;  ","")</f>
        <v xml:space="preserve">&lt;td&gt;[:REPLACE_TEMPLATE_VARIABLES_TABLE]&lt;/td&gt;&lt;td&gt;&lt;td&gt;A list over available variables&lt;/td&gt;  </v>
      </c>
    </row>
    <row r="117" spans="1:6">
      <c r="A117" t="s">
        <v>356</v>
      </c>
      <c r="B117" t="str">
        <f>Templates!J1</f>
        <v>&lt;table&gt;&lt;th&gt;Template Number&lt;/th&gt;&lt;th&gt;Name&lt;/th&gt;&lt;th&gt;Description&lt;/th&gt;&lt;th&gt;&lt;/th&gt;&lt;th&gt;&lt;/th&gt;&lt;th&gt;Status&lt;/th&gt;&lt;tr&gt;&lt;td&gt;1&lt;/td&gt;&lt;td&gt;load dimension table as Iceberg&lt;/td&gt;&lt;td&gt;KIMBALL dimensional table. Supports SCD-1 and SCD-2. SCD-1 will update rows in the dimension and SCD-2 will add a new member each time an SCD-2 attribute is updated.&lt;/td&gt;&lt;td&gt;&lt;/td&gt;&lt;td&gt;&lt;/td&gt;&lt;td&gt;In production&lt;/td&gt;&lt;/tr&gt;&lt;tr&gt;&lt;td&gt;2&lt;/td&gt;&lt;td&gt;load fact table as EXTERNAL_TABLE (hive)&lt;/td&gt;&lt;td&gt;KIMBALL fact-table as External Table. If not partitioned the entire content will be replaced for each load. If partitioned by date then a new partition will be created each day.&lt;/td&gt;&lt;td&gt;&lt;/td&gt;&lt;td&gt;&lt;/td&gt;&lt;td&gt;In production&lt;/td&gt;&lt;/tr&gt;&lt;tr&gt;&lt;td&gt;3&lt;/td&gt;&lt;td&gt;load fact table as ICEBERG TABLE&lt;/td&gt;&lt;td&gt;KIMBALL fact-table as ICEBERG Table. Will update records already in the table and insert new records.&lt;/td&gt;&lt;td&gt;&lt;/td&gt;&lt;td&gt;&lt;/td&gt;&lt;td&gt;In production&lt;/td&gt;&lt;/tr&gt;&lt;tr&gt;&lt;td&gt;10&lt;/td&gt;&lt;td&gt;DATA VAULT Load hub&lt;/td&gt;&lt;td&gt;&lt;/td&gt;&lt;td&gt;&lt;/td&gt;&lt;td&gt;&lt;/td&gt;&lt;td&gt;DEV&lt;/td&gt;&lt;/tr&gt;&lt;tr&gt;&lt;td&gt;11&lt;/td&gt;&lt;td&gt;DATA VAULT Load sat&lt;/td&gt;&lt;td&gt;&lt;/td&gt;&lt;td&gt;&lt;/td&gt;&lt;td&gt;&lt;/td&gt;&lt;td&gt;DEV&lt;/td&gt;&lt;/tr&gt;&lt;tr&gt;&lt;td&gt;12&lt;/td&gt;&lt;td&gt;DATA VAULT Load Link&lt;/td&gt;&lt;td&gt;&lt;/td&gt;&lt;td&gt;&lt;/td&gt;&lt;td&gt;&lt;/td&gt;&lt;td&gt;DEV&lt;/td&gt;&lt;/tr&gt;&lt;tr&gt;&lt;td&gt;20&lt;/td&gt;&lt;td&gt;Create source view&lt;/td&gt;&lt;td&gt;Just creates the view mentioned in Custom Source View&lt;/td&gt;&lt;td&gt;&lt;/td&gt;&lt;td&gt;&lt;/td&gt;&lt;td&gt;&lt;/td&gt;&lt;/tr&gt;&lt;tr&gt;&lt;td&gt;33&lt;/td&gt;&lt;td&gt;Create and load partitioned external table from source&lt;/td&gt;&lt;td&gt;Creates EXTERNAL TABLE and loads partitions with UNLOAD&lt;/td&gt;&lt;td&gt;AWS Athena&lt;/td&gt;&lt;td&gt;AWS Steps&lt;/td&gt;&lt;td&gt;In production&lt;/td&gt;&lt;/tr&gt;&lt;tr&gt;&lt;td&gt;50&lt;/td&gt;&lt;td&gt;RAW-TO-STAGED parquet to iceberg&lt;/td&gt;&lt;td&gt;RAW TO STAGED. RAW Parquet files to STAGED Ice berg&lt;/td&gt;&lt;td&gt;&lt;/td&gt;&lt;td&gt;&lt;/td&gt;&lt;td&gt;Development&lt;/td&gt;&lt;/tr&gt;&lt;/table&gt;</v>
      </c>
      <c r="E117" s="279">
        <f t="shared" si="7"/>
        <v>1</v>
      </c>
      <c r="F117" s="279" t="str">
        <f t="shared" ref="F117:F124" si="10">IF(E117=1,"&lt;td&gt;" &amp; A117 &amp; "&lt;/td&gt;&lt;td&gt;" &amp; LEFT(B117,50) &amp; "&lt;td&gt;" &amp; C117 &amp; "&lt;/td&gt;  ","")</f>
        <v xml:space="preserve">&lt;td&gt;[:REPLACE_HTML_TABLE_OF_TEMPLATES]&lt;/td&gt;&lt;td&gt;&lt;table&gt;&lt;th&gt;Template Number&lt;/th&gt;&lt;th&gt;Name&lt;/th&gt;&lt;th&gt;De&lt;td&gt;&lt;/td&gt;  </v>
      </c>
    </row>
    <row r="118" spans="1:6">
      <c r="E118" s="279">
        <f t="shared" si="7"/>
        <v>0</v>
      </c>
      <c r="F118" s="279" t="str">
        <f t="shared" si="10"/>
        <v/>
      </c>
    </row>
    <row r="119" spans="1:6">
      <c r="E119" s="279">
        <f t="shared" si="7"/>
        <v>0</v>
      </c>
      <c r="F119" s="279" t="str">
        <f t="shared" si="10"/>
        <v/>
      </c>
    </row>
    <row r="120" spans="1:6">
      <c r="A120" t="s">
        <v>357</v>
      </c>
      <c r="E120" s="279">
        <f t="shared" si="7"/>
        <v>1</v>
      </c>
      <c r="F120" s="279" t="str">
        <f t="shared" si="10"/>
        <v xml:space="preserve">&lt;td&gt;[:REPLACE_HTML_TABLE_OF_DIMENSIONS]&lt;/td&gt;&lt;td&gt;&lt;td&gt;&lt;/td&gt;  </v>
      </c>
    </row>
    <row r="121" spans="1:6">
      <c r="E121" s="279">
        <f t="shared" si="7"/>
        <v>0</v>
      </c>
      <c r="F121" s="279" t="str">
        <f t="shared" si="10"/>
        <v/>
      </c>
    </row>
    <row r="122" spans="1:6">
      <c r="A122" t="s">
        <v>358</v>
      </c>
      <c r="B122">
        <f>USERINPUT_USE_SOURCE_VIEW</f>
        <v>1</v>
      </c>
      <c r="E122" s="279">
        <f t="shared" si="7"/>
        <v>1</v>
      </c>
      <c r="F122" s="279" t="str">
        <f t="shared" si="10"/>
        <v xml:space="preserve">&lt;td&gt;[:REPLACE_USE_SOURCE_VIEW]&lt;/td&gt;&lt;td&gt;1&lt;td&gt;&lt;/td&gt;  </v>
      </c>
    </row>
    <row r="123" spans="1:6">
      <c r="E123" s="279">
        <f t="shared" si="7"/>
        <v>0</v>
      </c>
      <c r="F123" s="279" t="str">
        <f t="shared" si="10"/>
        <v/>
      </c>
    </row>
    <row r="124" spans="1:6" s="192" customFormat="1">
      <c r="A124" s="30" t="s">
        <v>359</v>
      </c>
      <c r="E124" s="270">
        <f t="shared" si="7"/>
        <v>0</v>
      </c>
      <c r="F124" s="270" t="str">
        <f t="shared" si="10"/>
        <v/>
      </c>
    </row>
    <row r="125" spans="1:6">
      <c r="A125" s="280" t="s">
        <v>360</v>
      </c>
      <c r="B125" t="str">
        <f>'SCD4'!B28</f>
        <v>drop table if exists uc0039.factVCSSLast90_history</v>
      </c>
      <c r="E125" s="279">
        <f t="shared" si="7"/>
        <v>1</v>
      </c>
    </row>
    <row r="126" spans="1:6">
      <c r="A126" t="s">
        <v>361</v>
      </c>
      <c r="B126" s="269" t="str">
        <f ca="1">'SCD4'!B13</f>
        <v>CREATE TABLE IF NOT EXISTS  uc0039.factVCSSLast90_history (, hashkey string, load_date  Timestamp, last_modified_timestamp  Timestamp, IsCurrent int)    LOCATION 's3://uc0039-vgcs-odl-prod/db/factVCSSLast90_history' TBLPROPERTIES ( 'vacuum_max_snapshot_age_seconds' = '259200', 'optimize_rewrite_delete_file_threshold' = '50', 'write_target_data_file_size_bytes' = '536870912','table_type'='iceberg','format'='parquet')</v>
      </c>
      <c r="E126" s="279">
        <f t="shared" si="7"/>
        <v>1</v>
      </c>
      <c r="F126" s="279" t="str">
        <f ca="1">IF(E126=1,"&lt;td&gt;" &amp; A126 &amp; "&lt;/td&gt;&lt;td&gt;" &amp; LEFT(B126,50) &amp; "&lt;td&gt;" &amp; C126 &amp; "&lt;/td&gt;  ","")</f>
        <v xml:space="preserve">&lt;td&gt;[:REPLACE_CREATE_MINI_DIMENSION]&lt;/td&gt;&lt;td&gt;CREATE TABLE IF NOT EXISTS  uc0039.factVCSSLast90_&lt;td&gt;&lt;/td&gt;  </v>
      </c>
    </row>
    <row r="127" spans="1:6" ht="28.5" customHeight="1">
      <c r="A127" t="s">
        <v>362</v>
      </c>
      <c r="B127" s="195" t="str">
        <f ca="1">'SCD4'!B24</f>
        <v>MERGE INTO uc0039.factVCSSLast90_history AS trg   USING (SELECT ABS(from_big_endian_64(xxhash64(CAST(cast(uuid() as varchar) as varbinary)))) AS wkfactVCSSLast90_history, , lower(to_hex(md5(to_utf8(concat(,''))))) hashkey , max(last_modified_timestamp) last_modified_timestamp, MAX(load_date) as load_date, 1 IsCurrent FROM uc0039.stage_factVCSSLast90_v GROUP BY ) as src ON  WHEN NOT MATCHED THEN INSERT (,hashkey, load_date , last_modified_timestamp  , IsCurrent) VALUES (src.wkfactVCSSLast90_history, , src.hashkey, src.load_date, src.last_modified_timestamp , 1 )</v>
      </c>
      <c r="E127" s="279">
        <f t="shared" si="7"/>
        <v>1</v>
      </c>
      <c r="F127" s="279" t="str">
        <f ca="1">IF(E127=1,"&lt;td&gt;" &amp; A127 &amp; "&lt;/td&gt;&lt;td&gt;" &amp; LEFT(B127,50) &amp; "&lt;td&gt;" &amp; C127 &amp; "&lt;/td&gt;  ","")</f>
        <v xml:space="preserve">&lt;td&gt;[:REPLACE_POPULATE_MINI_DIMENSION]&lt;/td&gt;&lt;td&gt;MERGE INTO uc0039.factVCSSLast90_history AS trg   &lt;td&gt;&lt;/td&gt;  </v>
      </c>
    </row>
    <row r="128" spans="1:6">
      <c r="A128" t="s">
        <v>363</v>
      </c>
      <c r="B128" s="269" t="str">
        <f>'SCD4'!B26</f>
        <v>UPDATE uc0039.factVCSSLast90_history SET iscurrent=0</v>
      </c>
      <c r="E128" s="279">
        <f t="shared" si="7"/>
        <v>1</v>
      </c>
      <c r="F128" s="279" t="str">
        <f>IF(E128=1,"&lt;td&gt;" &amp; A128 &amp; "&lt;/td&gt;&lt;td&gt;" &amp; LEFT(B128,50) &amp; "&lt;td&gt;" &amp; C128 &amp; "&lt;/td&gt;  ","")</f>
        <v xml:space="preserve">&lt;td&gt;[:REPLACE_SET_ISCURRENT_0_MINI_DIMENSION]&lt;/td&gt;&lt;td&gt;UPDATE uc0039.factVCSSLast90_history SET iscurrent&lt;td&gt;&lt;/td&gt;  </v>
      </c>
    </row>
    <row r="129" spans="1:6">
      <c r="A129" t="s">
        <v>364</v>
      </c>
      <c r="B129" s="269" t="str">
        <f>'SCD4'!B28</f>
        <v>drop table if exists uc0039.factVCSSLast90_history</v>
      </c>
      <c r="E129" s="279">
        <f t="shared" si="7"/>
        <v>1</v>
      </c>
      <c r="F129" s="279" t="str">
        <f>IF(E129=1,"&lt;td&gt;" &amp; A129 &amp; "&lt;/td&gt;&lt;td&gt;" &amp; LEFT(B129,50) &amp; "&lt;td&gt;" &amp; C129 &amp; "&lt;/td&gt;  ","")</f>
        <v xml:space="preserve">&lt;td&gt;[:REPLACE_DROP_TABLE_MINI_DIMENSION]&lt;/td&gt;&lt;td&gt;drop table if exists uc0039.factVCSSLast90_history&lt;td&gt;&lt;/td&gt;  </v>
      </c>
    </row>
    <row r="130" spans="1:6">
      <c r="A130" t="s">
        <v>365</v>
      </c>
      <c r="B130" t="str">
        <f>'SCD4'!B4</f>
        <v>factVCSSLast90_history</v>
      </c>
      <c r="E130" s="279">
        <f t="shared" ref="E130:E147" si="11">IF(LEFT(A130,2)="[:",1,0)</f>
        <v>1</v>
      </c>
      <c r="F130" s="279" t="str">
        <f>IF(E130=1,"&lt;td&gt;" &amp; A130 &amp; "&lt;/td&gt;&lt;td&gt;" &amp; LEFT(B130,50) &amp; "&lt;td&gt;" &amp; C130 &amp; "&lt;/td&gt;  ","")</f>
        <v xml:space="preserve">&lt;td&gt;[:REPLACE_TABLE_NAME_MINI_DIMENSION]&lt;/td&gt;&lt;td&gt;factVCSSLast90_history&lt;td&gt;&lt;/td&gt;  </v>
      </c>
    </row>
    <row r="131" spans="1:6">
      <c r="A131" t="s">
        <v>366</v>
      </c>
      <c r="B131" t="str">
        <f>'SCD4'!B5</f>
        <v>uc0039.factVCSSLast90_history</v>
      </c>
      <c r="E131" s="279">
        <f t="shared" si="11"/>
        <v>1</v>
      </c>
    </row>
    <row r="132" spans="1:6">
      <c r="A132" t="s">
        <v>367</v>
      </c>
      <c r="B132" s="269" t="str">
        <f ca="1">'SCD4'!B32</f>
        <v>INSERT INTO uc0039.factVCSSLast90_history(,hashkey, load_date , last_modified_timestamp  , IsCurrent) VALUES (0,'missing','', CAST(current_timestamp as timestamp),CAST(current_timestamp as timestamp),CAST(current_timestamp as timestamp),1)</v>
      </c>
      <c r="E132" s="279">
        <f t="shared" si="11"/>
        <v>1</v>
      </c>
      <c r="F132" s="279" t="str">
        <f t="shared" ref="F132:F137" ca="1" si="12">IF(E132=1,"&lt;td&gt;" &amp; A132 &amp; "&lt;/td&gt;&lt;td&gt;" &amp; LEFT(B132,50) &amp; "&lt;td&gt;" &amp; C132 &amp; "&lt;/td&gt;  ","")</f>
        <v xml:space="preserve">&lt;td&gt;[:REPLACE_MISSING_MEMBER_MINI_DIMENSION]&lt;/td&gt;&lt;td&gt;INSERT INTO uc0039.factVCSSLast90_history(,hashkey&lt;td&gt;&lt;/td&gt;  </v>
      </c>
    </row>
    <row r="133" spans="1:6">
      <c r="A133" t="s">
        <v>368</v>
      </c>
      <c r="B133" s="269" t="str">
        <f>'SCD4'!B27</f>
        <v/>
      </c>
      <c r="E133" s="279">
        <f t="shared" si="11"/>
        <v>1</v>
      </c>
      <c r="F133" s="279" t="str">
        <f t="shared" si="12"/>
        <v xml:space="preserve">&lt;td&gt;[:REPLACE_SET_ISCURRENT_1_MINI_DIMENSION]&lt;/td&gt;&lt;td&gt;&lt;td&gt;&lt;/td&gt;  </v>
      </c>
    </row>
    <row r="134" spans="1:6">
      <c r="A134" t="s">
        <v>369</v>
      </c>
      <c r="B134" s="269" t="str">
        <f>TEST!E22</f>
        <v>OPTIMIZE uc0039.factVCSSLast90_history  REWRITE DATA USING BIN_PACK</v>
      </c>
      <c r="E134" s="279">
        <f t="shared" si="11"/>
        <v>1</v>
      </c>
      <c r="F134" s="279" t="str">
        <f t="shared" si="12"/>
        <v xml:space="preserve">&lt;td&gt;[:REPLACE_OPTIMIZE_TABLE_MINI_DIMENSION]&lt;/td&gt;&lt;td&gt;OPTIMIZE uc0039.factVCSSLast90_history  REWRITE DA&lt;td&gt;&lt;/td&gt;  </v>
      </c>
    </row>
    <row r="135" spans="1:6">
      <c r="A135" t="s">
        <v>370</v>
      </c>
      <c r="B135">
        <f ca="1">IF(Options!B3=1, IF(COLHELPER!CC152&gt;0,1,0),0)</f>
        <v>0</v>
      </c>
      <c r="C135" t="s">
        <v>371</v>
      </c>
      <c r="E135" s="279">
        <f t="shared" si="11"/>
        <v>1</v>
      </c>
      <c r="F135" s="279" t="str">
        <f t="shared" ca="1" si="12"/>
        <v xml:space="preserve">&lt;td&gt;[:REPLACE_USE_MINI_DIMENSION]&lt;/td&gt;&lt;td&gt;0&lt;td&gt;Do we have any SCD-4 columns&lt;/td&gt;  </v>
      </c>
    </row>
    <row r="136" spans="1:6">
      <c r="A136" t="s">
        <v>372</v>
      </c>
      <c r="B136" t="str">
        <f>'SCD4'!B5</f>
        <v>uc0039.factVCSSLast90_history</v>
      </c>
      <c r="E136" s="279">
        <f t="shared" si="11"/>
        <v>1</v>
      </c>
      <c r="F136" s="279" t="str">
        <f t="shared" si="12"/>
        <v xml:space="preserve">&lt;td&gt;[:REPLACE_TARGET_TABLE_NAME_MINI_DIMENSION]&lt;/td&gt;&lt;td&gt;uc0039.factVCSSLast90_history&lt;td&gt;&lt;/td&gt;  </v>
      </c>
    </row>
    <row r="137" spans="1:6">
      <c r="A137" s="190" t="s">
        <v>373</v>
      </c>
      <c r="B137" s="190" t="str">
        <f ca="1">'SCD4'!B37</f>
        <v>CREATE TABLE IF NOT EXISTS  uc0039.factfactVCSSLast90factVCSSLast90history ( bigint, wkfactVCSSLast90_history bigint, isLatest int, ValidFromDate timestamp, ValidToDate timestamp) LOCATION 's3://uc0039-vgcs-odl-prod/db/factfactVCSSLast90factVCSSLast90history' TBLPROPERTIES ( 'vacuum_max_snapshot_age_seconds' = '259200', 'optimize_rewrite_delete_file_threshold' = '50', 'write_target_data_file_size_bytes' = '536870912','table_type'='iceberg','format'='parquet')</v>
      </c>
      <c r="E137" s="279">
        <f t="shared" si="11"/>
        <v>1</v>
      </c>
      <c r="F137" s="279" t="str">
        <f t="shared" ca="1" si="12"/>
        <v xml:space="preserve">&lt;td&gt;[:REPLACE_SCD4_CREATE_FACTLESSFACT_TABLE]&lt;/td&gt;&lt;td&gt;CREATE TABLE IF NOT EXISTS  uc0039.factfactVCSSLas&lt;td&gt;&lt;/td&gt;  </v>
      </c>
    </row>
    <row r="138" spans="1:6">
      <c r="A138" s="190" t="s">
        <v>374</v>
      </c>
      <c r="B138" s="190" t="str">
        <f>'SCD4'!B38</f>
        <v>drop table if exists uc0039.factfactVCSSLast90factVCSSLast90history</v>
      </c>
      <c r="E138" s="279">
        <f t="shared" si="11"/>
        <v>1</v>
      </c>
    </row>
    <row r="139" spans="1:6">
      <c r="A139" s="190" t="s">
        <v>375</v>
      </c>
      <c r="B139" s="190" t="str">
        <f ca="1">'SCD4'!B44</f>
        <v>MERGE INTO uc0039.factfactVCSSLast90factVCSSLast90history  as trg USING ( SELECT d., m.wkfactVCSSLast90_history, 0 isLatest,  d.last_modified_timestamp ValidFromDate  FROM uc0039.factVCSSLast90 d INNER JOIN uc0039.factVCSSLast90_history m on ) as src
 ON trg.islatest=1 AND trg.  =  src. AND src.wkfactVCSSLast90_history = trg.wkfactVCSSLast90_history AND src.ValidFromDate&lt;=trg.ValidFromDate  WHEN NOT MATCHED THEN INSERT (, wkfactVCSSLast90_history, islatest, ValidFromDate, ValidToDate) VALUES (src., src.wkfactVCSSLast90_history,0 , src.ValidFromDate,null)</v>
      </c>
      <c r="E139" s="279">
        <f t="shared" si="11"/>
        <v>1</v>
      </c>
    </row>
    <row r="140" spans="1:6">
      <c r="A140" s="190" t="s">
        <v>376</v>
      </c>
      <c r="B140" s="190" t="str">
        <f ca="1">'SCD4'!B50</f>
        <v>MERGE INTO uc0039.factfactVCSSLast90factVCSSLast90history as trg USING (SELECT ,   max(ValidFromDate) as ValidFromDate  FROM uc0039.factfactVCSSLast90factVCSSLast90history GROUP BY ) as src ON trg.  =  src. AND src.ValidFromDate=trg.ValidFromDate  WHEN MATCHED THEN UPDATE Set IsLatest=1, ValidToDate=null</v>
      </c>
      <c r="E140" s="279">
        <f t="shared" si="11"/>
        <v>1</v>
      </c>
    </row>
    <row r="141" spans="1:6">
      <c r="A141" t="s">
        <v>377</v>
      </c>
      <c r="B141" t="str">
        <f ca="1">IF(REPLACE_USE_MINI_DIMENSION=1,"display: block","display: none")</f>
        <v>display: none</v>
      </c>
      <c r="E141" s="279">
        <f t="shared" si="11"/>
        <v>1</v>
      </c>
      <c r="F141" s="279" t="str">
        <f t="shared" ref="F141:F147" ca="1" si="13">IF(E141=1,"&lt;td&gt;" &amp; A141 &amp; "&lt;/td&gt;&lt;td&gt;" &amp; LEFT(B141,50) &amp; "&lt;td&gt;" &amp; C141 &amp; "&lt;/td&gt;  ","")</f>
        <v xml:space="preserve">&lt;td&gt;[:REPLACE_HTML_SHOW_MINI_DIMENSION]&lt;/td&gt;&lt;td&gt;display: none&lt;td&gt;&lt;/td&gt;  </v>
      </c>
    </row>
    <row r="142" spans="1:6">
      <c r="A142" s="190" t="s">
        <v>378</v>
      </c>
      <c r="B142" s="190" t="str">
        <f>TEST!E26</f>
        <v>OPTIMIZE uc0039.factfactVCSSLast90factVCSSLast90history  REWRITE DATA USING BIN_PACK</v>
      </c>
      <c r="E142" s="279">
        <f t="shared" si="11"/>
        <v>1</v>
      </c>
      <c r="F142" s="279" t="str">
        <f t="shared" si="13"/>
        <v xml:space="preserve">&lt;td&gt;[:REPLACE_SCD4_OPTIMIZE_FACTLESSFACT_TABLE]&lt;/td&gt;&lt;td&gt;OPTIMIZE uc0039.factfactVCSSLast90factVCSSLast90hi&lt;td&gt;&lt;/td&gt;  </v>
      </c>
    </row>
    <row r="143" spans="1:6">
      <c r="A143" s="190" t="s">
        <v>379</v>
      </c>
      <c r="B143" t="str">
        <f>'SCD4'!B38</f>
        <v>drop table if exists uc0039.factfactVCSSLast90factVCSSLast90history</v>
      </c>
      <c r="E143" s="279">
        <f t="shared" si="11"/>
        <v>1</v>
      </c>
      <c r="F143" s="279" t="str">
        <f t="shared" si="13"/>
        <v xml:space="preserve">&lt;td&gt;[:REPLACE_SCD4_FACTLESSFACT_DROP_TABLE]&lt;/td&gt;&lt;td&gt;drop table if exists uc0039.factfactVCSSLast90fact&lt;td&gt;&lt;/td&gt;  </v>
      </c>
    </row>
    <row r="144" spans="1:6">
      <c r="A144" t="s">
        <v>380</v>
      </c>
      <c r="B144" t="str">
        <f>'STAGE VIEW 1'!B20</f>
        <v/>
      </c>
      <c r="E144" s="279">
        <f t="shared" si="11"/>
        <v>1</v>
      </c>
      <c r="F144" s="279" t="str">
        <f t="shared" si="13"/>
        <v xml:space="preserve">&lt;td&gt;[:REPLACE_GENERATED_SOURCE_TABLE_SELECT]&lt;/td&gt;&lt;td&gt;&lt;td&gt;&lt;/td&gt;  </v>
      </c>
    </row>
    <row r="145" spans="1:6">
      <c r="A145" s="190" t="s">
        <v>381</v>
      </c>
      <c r="B145" t="str">
        <f>'SCD4'!B61</f>
        <v>CREATE OR REPLACE VIEW uc0039.factfactVCSSLast90factVCSSLast90history_initialload_v as WITH
  _md AS (
   SELECT DISTINCT
     vehicleplatformid
   , mainswpartnumber
   , last_modified_timestamp ValidFromDate
   FROM
     odl_dwh_raw.common_dim_vehicle_tea2plus_history
) 
, _final AS (
   SELECT
     d.wkvehicle
   , hist.wkVehicle_history
   , _md.ValidFromDate
   FROM
     ((_md
   INNER JOIN uc0039.dimVehicle d ON (_md.vehicleplatformid = d.vehicleplatformid))
   INNER JOIN uc0039.dimVehicle_history hist ON (_md.mainswpartnumber = hist.tea2_mainswpartnumber))
) 
, _w AS (
   SELECT
     *
   , (COALESCE(lead(validfromdate) OVER (PARTITION BY wkVehicle ORDER BY validfromdate ASC), CAST(current_timestamp AS timestamp)) - INTERVAL  '1' SECOND) ValidToDate
   , COALESCE(lead(wkvehicle_history) OVER (PARTITION BY wkVehicle ORDER BY validfromdate ASC), 0) next_wkvehicle_history
   FROM
     _final
   ORDER BY validfromdate DESC
) 
SELECT
  wkvehicle
, wkvehicle_history
, next_wkvehicle_history
, validfromdate
, validtodate
, 0 isLatest
FROM
  _w
WHERE (wkVehicle_history &lt;&gt; next_wkVehicle_History)</v>
      </c>
      <c r="E145" s="279">
        <f t="shared" si="11"/>
        <v>1</v>
      </c>
      <c r="F145" s="279" t="str">
        <f t="shared" si="13"/>
        <v xml:space="preserve">&lt;td&gt;[:REPLACE_SCD4_FACTLESSFACT_CREATE_INITIAL_LOAD_VIEW]&lt;/td&gt;&lt;td&gt;CREATE OR REPLACE VIEW uc0039.factfactVCSSLast90fa&lt;td&gt;&lt;/td&gt;  </v>
      </c>
    </row>
    <row r="146" spans="1:6">
      <c r="A146" s="190" t="s">
        <v>382</v>
      </c>
      <c r="B146" t="str">
        <f ca="1">'SCD4'!B63</f>
        <v>INSERT INTO uc0039.factfactVCSSLast90factVCSSLast90history(, wkfactVCSSLast90_history, islatest, ValidFromDate, ValidToDate) SELECT , wkfactVCSSLast90_history, islatest, ValidFromDate, ValidToDate FROM uc0039.factfactVCSSLast90factVCSSLast90history_initialload_v</v>
      </c>
      <c r="E146" s="279">
        <f t="shared" si="11"/>
        <v>1</v>
      </c>
      <c r="F146" s="279" t="str">
        <f t="shared" ca="1" si="13"/>
        <v xml:space="preserve">&lt;td&gt;[:REPLACE_SCD4_FACTLESSFACT_INSERT_INITIAL_DATA]&lt;/td&gt;&lt;td&gt;INSERT INTO uc0039.factfactVCSSLast90factVCSSLast9&lt;td&gt;&lt;/td&gt;  </v>
      </c>
    </row>
    <row r="147" spans="1:6">
      <c r="A147" t="s">
        <v>383</v>
      </c>
      <c r="B147" t="str">
        <f ca="1">IF(DIMENSIONS!Q63="","", DIMENSIONS!Q63 &amp;  ", ") &amp; COLHELPER!T152</f>
        <v>wkVehicle</v>
      </c>
      <c r="E147" s="279">
        <f t="shared" si="11"/>
        <v>1</v>
      </c>
      <c r="F147" s="279" t="str">
        <f t="shared" ca="1" si="13"/>
        <v xml:space="preserve">&lt;td&gt;[:REPLACE_LIST_OF_BK_IN_SOURCE]&lt;/td&gt;&lt;td&gt;wkVehicle&lt;td&gt;&lt;/td&gt;  </v>
      </c>
    </row>
    <row r="148" spans="1:6" ht="40.5" customHeight="1">
      <c r="A148" t="s">
        <v>384</v>
      </c>
      <c r="B148" t="str">
        <f ca="1">IF(DIMENSIONS!Q63="","", DIMENSIONS!Q63 &amp;  ", ") &amp; COLHELPER!U152</f>
        <v>wkVehicle</v>
      </c>
    </row>
    <row r="149" spans="1:6" ht="114" customHeight="1">
      <c r="A149" t="s">
        <v>385</v>
      </c>
      <c r="B149" s="285" t="str">
        <f ca="1">"WITH t1 As (SELECT "&amp;REPLACE_LIST_OF_BK_IN_SOURCE&amp;" FROM "
&amp;IF(USERINPUT_USE_SOURCE_VIEW=1,
REPLACE_SOURCE_VIEW_NAME,
IF(REPLACE_GENERATED_SOURCE_TABLE_SELECT="",REPLACE_FULL_SOURCE_TABLE_NAME,
"("&amp;REPLACE_GENERATED_SOURCE_TABLE_SELECT&amp;")"))
&amp;" ) SELECT "&amp;REPLACE_LIST_OF_BK_IN_SOURCE_VIEW
&amp;",COUNT(*) FROM t1 GROUP BY "&amp;REPLACE_LIST_OF_BK_IN_SOURCE_VIEW&amp;" HAVING COUNT(*)&gt;1"</f>
        <v>WITH t1 As (SELECT wkVehicle FROM uc0039.source_factVCSSLast90_[:date_yyyymmdd]_v  ) SELECT wkVehicle,COUNT(*) FROM t1 GROUP BY wkVehicle HAVING COUNT(*)&gt;1</v>
      </c>
      <c r="E149" s="279">
        <f t="shared" ref="E149:E180" si="14">IF(LEFT(A149,2)="[:",1,0)</f>
        <v>1</v>
      </c>
      <c r="F149" s="279" t="str">
        <f t="shared" ref="F149:F180" ca="1" si="15">IF(E149=1,"&lt;td&gt;" &amp; A149 &amp; "&lt;/td&gt;&lt;td&gt;" &amp; LEFT(B149,50) &amp; "&lt;td&gt;" &amp; C149 &amp; "&lt;/td&gt;  ","")</f>
        <v xml:space="preserve">&lt;td&gt;[:REPLACE_TEST_SOURCE_BK]&lt;/td&gt;&lt;td&gt;WITH t1 As (SELECT wkVehicle FROM uc0039.source_fa&lt;td&gt;&lt;/td&gt;  </v>
      </c>
    </row>
    <row r="150" spans="1:6">
      <c r="E150" s="279">
        <f t="shared" si="14"/>
        <v>0</v>
      </c>
      <c r="F150" s="279" t="str">
        <f t="shared" si="15"/>
        <v/>
      </c>
    </row>
    <row r="151" spans="1:6">
      <c r="E151" s="279">
        <f t="shared" si="14"/>
        <v>0</v>
      </c>
      <c r="F151" s="279" t="str">
        <f t="shared" si="15"/>
        <v/>
      </c>
    </row>
    <row r="152" spans="1:6">
      <c r="A152" t="s">
        <v>386</v>
      </c>
      <c r="B152" t="str">
        <f>'SCD4'!B56</f>
        <v>odl_dwh_raw.common_dim_vehicle_tea2plus_history</v>
      </c>
      <c r="E152" s="279">
        <f t="shared" si="14"/>
        <v>1</v>
      </c>
      <c r="F152" s="279" t="str">
        <f t="shared" si="15"/>
        <v xml:space="preserve">&lt;td&gt;[:REPLACE_SCD4_INITIAL_LOAD_MINI_DIM_SOURCE_TABLE_NAME]&lt;/td&gt;&lt;td&gt;odl_dwh_raw.common_dim_vehicle_tea2plus_history&lt;td&gt;&lt;/td&gt;  </v>
      </c>
    </row>
    <row r="153" spans="1:6">
      <c r="A153" t="s">
        <v>387</v>
      </c>
      <c r="B153" t="str">
        <f ca="1">'SCD4'!B60</f>
        <v>MERGE INTO uc0039.factVCSSLast90_history AS trg   USING (WITH t1 as (select distinct , max(timestamp) as last_modified_timestamp , max(timestamp) as load_date FROM odl_dwh_raw.common_dim_vehicle_tea2plus_history GROUP BY  ) SELECT ABS(from_big_endian_64(xxhash64(CAST(cast(uuid() as varchar) as varbinary)))) AS wkfactVCSSLast90_history,  lower(to_hex(md5(to_utf8(concat(,''))))) as hashkey, t1.* from t1) as src ON  WHEN NOT MATCHED THEN INSERT (,hashkey, load_date , last_modified_timestamp  , IsCurrent) VALUES (src.wkfactVCSSLast90_history, , src.hashkey, src.load_date, src.last_modified_timestamp , 1 )</v>
      </c>
      <c r="E153" s="279">
        <f t="shared" si="14"/>
        <v>1</v>
      </c>
      <c r="F153" s="279" t="str">
        <f t="shared" ca="1" si="15"/>
        <v xml:space="preserve">&lt;td&gt;[:REPLACE_SCD4_INITIAL_LOAD_POPULATE_MINI_DIM]&lt;/td&gt;&lt;td&gt;MERGE INTO uc0039.factVCSSLast90_history AS trg   &lt;td&gt;&lt;/td&gt;  </v>
      </c>
    </row>
    <row r="154" spans="1:6">
      <c r="A154" t="s">
        <v>388</v>
      </c>
      <c r="B154" t="str">
        <f ca="1">'SCD4'!B63</f>
        <v>INSERT INTO uc0039.factfactVCSSLast90factVCSSLast90history(, wkfactVCSSLast90_history, islatest, ValidFromDate, ValidToDate) SELECT , wkfactVCSSLast90_history, islatest, ValidFromDate, ValidToDate FROM uc0039.factfactVCSSLast90factVCSSLast90history_initialload_v</v>
      </c>
      <c r="E154" s="279">
        <f t="shared" si="14"/>
        <v>1</v>
      </c>
      <c r="F154" s="279" t="str">
        <f t="shared" ca="1" si="15"/>
        <v xml:space="preserve">&lt;td&gt;[:REPLACE_SCD4_INITIAL_LOAD_POPULATE_FACTLESSFACT]&lt;/td&gt;&lt;td&gt;INSERT INTO uc0039.factfactVCSSLast90factVCSSLast9&lt;td&gt;&lt;/td&gt;  </v>
      </c>
    </row>
    <row r="155" spans="1:6">
      <c r="A155" t="s">
        <v>389</v>
      </c>
      <c r="B155" t="str">
        <f ca="1">'SCD4'!B60</f>
        <v>MERGE INTO uc0039.factVCSSLast90_history AS trg   USING (WITH t1 as (select distinct , max(timestamp) as last_modified_timestamp , max(timestamp) as load_date FROM odl_dwh_raw.common_dim_vehicle_tea2plus_history GROUP BY  ) SELECT ABS(from_big_endian_64(xxhash64(CAST(cast(uuid() as varchar) as varbinary)))) AS wkfactVCSSLast90_history,  lower(to_hex(md5(to_utf8(concat(,''))))) as hashkey, t1.* from t1) as src ON  WHEN NOT MATCHED THEN INSERT (,hashkey, load_date , last_modified_timestamp  , IsCurrent) VALUES (src.wkfactVCSSLast90_history, , src.hashkey, src.load_date, src.last_modified_timestamp , 1 )</v>
      </c>
      <c r="E155" s="279">
        <f t="shared" si="14"/>
        <v>1</v>
      </c>
      <c r="F155" s="279" t="str">
        <f t="shared" ca="1" si="15"/>
        <v xml:space="preserve">&lt;td&gt;[:REPLACE_SCD4_INITIAL_LOAD_MINI_DIM]&lt;/td&gt;&lt;td&gt;MERGE INTO uc0039.factVCSSLast90_history AS trg   &lt;td&gt;&lt;/td&gt;  </v>
      </c>
    </row>
    <row r="156" spans="1:6">
      <c r="E156" s="279">
        <f t="shared" si="14"/>
        <v>0</v>
      </c>
      <c r="F156" s="279" t="str">
        <f t="shared" si="15"/>
        <v/>
      </c>
    </row>
    <row r="157" spans="1:6">
      <c r="E157" s="279">
        <f t="shared" si="14"/>
        <v>0</v>
      </c>
      <c r="F157" s="279" t="str">
        <f t="shared" si="15"/>
        <v/>
      </c>
    </row>
    <row r="158" spans="1:6">
      <c r="A158" t="s">
        <v>390</v>
      </c>
      <c r="B158" t="str">
        <f>IF(USERINPUT_USE_SOURCE_VIEW=0,REPLACE_TEST_SOURCE_BK,IF(USERINPUT_SOURCE_VIEW="","",USERINPUT_SOURCE_VIEW))</f>
        <v>WITH _vcss_clean as (
select 
wkVehicle,
CAST(REPLACE(molastsms,'T',' ') as timestamp) as molastsms
,CAST(REPLACE(molastudp,'T',' ') as timestamp) as molastudp
,lakearrivaldate
from uc0039.factVCSS
),
_max_vcss_90 AS (   
SELECT  DISTINCT
                wkVehicle
                , CAST(max(molastsms) as date) latest_sms
                , CAST(max(molastudp) as date)  latest_udp 
                ,'[:date_yyyy_mm_dd]' lake_arrival_date
            FROM 
                _vcss_clean  t1 
            where 
                lakearrivaldate &lt;= '[:date_yyyy_mm_dd]' 
            GROUP BY t1.wkVehicle
),
_has_communicated_last_90 AS (
SELECT 
           wkVehicle, 1 as has_communicated_last_90_days, latest_sms  ,   latest_udp,   lake_arrival_date
            FROM 
                _max_vcss_90 
            WHERE 
                ((latest_sms &gt; (cast('[:date_yyyy_mm_dd]' as date)  - INTERVAL  '90' DAY)) 
                OR (latest_udp &gt; (cast('[:date_yyyy_mm_dd]' as date) - INTERVAL  '90' DAY)))
),
_no_communication_last_90 AS (
select wkVehicle, 0 as has_communicated_last_90_days, null as latest_sms, null as latest_udp, 
'[:date_yyyy_mm_dd]' as lake_arrival_date
 from uc0039.dimVehicle 
WHERE wkVehicle NOT in (select wkVehicle from _has_communicated_last_90)
)
SELECT 
wkVehicle, has_communicated_last_90_days,cast( latest_udp as date) as latest_udp,cast(latest_sms as date) as latest_sms,
cast(lake_arrival_date as varchar)  as lake_arrival_date
FROM _has_communicated_last_90 
UNION ALL 
SELECT wkVehicle, has_communicated_last_90_days, 
CAST(latest_udp as date),
cast(latest_sms as date), 
cast(lake_arrival_date as varchar)  as lake_arrival_date
FROM _no_communication_last_90</v>
      </c>
      <c r="E158" s="279">
        <f t="shared" si="14"/>
        <v>1</v>
      </c>
      <c r="F158" s="279" t="str">
        <f t="shared" si="15"/>
        <v xml:space="preserve">&lt;td&gt;[:REPLACE_SQL_CUSTOM_SOURCE_VIEW]&lt;/td&gt;&lt;td&gt;WITH _vcss_clean as (
select 
wkVehicle,
CAST(REPL&lt;td&gt;&lt;/td&gt;  </v>
      </c>
    </row>
    <row r="159" spans="1:6">
      <c r="E159" s="279">
        <f t="shared" si="14"/>
        <v>0</v>
      </c>
      <c r="F159" s="279" t="str">
        <f t="shared" si="15"/>
        <v/>
      </c>
    </row>
    <row r="160" spans="1:6">
      <c r="E160" s="279">
        <f t="shared" si="14"/>
        <v>0</v>
      </c>
      <c r="F160" s="279" t="str">
        <f t="shared" si="15"/>
        <v/>
      </c>
    </row>
    <row r="161" spans="5:6">
      <c r="E161" s="279">
        <f t="shared" si="14"/>
        <v>0</v>
      </c>
      <c r="F161" s="279" t="str">
        <f t="shared" si="15"/>
        <v/>
      </c>
    </row>
    <row r="162" spans="5:6">
      <c r="E162" s="279">
        <f t="shared" si="14"/>
        <v>0</v>
      </c>
      <c r="F162" s="279" t="str">
        <f t="shared" si="15"/>
        <v/>
      </c>
    </row>
    <row r="163" spans="5:6">
      <c r="E163" s="279">
        <f t="shared" si="14"/>
        <v>0</v>
      </c>
      <c r="F163" s="279" t="str">
        <f t="shared" si="15"/>
        <v/>
      </c>
    </row>
    <row r="164" spans="5:6">
      <c r="E164" s="279">
        <f t="shared" si="14"/>
        <v>0</v>
      </c>
      <c r="F164" s="279" t="str">
        <f t="shared" si="15"/>
        <v/>
      </c>
    </row>
    <row r="165" spans="5:6">
      <c r="E165" s="279">
        <f t="shared" si="14"/>
        <v>0</v>
      </c>
      <c r="F165" s="279" t="str">
        <f t="shared" si="15"/>
        <v/>
      </c>
    </row>
    <row r="166" spans="5:6">
      <c r="E166" s="279">
        <f t="shared" si="14"/>
        <v>0</v>
      </c>
      <c r="F166" s="279" t="str">
        <f t="shared" si="15"/>
        <v/>
      </c>
    </row>
    <row r="167" spans="5:6">
      <c r="E167" s="279">
        <f t="shared" si="14"/>
        <v>0</v>
      </c>
      <c r="F167" s="279" t="str">
        <f t="shared" si="15"/>
        <v/>
      </c>
    </row>
    <row r="168" spans="5:6">
      <c r="E168" s="279">
        <f t="shared" si="14"/>
        <v>0</v>
      </c>
      <c r="F168" s="279" t="str">
        <f t="shared" si="15"/>
        <v/>
      </c>
    </row>
    <row r="169" spans="5:6">
      <c r="E169" s="279">
        <f t="shared" si="14"/>
        <v>0</v>
      </c>
      <c r="F169" s="279" t="str">
        <f t="shared" si="15"/>
        <v/>
      </c>
    </row>
    <row r="170" spans="5:6">
      <c r="E170" s="279">
        <f t="shared" si="14"/>
        <v>0</v>
      </c>
      <c r="F170" s="279" t="str">
        <f t="shared" si="15"/>
        <v/>
      </c>
    </row>
    <row r="171" spans="5:6">
      <c r="E171" s="279">
        <f t="shared" si="14"/>
        <v>0</v>
      </c>
      <c r="F171" s="279" t="str">
        <f t="shared" si="15"/>
        <v/>
      </c>
    </row>
    <row r="172" spans="5:6">
      <c r="E172" s="279">
        <f t="shared" si="14"/>
        <v>0</v>
      </c>
      <c r="F172" s="279" t="str">
        <f t="shared" si="15"/>
        <v/>
      </c>
    </row>
    <row r="173" spans="5:6">
      <c r="E173" s="279">
        <f t="shared" si="14"/>
        <v>0</v>
      </c>
      <c r="F173" s="279" t="str">
        <f t="shared" si="15"/>
        <v/>
      </c>
    </row>
    <row r="174" spans="5:6">
      <c r="E174" s="279">
        <f t="shared" si="14"/>
        <v>0</v>
      </c>
      <c r="F174" s="279" t="str">
        <f t="shared" si="15"/>
        <v/>
      </c>
    </row>
    <row r="175" spans="5:6">
      <c r="E175" s="279">
        <f t="shared" si="14"/>
        <v>0</v>
      </c>
      <c r="F175" s="279" t="str">
        <f t="shared" si="15"/>
        <v/>
      </c>
    </row>
    <row r="176" spans="5:6">
      <c r="E176" s="279">
        <f t="shared" si="14"/>
        <v>0</v>
      </c>
      <c r="F176" s="279" t="str">
        <f t="shared" si="15"/>
        <v/>
      </c>
    </row>
    <row r="177" spans="5:6">
      <c r="E177" s="279">
        <f t="shared" si="14"/>
        <v>0</v>
      </c>
      <c r="F177" s="279" t="str">
        <f t="shared" si="15"/>
        <v/>
      </c>
    </row>
    <row r="178" spans="5:6">
      <c r="E178" s="279">
        <f t="shared" si="14"/>
        <v>0</v>
      </c>
      <c r="F178" s="279" t="str">
        <f t="shared" si="15"/>
        <v/>
      </c>
    </row>
    <row r="179" spans="5:6">
      <c r="E179" s="279">
        <f t="shared" si="14"/>
        <v>0</v>
      </c>
      <c r="F179" s="279" t="str">
        <f t="shared" si="15"/>
        <v/>
      </c>
    </row>
    <row r="180" spans="5:6">
      <c r="E180" s="279">
        <f t="shared" si="14"/>
        <v>0</v>
      </c>
      <c r="F180" s="279" t="str">
        <f t="shared" si="15"/>
        <v/>
      </c>
    </row>
    <row r="181" spans="5:6">
      <c r="E181" s="279">
        <f t="shared" ref="E181:E209" si="16">IF(LEFT(A181,2)="[:",1,0)</f>
        <v>0</v>
      </c>
      <c r="F181" s="279" t="str">
        <f t="shared" ref="F181:F212" si="17">IF(E181=1,"&lt;td&gt;" &amp; A181 &amp; "&lt;/td&gt;&lt;td&gt;" &amp; LEFT(B181,50) &amp; "&lt;td&gt;" &amp; C181 &amp; "&lt;/td&gt;  ","")</f>
        <v/>
      </c>
    </row>
    <row r="182" spans="5:6">
      <c r="E182" s="279">
        <f t="shared" si="16"/>
        <v>0</v>
      </c>
      <c r="F182" s="279" t="str">
        <f t="shared" si="17"/>
        <v/>
      </c>
    </row>
    <row r="183" spans="5:6">
      <c r="E183" s="279">
        <f t="shared" si="16"/>
        <v>0</v>
      </c>
      <c r="F183" s="279" t="str">
        <f t="shared" si="17"/>
        <v/>
      </c>
    </row>
    <row r="184" spans="5:6">
      <c r="E184" s="279">
        <f t="shared" si="16"/>
        <v>0</v>
      </c>
      <c r="F184" s="279" t="str">
        <f t="shared" si="17"/>
        <v/>
      </c>
    </row>
    <row r="185" spans="5:6">
      <c r="E185" s="279">
        <f t="shared" si="16"/>
        <v>0</v>
      </c>
      <c r="F185" s="279" t="str">
        <f t="shared" si="17"/>
        <v/>
      </c>
    </row>
    <row r="186" spans="5:6">
      <c r="E186" s="279">
        <f t="shared" si="16"/>
        <v>0</v>
      </c>
      <c r="F186" s="279" t="str">
        <f t="shared" si="17"/>
        <v/>
      </c>
    </row>
    <row r="187" spans="5:6">
      <c r="E187" s="279">
        <f t="shared" si="16"/>
        <v>0</v>
      </c>
      <c r="F187" s="279" t="str">
        <f t="shared" si="17"/>
        <v/>
      </c>
    </row>
    <row r="188" spans="5:6">
      <c r="E188" s="279">
        <f t="shared" si="16"/>
        <v>0</v>
      </c>
      <c r="F188" s="279" t="str">
        <f t="shared" si="17"/>
        <v/>
      </c>
    </row>
    <row r="189" spans="5:6">
      <c r="E189" s="279">
        <f t="shared" si="16"/>
        <v>0</v>
      </c>
      <c r="F189" s="279" t="str">
        <f t="shared" si="17"/>
        <v/>
      </c>
    </row>
    <row r="190" spans="5:6">
      <c r="E190" s="279">
        <f t="shared" si="16"/>
        <v>0</v>
      </c>
      <c r="F190" s="279" t="str">
        <f t="shared" si="17"/>
        <v/>
      </c>
    </row>
    <row r="191" spans="5:6">
      <c r="E191" s="279">
        <f t="shared" si="16"/>
        <v>0</v>
      </c>
      <c r="F191" s="279" t="str">
        <f t="shared" si="17"/>
        <v/>
      </c>
    </row>
    <row r="192" spans="5:6">
      <c r="E192" s="279">
        <f t="shared" si="16"/>
        <v>0</v>
      </c>
      <c r="F192" s="279" t="str">
        <f t="shared" si="17"/>
        <v/>
      </c>
    </row>
    <row r="193" spans="5:6">
      <c r="E193" s="279">
        <f t="shared" si="16"/>
        <v>0</v>
      </c>
      <c r="F193" s="279" t="str">
        <f t="shared" si="17"/>
        <v/>
      </c>
    </row>
    <row r="194" spans="5:6">
      <c r="E194" s="279">
        <f t="shared" si="16"/>
        <v>0</v>
      </c>
      <c r="F194" s="279" t="str">
        <f t="shared" si="17"/>
        <v/>
      </c>
    </row>
    <row r="195" spans="5:6">
      <c r="E195" s="279">
        <f t="shared" si="16"/>
        <v>0</v>
      </c>
      <c r="F195" s="279" t="str">
        <f t="shared" si="17"/>
        <v/>
      </c>
    </row>
    <row r="196" spans="5:6">
      <c r="E196" s="279">
        <f t="shared" si="16"/>
        <v>0</v>
      </c>
      <c r="F196" s="279" t="str">
        <f t="shared" si="17"/>
        <v/>
      </c>
    </row>
    <row r="197" spans="5:6">
      <c r="E197" s="279">
        <f t="shared" si="16"/>
        <v>0</v>
      </c>
      <c r="F197" s="279" t="str">
        <f t="shared" si="17"/>
        <v/>
      </c>
    </row>
    <row r="198" spans="5:6">
      <c r="E198" s="279">
        <f t="shared" si="16"/>
        <v>0</v>
      </c>
      <c r="F198" s="279" t="str">
        <f t="shared" si="17"/>
        <v/>
      </c>
    </row>
    <row r="199" spans="5:6">
      <c r="E199" s="279">
        <f t="shared" si="16"/>
        <v>0</v>
      </c>
      <c r="F199" s="279" t="str">
        <f t="shared" si="17"/>
        <v/>
      </c>
    </row>
    <row r="200" spans="5:6">
      <c r="E200" s="279">
        <f t="shared" si="16"/>
        <v>0</v>
      </c>
      <c r="F200" s="279" t="str">
        <f t="shared" si="17"/>
        <v/>
      </c>
    </row>
    <row r="201" spans="5:6">
      <c r="E201" s="279">
        <f t="shared" si="16"/>
        <v>0</v>
      </c>
      <c r="F201" s="279" t="str">
        <f t="shared" si="17"/>
        <v/>
      </c>
    </row>
    <row r="202" spans="5:6">
      <c r="E202" s="279">
        <f t="shared" si="16"/>
        <v>0</v>
      </c>
      <c r="F202" s="279" t="str">
        <f t="shared" si="17"/>
        <v/>
      </c>
    </row>
    <row r="203" spans="5:6">
      <c r="E203" s="279">
        <f t="shared" si="16"/>
        <v>0</v>
      </c>
      <c r="F203" s="279" t="str">
        <f t="shared" si="17"/>
        <v/>
      </c>
    </row>
    <row r="204" spans="5:6">
      <c r="E204" s="279">
        <f t="shared" si="16"/>
        <v>0</v>
      </c>
      <c r="F204" s="279" t="str">
        <f t="shared" si="17"/>
        <v/>
      </c>
    </row>
    <row r="205" spans="5:6">
      <c r="E205" s="279">
        <f t="shared" si="16"/>
        <v>0</v>
      </c>
      <c r="F205" s="279" t="str">
        <f t="shared" si="17"/>
        <v/>
      </c>
    </row>
    <row r="206" spans="5:6">
      <c r="E206" s="279">
        <f t="shared" si="16"/>
        <v>0</v>
      </c>
      <c r="F206" s="279" t="str">
        <f t="shared" si="17"/>
        <v/>
      </c>
    </row>
    <row r="207" spans="5:6">
      <c r="E207" s="279">
        <f t="shared" si="16"/>
        <v>0</v>
      </c>
      <c r="F207" s="279" t="str">
        <f t="shared" si="17"/>
        <v/>
      </c>
    </row>
    <row r="208" spans="5:6">
      <c r="E208" s="279">
        <f t="shared" si="16"/>
        <v>0</v>
      </c>
      <c r="F208" s="279" t="str">
        <f t="shared" si="17"/>
        <v/>
      </c>
    </row>
    <row r="209" spans="5:6">
      <c r="E209" s="279">
        <f t="shared" si="16"/>
        <v>0</v>
      </c>
      <c r="F209" s="279" t="str">
        <f t="shared" si="17"/>
        <v/>
      </c>
    </row>
    <row r="210" spans="5:6">
      <c r="F210" s="279" t="str">
        <f t="shared" si="17"/>
        <v/>
      </c>
    </row>
    <row r="211" spans="5:6">
      <c r="F211" s="279" t="str">
        <f t="shared" si="17"/>
        <v/>
      </c>
    </row>
    <row r="212" spans="5:6">
      <c r="F212" s="279" t="str">
        <f t="shared" si="17"/>
        <v/>
      </c>
    </row>
    <row r="213" spans="5:6">
      <c r="F213" s="279" t="str">
        <f t="shared" ref="F213:F244" si="18">IF(E213=1,"&lt;td&gt;" &amp; A213 &amp; "&lt;/td&gt;&lt;td&gt;" &amp; LEFT(B213,50) &amp; "&lt;td&gt;" &amp; C213 &amp; "&lt;/td&gt;  ","")</f>
        <v/>
      </c>
    </row>
    <row r="214" spans="5:6">
      <c r="F214" s="279" t="str">
        <f t="shared" si="18"/>
        <v/>
      </c>
    </row>
    <row r="215" spans="5:6">
      <c r="F215" s="279" t="str">
        <f t="shared" si="18"/>
        <v/>
      </c>
    </row>
    <row r="216" spans="5:6">
      <c r="F216" s="279" t="str">
        <f t="shared" si="18"/>
        <v/>
      </c>
    </row>
    <row r="217" spans="5:6">
      <c r="F217" s="279" t="str">
        <f t="shared" si="18"/>
        <v/>
      </c>
    </row>
    <row r="218" spans="5:6">
      <c r="F218" s="279" t="str">
        <f t="shared" si="18"/>
        <v/>
      </c>
    </row>
    <row r="219" spans="5:6">
      <c r="F219" s="279" t="str">
        <f t="shared" si="18"/>
        <v/>
      </c>
    </row>
    <row r="220" spans="5:6">
      <c r="F220" s="279" t="str">
        <f t="shared" si="18"/>
        <v/>
      </c>
    </row>
    <row r="221" spans="5:6">
      <c r="F221" s="279" t="str">
        <f t="shared" si="18"/>
        <v/>
      </c>
    </row>
    <row r="222" spans="5:6">
      <c r="F222" s="279" t="str">
        <f t="shared" si="18"/>
        <v/>
      </c>
    </row>
    <row r="223" spans="5:6">
      <c r="F223" s="279" t="str">
        <f t="shared" si="18"/>
        <v/>
      </c>
    </row>
    <row r="224" spans="5:6">
      <c r="F224" s="279" t="str">
        <f t="shared" si="18"/>
        <v/>
      </c>
    </row>
    <row r="225" spans="6:6">
      <c r="F225" s="279" t="str">
        <f t="shared" si="18"/>
        <v/>
      </c>
    </row>
    <row r="226" spans="6:6">
      <c r="F226" s="279" t="str">
        <f t="shared" si="18"/>
        <v/>
      </c>
    </row>
    <row r="227" spans="6:6">
      <c r="F227" s="279" t="str">
        <f t="shared" si="18"/>
        <v/>
      </c>
    </row>
    <row r="228" spans="6:6">
      <c r="F228" s="279" t="str">
        <f t="shared" si="18"/>
        <v/>
      </c>
    </row>
    <row r="229" spans="6:6">
      <c r="F229" s="279" t="str">
        <f t="shared" si="18"/>
        <v/>
      </c>
    </row>
    <row r="230" spans="6:6">
      <c r="F230" s="279" t="str">
        <f t="shared" si="18"/>
        <v/>
      </c>
    </row>
    <row r="231" spans="6:6">
      <c r="F231" s="279" t="str">
        <f t="shared" si="18"/>
        <v/>
      </c>
    </row>
    <row r="232" spans="6:6">
      <c r="F232" s="279" t="str">
        <f t="shared" si="18"/>
        <v/>
      </c>
    </row>
    <row r="233" spans="6:6">
      <c r="F233" s="279" t="str">
        <f t="shared" si="18"/>
        <v/>
      </c>
    </row>
    <row r="234" spans="6:6">
      <c r="F234" s="279" t="str">
        <f t="shared" si="18"/>
        <v/>
      </c>
    </row>
    <row r="235" spans="6:6">
      <c r="F235" s="279" t="str">
        <f t="shared" si="18"/>
        <v/>
      </c>
    </row>
    <row r="236" spans="6:6">
      <c r="F236" s="279" t="str">
        <f t="shared" si="18"/>
        <v/>
      </c>
    </row>
    <row r="237" spans="6:6">
      <c r="F237" s="279" t="str">
        <f t="shared" si="18"/>
        <v/>
      </c>
    </row>
    <row r="238" spans="6:6">
      <c r="F238" s="279" t="str">
        <f t="shared" si="18"/>
        <v/>
      </c>
    </row>
    <row r="239" spans="6:6">
      <c r="F239" s="279" t="str">
        <f t="shared" si="18"/>
        <v/>
      </c>
    </row>
    <row r="240" spans="6:6">
      <c r="F240" s="279" t="str">
        <f t="shared" si="18"/>
        <v/>
      </c>
    </row>
    <row r="241" spans="6:6">
      <c r="F241" s="279" t="str">
        <f t="shared" si="18"/>
        <v/>
      </c>
    </row>
    <row r="242" spans="6:6">
      <c r="F242" s="279" t="str">
        <f t="shared" si="18"/>
        <v/>
      </c>
    </row>
    <row r="243" spans="6:6">
      <c r="F243" s="279" t="str">
        <f t="shared" si="18"/>
        <v/>
      </c>
    </row>
    <row r="244" spans="6:6">
      <c r="F244" s="279" t="str">
        <f t="shared" si="18"/>
        <v/>
      </c>
    </row>
    <row r="245" spans="6:6">
      <c r="F245" s="279" t="str">
        <f t="shared" ref="F245:F250" si="19">IF(E245=1,"&lt;td&gt;" &amp; A245 &amp; "&lt;/td&gt;&lt;td&gt;" &amp; LEFT(B245,50) &amp; "&lt;td&gt;" &amp; C245 &amp; "&lt;/td&gt;  ","")</f>
        <v/>
      </c>
    </row>
    <row r="246" spans="6:6">
      <c r="F246" s="279" t="str">
        <f t="shared" si="19"/>
        <v/>
      </c>
    </row>
    <row r="247" spans="6:6">
      <c r="F247" s="279" t="str">
        <f t="shared" si="19"/>
        <v/>
      </c>
    </row>
    <row r="248" spans="6:6">
      <c r="F248" s="279" t="str">
        <f t="shared" si="19"/>
        <v/>
      </c>
    </row>
    <row r="249" spans="6:6">
      <c r="F249" s="279" t="str">
        <f t="shared" si="19"/>
        <v/>
      </c>
    </row>
    <row r="250" spans="6:6">
      <c r="F250" s="279" t="str">
        <f t="shared" si="19"/>
        <v/>
      </c>
    </row>
  </sheetData>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002060"/>
  </sheetPr>
  <dimension ref="A1:G35"/>
  <sheetViews>
    <sheetView topLeftCell="B22" zoomScale="92" zoomScaleNormal="100" workbookViewId="0">
      <selection activeCell="C15" sqref="C15"/>
    </sheetView>
  </sheetViews>
  <sheetFormatPr defaultRowHeight="15"/>
  <cols>
    <col min="1" max="1" width="13.85546875" style="283" bestFit="1" customWidth="1"/>
    <col min="2" max="2" width="60.5703125" style="283" customWidth="1"/>
    <col min="3" max="3" width="110.140625" style="283" customWidth="1"/>
    <col min="4" max="4" width="101.140625" style="283" customWidth="1"/>
    <col min="5" max="5" width="60.5703125" style="283" customWidth="1"/>
    <col min="7" max="7" width="23.28515625" style="283" customWidth="1"/>
  </cols>
  <sheetData>
    <row r="1" spans="1:5" s="284" customFormat="1" ht="36.75" customHeight="1">
      <c r="A1" s="299" t="str">
        <f>IF(Options!B7="STARSCHEMA",  "VCGS Team ODL -  Starschema Table Creator Version " &amp;Version!B1 &amp; "  " &amp; Version!B2 &amp; " - " &amp; Options!B25,"This sheet is only used when the Use Case type is STARSCHEMA.")</f>
        <v>This sheet is only used when the Use Case type is STARSCHEMA.</v>
      </c>
      <c r="B1" s="298"/>
      <c r="C1" s="298"/>
      <c r="D1" s="298"/>
      <c r="E1" s="298"/>
    </row>
    <row r="2" spans="1:5" s="284" customFormat="1" ht="21" customHeight="1">
      <c r="A2" s="306"/>
      <c r="B2" s="298"/>
      <c r="C2" s="298"/>
      <c r="D2" s="298"/>
      <c r="E2" s="298"/>
    </row>
    <row r="3" spans="1:5" s="284" customFormat="1">
      <c r="A3" s="46" t="s">
        <v>0</v>
      </c>
      <c r="B3" s="45" t="s">
        <v>1</v>
      </c>
      <c r="C3" s="297" t="s">
        <v>2</v>
      </c>
      <c r="D3" s="298"/>
      <c r="E3" s="298"/>
    </row>
    <row r="4" spans="1:5" ht="60.75" customHeight="1">
      <c r="A4" s="273">
        <v>1</v>
      </c>
      <c r="B4" s="282" t="s">
        <v>3</v>
      </c>
      <c r="C4" s="291" t="s">
        <v>4</v>
      </c>
      <c r="D4" s="292"/>
      <c r="E4" s="293"/>
    </row>
    <row r="5" spans="1:5" ht="22.5" customHeight="1">
      <c r="A5" s="273">
        <v>2</v>
      </c>
      <c r="B5" s="282" t="s">
        <v>5</v>
      </c>
      <c r="C5" s="294" t="s">
        <v>391</v>
      </c>
      <c r="D5" s="292"/>
      <c r="E5" s="293"/>
    </row>
    <row r="6" spans="1:5" ht="24" customHeight="1">
      <c r="A6" s="273">
        <v>3</v>
      </c>
      <c r="B6" s="282" t="s">
        <v>7</v>
      </c>
      <c r="C6" s="294" t="s">
        <v>8</v>
      </c>
      <c r="D6" s="292"/>
      <c r="E6" s="293"/>
    </row>
    <row r="7" spans="1:5" ht="18" customHeight="1">
      <c r="A7" s="273">
        <f>IF(Options!B31=1,"",4)</f>
        <v>4</v>
      </c>
      <c r="B7" s="282" t="str">
        <f>IF(Options!B31=1,"", "Describe the relations to used dimensions")</f>
        <v>Describe the relations to used dimensions</v>
      </c>
      <c r="C7" s="294" t="str">
        <f>IF(Options!B31=1,"", "Fill in columns to use when doing a lookup in a used dimensional table.")</f>
        <v>Fill in columns to use when doing a lookup in a used dimensional table.</v>
      </c>
      <c r="D7" s="292"/>
      <c r="E7" s="293"/>
    </row>
    <row r="8" spans="1:5">
      <c r="A8" s="273">
        <f>IF(Options!B31=1,4,5)</f>
        <v>5</v>
      </c>
      <c r="B8" s="273" t="s">
        <v>9</v>
      </c>
      <c r="C8" s="305" t="s">
        <v>392</v>
      </c>
      <c r="D8" s="296"/>
      <c r="E8" s="296"/>
    </row>
    <row r="9" spans="1:5" ht="15.75" customHeight="1" thickBot="1"/>
    <row r="10" spans="1:5" s="284" customFormat="1" ht="24.75" customHeight="1" thickBot="1">
      <c r="A10" s="118" t="s">
        <v>393</v>
      </c>
      <c r="B10" s="303" t="str">
        <f ca="1">IF(HELPER!B159=0,"Verified ok. Please check the generated SQL in AWS Athena before deploy to production.","We have found that there are a few things you need to correct before the generated code below could be tested! Please correct them!")</f>
        <v>Verified ok. Please check the generated SQL in AWS Athena before deploy to production.</v>
      </c>
      <c r="C10" s="304"/>
      <c r="D10" s="288"/>
      <c r="E10" s="119"/>
    </row>
    <row r="13" spans="1:5">
      <c r="A13" s="34" t="s">
        <v>394</v>
      </c>
      <c r="B13" s="32" t="s">
        <v>19</v>
      </c>
      <c r="C13" s="33" t="s">
        <v>395</v>
      </c>
      <c r="D13" s="30" t="s">
        <v>396</v>
      </c>
      <c r="E13" s="30" t="s">
        <v>19</v>
      </c>
    </row>
    <row r="14" spans="1:5" ht="66.75" customHeight="1">
      <c r="A14" s="84">
        <v>0</v>
      </c>
      <c r="B14" s="83" t="s">
        <v>397</v>
      </c>
      <c r="C14" s="35" t="str">
        <f>"drop table if exists " &amp; HELPER!B98</f>
        <v>drop table if exists uc0039.factVCSSLast90</v>
      </c>
      <c r="D14" s="35"/>
      <c r="E14" s="44" t="s">
        <v>398</v>
      </c>
    </row>
    <row r="15" spans="1:5" ht="66.75" customHeight="1">
      <c r="A15" s="41">
        <f>IF(Options!B19=1,1,"")</f>
        <v>1</v>
      </c>
      <c r="B15" s="83" t="str">
        <f>IF(Options!B19=1,"Create Custom Source View","")</f>
        <v>Create Custom Source View</v>
      </c>
      <c r="C15" s="35" t="str">
        <f>CLEAN(SUBSTITUTE(HELPER!B139,CHAR(10), " " ))</f>
        <v>Create Or Replace View uc0039.source_factVCSSLast90_[:date_yyyymmdd]_v  AS WITH _vcss_clean as ( select  wkVehicle, CAST(REPLACE(molastsms,'T',' ') as timestamp) as molastsms ,CAST(REPLACE(molastudp,'T',' ') as timestamp) as molastudp ,lakearrivaldate from uc0039.factVCSS ),  _max_vcss_90 AS (    SELECT  DISTINCT                 wkVehicle                 , CAST(max(molastsms) as date) latest_sms                 , CAST(max(molastudp) as date)  latest_udp                  ,'[:date_yyyy_mm_dd]' lake_arrival_date             FROM                  _vcss_clean  t1              where                  lakearrivaldate &lt;= '[:date_yyyy_mm_dd]'              GROUP BY t1.wkVehicle ), _has_communicated_last_90 AS ( SELECT             wkVehicle, 1 as has_communicated_last_90_days, latest_sms  ,   latest_udp,   lake_arrival_date             FROM                  _max_vcss_90              WHERE                  ((latest_sms &gt; (cast('[:date_yyyy_mm_dd]' as date)  - INTERVAL  '90' DAY))                  OR (latest_udp &gt; (cast('[:date_yyyy_mm_dd]' as date) - INTERVAL  '90' DAY))) ), _no_communication_last_90 AS ( select wkVehicle, 0 as has_communicated_last_90_days, null as latest_sms, null as latest_udp,  '[:date_yyyy_mm_dd]' as lake_arrival_date  from uc0039.dimVehicle  WHERE wkVehicle NOT in (select wkVehicle from _has_communicated_last_90) ) SELECT  wkVehicle, has_communicated_last_90_days,cast( latest_udp as date) as latest_udp,cast(latest_sms as date) as latest_sms, cast(lake_arrival_date as varchar)  as lake_arrival_date FROM _has_communicated_last_90   UNION ALL  SELECT wkVehicle, has_communicated_last_90_days,  CAST(latest_udp as date), cast(latest_sms as date),  cast(lake_arrival_date as varchar)  as lake_arrival_date  FROM _no_communication_last_90</v>
      </c>
      <c r="D15" s="35"/>
      <c r="E15" s="44" t="str">
        <f>IF(Options!B19=1,"Your custom source view. Make sure it works! :-)","")</f>
        <v>Your custom source view. Make sure it works! :-)</v>
      </c>
    </row>
    <row r="16" spans="1:5" ht="409.5" customHeight="1">
      <c r="A16" s="43">
        <f>IF(A15="",1,A15+1)</f>
        <v>2</v>
      </c>
      <c r="B16" s="42" t="s">
        <v>399</v>
      </c>
      <c r="C16" s="252" t="str">
        <f ca="1">VIEWHELPER!C2</f>
        <v>CREATE OR REPLACE VIEW uc0039.source_factVCSSLast90_[:date_yyyymmdd]_v  AS WITH t1 as (SELECT f.wkVehicle AS wkVehicle, 1 AS has_communicated_last_90_days, f.lake_arrival_date AS lake_arrival_date, CAST(f.timestamp as timestamp)  AS last_modified_timestamp  FROM uc0039.source_factVCSSLast90_[:date_yyyymmdd]_v  f )  SELECT wkVehicle, has_communicated_last_90_days, lake_arrival_date,CAST( '' as varchar(1)) as hashkey, load_date, last_modified_timestamp FROM t1</v>
      </c>
      <c r="D16" s="48" t="str">
        <f ca="1">VIEWHELPER!C2</f>
        <v>CREATE OR REPLACE VIEW uc0039.source_factVCSSLast90_[:date_yyyymmdd]_v  AS WITH t1 as (SELECT f.wkVehicle AS wkVehicle, 1 AS has_communicated_last_90_days, f.lake_arrival_date AS lake_arrival_date, CAST(f.timestamp as timestamp)  AS last_modified_timestamp  FROM uc0039.source_factVCSSLast90_[:date_yyyymmdd]_v  f )  SELECT wkVehicle, has_communicated_last_90_days, lake_arrival_date,CAST( '' as varchar(1)) as hashkey, load_date, last_modified_timestamp FROM t1</v>
      </c>
      <c r="E16" s="44" t="str">
        <f>IF(Options!B31=1, "ADDS wk-key (primary key) ,hashkey and load date  to source data","Creates the stage-view with lookup values from selected dimensions.")</f>
        <v>Creates the stage-view with lookup values from selected dimensions.</v>
      </c>
    </row>
    <row r="17" spans="1:5" ht="183" customHeight="1">
      <c r="A17" s="43">
        <f>IF(Options!B31=1,A16+1,A16+1)</f>
        <v>3</v>
      </c>
      <c r="B17" s="37" t="s">
        <v>400</v>
      </c>
      <c r="C17" s="48" t="str">
        <f ca="1">'CREATE TABLE'!A2</f>
        <v>CREATE TABLE IF NOT EXISTS  uc0039.factVCSSLast90(wkVehicle bigint, has_communicated_last_90_days bigint, lake_arrival_date string,hashkey string, load_date  Timestamp, last_modified_timestamp  TimestampFALSE) PARTITIONED BY (lake_arrival_date)   LOCATION 's3://uc0039-vgcs-odl-prod/db/factVCSSLast90' TBLPROPERTIES ( 'vacuum_max_snapshot_age_seconds' = '259200', 'optimize_rewrite_delete_file_threshold' = '50', 'write_target_data_file_size_bytes' = '536870912','table_type'='iceberg','format'='parquet')</v>
      </c>
      <c r="D17" s="189"/>
      <c r="E17" s="44" t="s">
        <v>401</v>
      </c>
    </row>
    <row r="18" spans="1:5" ht="43.5" customHeight="1">
      <c r="A18" s="43" t="str">
        <f>IF(Options!B31=1,A17+1,"")</f>
        <v/>
      </c>
      <c r="B18" s="36" t="str">
        <f>IF(Options!B31=1,"INSERT THE MISSING MEMBER","")</f>
        <v/>
      </c>
      <c r="C18" s="48" t="str">
        <f>HELPER!B17</f>
        <v/>
      </c>
      <c r="D18" s="48"/>
      <c r="E18" s="44" t="str">
        <f>IF(Options!B31=1,"This will insert the -1 member into the dimension. Represents a missing value.","")</f>
        <v/>
      </c>
    </row>
    <row r="19" spans="1:5" ht="252.75" customHeight="1">
      <c r="A19" s="43">
        <f>IF(Options!B31=1,A18+1,4)</f>
        <v>4</v>
      </c>
      <c r="B19" s="36" t="s">
        <v>402</v>
      </c>
      <c r="C19" s="48" t="str">
        <f ca="1">IF(Options!B51=1, 'MERGE INTO'!A5,'INCREMENTAL LOAD'!A2)</f>
        <v>MERGE INTO uc0039.factVCSSLast90 as trg USING uc0039.source_factVCSSLast90_[:date_yyyymmdd]_v  as src ON trg.wkVehicle = src.wkVehicle  WHEN NOT MATCHED THEN INSERT ( wkVehicle, has_communicated_last_90_days, lake_arrival_date,load_date, hashkey) VALUES (src.wkVehicle, src.has_communicated_last_90_days, COALESCE(src.lake_arrival_date,''), src.load_date,src.hashkey) WHEN MATCHED  AND trg.last_modified_timestamp &lt;&gt;  src.last_modified_timestamp THEN UPDATE SET has_communicated_last_90_days =  src.has_communicated_last_90_days,last_modified_timestamp = src.last_modified_timestamp</v>
      </c>
      <c r="D19" s="48"/>
      <c r="E19" s="44" t="str">
        <f>"Populates the target table with new data."</f>
        <v>Populates the target table with new data.</v>
      </c>
    </row>
    <row r="20" spans="1:5" ht="319.5" customHeight="1">
      <c r="A20" s="43" t="str">
        <f>IF(Options!B31=1,A19+1,"")</f>
        <v/>
      </c>
      <c r="B20" s="31" t="s">
        <v>403</v>
      </c>
      <c r="C20" s="271" t="str">
        <f ca="1">'MERGE INTO'!A6</f>
        <v>MERGE INTO uc0039.factVCSSLast90 as trg USING (select * from uc0039.source_factVCSSLast90_[:date_yyyymmdd]_v  WHERE CAST(load_date as date) = CAST('[:date_yyyy_mm_dd]' as date)) as src ON trg.wkVehicle = src.wkVehicle  WHEN NOT MATCHED THEN INSERT ( wkVehicle, has_communicated_last_90_days, lake_arrival_date,load_date, hashkey) VALUES (src.wkVehicle, src.has_communicated_last_90_days, COALESCE(src.lake_arrival_date,''), src.load_date,src.hashkey)WHEN MATCHED  AND trg.last_modified_timestamp &lt;&gt;  src.last_modified_timestamp THEN UPDATE SET has_communicated_last_90_days =  src.has_communicated_last_90_days,last_modified_timestamp = src.last_modified_timestamp</v>
      </c>
      <c r="D20" s="91"/>
      <c r="E20" s="44" t="str">
        <f>IF(Options!B31=1,"Temporarily set IsCurrent=0 for all members.","")</f>
        <v/>
      </c>
    </row>
    <row r="21" spans="1:5" ht="37.5" customHeight="1">
      <c r="A21" s="43" t="str">
        <f>IF(Options!B31=1,A20+1,"")</f>
        <v/>
      </c>
      <c r="B21" s="31" t="s">
        <v>404</v>
      </c>
      <c r="C21" s="91" t="str">
        <f>'UPDATE ISCURRENT'!B1</f>
        <v/>
      </c>
      <c r="D21" s="91"/>
      <c r="E21" s="44"/>
    </row>
    <row r="22" spans="1:5" ht="75" customHeight="1">
      <c r="A22" s="43" t="str">
        <f>IF(Options!B31=1,A21+1,"")</f>
        <v/>
      </c>
      <c r="B22" s="37" t="str">
        <f>IF(Options!B31=1," Set IsCurrent=1 for the latest memebers","")</f>
        <v/>
      </c>
      <c r="C22" s="35" t="str">
        <f>REPLACE_SET_ISCURRENT_1</f>
        <v/>
      </c>
      <c r="D22" s="35"/>
      <c r="E22" s="44" t="str">
        <f>IF(Options!B31=1,"Find the latest member by looking at business/natural key and latest load date. Update its IsCurrent value to 1. This means that this is the currently active member.","")</f>
        <v/>
      </c>
    </row>
    <row r="23" spans="1:5">
      <c r="A23" s="43">
        <f>IF(Options!B31=1,A22+1,5)</f>
        <v>5</v>
      </c>
      <c r="B23" s="31" t="str">
        <f>IF(Options!B31=1,"drop stage view ",  "drop stage view")</f>
        <v>drop stage view</v>
      </c>
      <c r="C23" s="95" t="str">
        <f>"drop view " &amp; HELPER!B129</f>
        <v xml:space="preserve">drop view uc0039.source_factVCSSLast90_[:date_yyyymmdd]_v </v>
      </c>
      <c r="D23" s="95"/>
      <c r="E23" s="199" t="s">
        <v>405</v>
      </c>
    </row>
    <row r="24" spans="1:5" ht="30" customHeight="1">
      <c r="A24" s="43">
        <f>IF(Options!B19=1,'OUTPUT ICEBERG'!A23+1,"")</f>
        <v>6</v>
      </c>
      <c r="B24" s="82" t="str">
        <f>"Drop custom source view"</f>
        <v>Drop custom source view</v>
      </c>
      <c r="C24" s="35" t="str">
        <f>IF(Options!B19=1, "drop view " &amp; HELPER!B127,"")</f>
        <v xml:space="preserve">drop view uc0039.source_factVCSSLast90_[:date_yyyymmdd]_v </v>
      </c>
      <c r="D24" s="35"/>
      <c r="E24" s="44" t="str">
        <f>IF(Options!B19=1,"Clean up the database by dropping the temporarily created source view","")</f>
        <v>Clean up the database by dropping the temporarily created source view</v>
      </c>
    </row>
    <row r="25" spans="1:5" ht="43.5" customHeight="1">
      <c r="A25" s="43">
        <f>IF(AND(Options!B31=1,Options!B19=1),A24+1,IF(Options!B31=1,8,7))</f>
        <v>7</v>
      </c>
      <c r="B25" s="82" t="str">
        <f>IF(Options!B51=1,"OPTIMIZE TABLE","")</f>
        <v>OPTIMIZE TABLE</v>
      </c>
      <c r="C25" s="35" t="str">
        <f>IF(Options!B51=1,TEST!E23,"")</f>
        <v>OPTIMIZE uc0039.factVCSSLast90 REWRITE DATA USING BIN_PACK</v>
      </c>
      <c r="D25" s="35"/>
      <c r="E25" s="44" t="str">
        <f>IF(Options!B51=1,TEST!F23,"")</f>
        <v xml:space="preserve">The OPTIMIZE table REWRITE DATA compaction action rewrites data files into a more optimized layout based on their size and number of associated delete files. </v>
      </c>
    </row>
    <row r="26" spans="1:5" ht="30" customHeight="1">
      <c r="A26" s="43">
        <f>IF(Options!B31=1,A25+1,A25+1)</f>
        <v>8</v>
      </c>
      <c r="B26" s="93" t="str">
        <f>IF(Options!B31=1," VERIFY that wk is unique","Verify that the bk is unique")</f>
        <v>Verify that the bk is unique</v>
      </c>
      <c r="C26" s="35" t="str">
        <f ca="1">IF(Options!B31=1, Verify!J2,Verify!J10)</f>
        <v>SELECT  wkVehicle, COUNT(*) FROM uc0039.factVCSSLast90 WHERE   GROUP BY wkVehicle HAVING COUNT(*)&gt;1</v>
      </c>
      <c r="D26" s="35"/>
      <c r="E26" s="44" t="str">
        <f>IF(Options!B31=1," The wk-key for a dimension must be unique. ","The bk for the fact table where none of the bk are -1 should be unique")</f>
        <v>The bk for the fact table where none of the bk are -1 should be unique</v>
      </c>
    </row>
    <row r="27" spans="1:5" ht="30" customHeight="1">
      <c r="A27" s="43" t="str">
        <f>IF(Options!B31=1,A26+1,"")</f>
        <v/>
      </c>
      <c r="B27" s="94" t="str">
        <f>IF(Options!B31=1," VERIFY that the bk is unique","")</f>
        <v/>
      </c>
      <c r="C27" s="35" t="str">
        <f>IF(Options!B31=1,Verify!J3,"")</f>
        <v/>
      </c>
      <c r="D27" s="35"/>
      <c r="E27" s="44" t="str">
        <f>IF(Options!B31=1, "The business/natural key for a dimension must be unique where iscurrent=1","")</f>
        <v/>
      </c>
    </row>
    <row r="28" spans="1:5">
      <c r="A28" s="43" t="str">
        <f>IF(Options!B31=1,A27+1,"")</f>
        <v/>
      </c>
      <c r="B28" s="94" t="str">
        <f>IF(Options!B31=1,"VERIFY wk is not null","")</f>
        <v/>
      </c>
      <c r="C28" s="35" t="str">
        <f>IF(Options!B31=1,Verify!J6,"")</f>
        <v/>
      </c>
      <c r="D28" s="35"/>
      <c r="E28" s="44" t="str">
        <f>IF(Options!B31=1,"The wk-key (primary key) can not be null","")</f>
        <v/>
      </c>
    </row>
    <row r="29" spans="1:5">
      <c r="A29" s="43">
        <f>IF(Options!B31=1,A28+1,A26+1)</f>
        <v>9</v>
      </c>
      <c r="B29" s="220" t="s">
        <v>406</v>
      </c>
      <c r="C29" s="35" t="s">
        <v>407</v>
      </c>
      <c r="D29" s="35"/>
      <c r="E29" s="44" t="s">
        <v>408</v>
      </c>
    </row>
    <row r="30" spans="1:5" ht="30" customHeight="1">
      <c r="A30" s="41"/>
      <c r="B30" s="97" t="s">
        <v>409</v>
      </c>
      <c r="C30" s="92" t="str">
        <f ca="1">Verify!J5</f>
        <v>SELECT  wkVehicle, COUNT(*) FROM uc0039.source_factVCSSLast90_[:date_yyyymmdd]_v  GROUP BY wkVehicle HAVING COUNT(*)&gt;1</v>
      </c>
      <c r="D30" s="92"/>
      <c r="E30" s="44" t="s">
        <v>410</v>
      </c>
    </row>
    <row r="33" spans="2:3">
      <c r="B33" t="s">
        <v>411</v>
      </c>
    </row>
    <row r="34" spans="2:3" ht="107.25" customHeight="1">
      <c r="B34" t="s">
        <v>412</v>
      </c>
      <c r="C34" s="285" t="str">
        <f ca="1">'SCD4'!B13</f>
        <v>CREATE TABLE IF NOT EXISTS  uc0039.factVCSSLast90_history (, hashkey string, load_date  Timestamp, last_modified_timestamp  Timestamp, IsCurrent int)    LOCATION 's3://uc0039-vgcs-odl-prod/db/factVCSSLast90_history' TBLPROPERTIES ( 'vacuum_max_snapshot_age_seconds' = '259200', 'optimize_rewrite_delete_file_threshold' = '50', 'write_target_data_file_size_bytes' = '536870912','table_type'='iceberg','format'='parquet')</v>
      </c>
    </row>
    <row r="35" spans="2:3" ht="105" customHeight="1">
      <c r="B35" t="s">
        <v>413</v>
      </c>
      <c r="C35" s="285" t="str">
        <f ca="1">'SCD4'!B24</f>
        <v>MERGE INTO uc0039.factVCSSLast90_history AS trg   USING (SELECT ABS(from_big_endian_64(xxhash64(CAST(cast(uuid() as varchar) as varbinary)))) AS wkfactVCSSLast90_history, , lower(to_hex(md5(to_utf8(concat(,''))))) hashkey , max(last_modified_timestamp) last_modified_timestamp, MAX(load_date) as load_date, 1 IsCurrent FROM uc0039.stage_factVCSSLast90_v GROUP BY ) as src ON  WHEN NOT MATCHED THEN INSERT (,hashkey, load_date , last_modified_timestamp  , IsCurrent) VALUES (src.wkfactVCSSLast90_history, , src.hashkey, src.load_date, src.last_modified_timestamp , 1 )</v>
      </c>
    </row>
  </sheetData>
  <mergeCells count="9">
    <mergeCell ref="B10:C10"/>
    <mergeCell ref="C8:E8"/>
    <mergeCell ref="C4:E4"/>
    <mergeCell ref="C3:E3"/>
    <mergeCell ref="A1:E1"/>
    <mergeCell ref="C7:E7"/>
    <mergeCell ref="C6:E6"/>
    <mergeCell ref="C5:E5"/>
    <mergeCell ref="A2:E2"/>
  </mergeCells>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FF0000"/>
  </sheetPr>
  <dimension ref="A1:B17"/>
  <sheetViews>
    <sheetView workbookViewId="0">
      <selection activeCell="B17" sqref="B17"/>
    </sheetView>
  </sheetViews>
  <sheetFormatPr defaultRowHeight="15"/>
  <cols>
    <col min="1" max="1" width="66.42578125" style="283" customWidth="1"/>
    <col min="2" max="2" width="137.85546875" style="283" customWidth="1"/>
  </cols>
  <sheetData>
    <row r="1" spans="1:2" ht="21" customHeight="1">
      <c r="A1" t="s">
        <v>414</v>
      </c>
      <c r="B1" s="281" t="s">
        <v>415</v>
      </c>
    </row>
    <row r="2" spans="1:2" ht="18" customHeight="1">
      <c r="A2" t="s">
        <v>416</v>
      </c>
      <c r="B2" s="281" t="s">
        <v>417</v>
      </c>
    </row>
    <row r="3" spans="1:2">
      <c r="A3" t="s">
        <v>418</v>
      </c>
      <c r="B3" t="str">
        <f>Options!B4</f>
        <v>uc0039</v>
      </c>
    </row>
    <row r="10" spans="1:2">
      <c r="A10" t="s">
        <v>419</v>
      </c>
      <c r="B10" t="str">
        <f>"hk_"</f>
        <v>hk_</v>
      </c>
    </row>
    <row r="11" spans="1:2">
      <c r="A11" t="s">
        <v>420</v>
      </c>
      <c r="B11" t="str">
        <f>Options!B25</f>
        <v>factVCSSLast90</v>
      </c>
    </row>
    <row r="12" spans="1:2">
      <c r="A12" t="s">
        <v>421</v>
      </c>
      <c r="B12" t="str">
        <f>B10 &amp; Options!B24</f>
        <v>hk_factVCSSLast90</v>
      </c>
    </row>
    <row r="13" spans="1:2">
      <c r="B13" t="str">
        <f>B12 &amp; " string"</f>
        <v>hk_factVCSSLast90 string</v>
      </c>
    </row>
    <row r="14" spans="1:2">
      <c r="B14" t="str">
        <f ca="1">"lower(to_hex(md5(to_utf8(" &amp; B16 &amp; ")))) AS " &amp; B12</f>
        <v>lower(to_hex(md5(to_utf8(concat(CAST(wkVehicle AS varchar(150)), ''))))) AS hk_factVCSSLast90</v>
      </c>
    </row>
    <row r="15" spans="1:2">
      <c r="A15" t="s">
        <v>422</v>
      </c>
      <c r="B15" t="str">
        <f ca="1">_xlfn.TEXTJOIN(",",TRUE,COLHELPER!AE2:AE150)</f>
        <v>wkVehicle</v>
      </c>
    </row>
    <row r="16" spans="1:2">
      <c r="A16" t="s">
        <v>423</v>
      </c>
      <c r="B16" t="str">
        <f ca="1">"concat(" &amp; _xlfn.TEXTJOIN(", '|', ",TRUE,COLHELPER!BA2:BA237) &amp; ", ''" &amp; ")"</f>
        <v>concat(CAST(wkVehicle AS varchar(150)), '')</v>
      </c>
    </row>
    <row r="17" spans="2:2" ht="159.75" customHeight="1">
      <c r="B17" s="285" t="str">
        <f ca="1">"CREATE TABLE IF NOT EXISTS " &amp; B11 &amp; " (" &amp; B13 &amp;  ", " &amp; COLHELPER!S152 &amp; ", " &amp; B2 &amp; " ) " &amp;  " LOCATION '" &amp; HELPER!B34 &amp; "' " &amp; HELPER!B72</f>
        <v>CREATE TABLE IF NOT EXISTS factVCSSLast90 (hk_factVCSSLast90 string, wkVehicle bigint, has_communicated_last_90_days bigint, lake_arrival_date string, ldts_load_date timestamp, ds_extract_date date, rs_source string )  LOCATION 's3://uc0039-vgcs-odl-prod/db/factVCSSLast90' TBLPROPERTIES ( 'vacuum_max_snapshot_age_seconds' = '259200', 'optimize_rewrite_delete_file_threshold' = '50', 'write_target_data_file_size_bytes' = '536870912','table_type'='iceberg','format'='parquet')</v>
      </c>
    </row>
  </sheetData>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002060"/>
  </sheetPr>
  <dimension ref="A2:B14"/>
  <sheetViews>
    <sheetView workbookViewId="0">
      <selection activeCell="B14" sqref="B14"/>
    </sheetView>
  </sheetViews>
  <sheetFormatPr defaultRowHeight="15"/>
  <cols>
    <col min="1" max="1" width="38.85546875" style="283" customWidth="1"/>
    <col min="2" max="2" width="90.7109375" style="283" customWidth="1"/>
  </cols>
  <sheetData>
    <row r="2" spans="1:2" ht="27.75" customHeight="1">
      <c r="B2" s="285" t="str">
        <f>"CREATE STREAMING LIVE TABLE "</f>
        <v xml:space="preserve">CREATE STREAMING LIVE TABLE </v>
      </c>
    </row>
    <row r="3" spans="1:2">
      <c r="B3" t="s">
        <v>424</v>
      </c>
    </row>
    <row r="5" spans="1:2">
      <c r="B5" t="s">
        <v>425</v>
      </c>
    </row>
    <row r="6" spans="1:2">
      <c r="B6" t="s">
        <v>426</v>
      </c>
    </row>
    <row r="7" spans="1:2">
      <c r="B7" t="s">
        <v>427</v>
      </c>
    </row>
    <row r="8" spans="1:2">
      <c r="B8" t="s">
        <v>428</v>
      </c>
    </row>
    <row r="10" spans="1:2">
      <c r="B10" t="s">
        <v>429</v>
      </c>
    </row>
    <row r="14" spans="1:2" ht="45.75" customHeight="1">
      <c r="A14" s="285" t="s">
        <v>430</v>
      </c>
      <c r="B14" s="285" t="str">
        <f>B3 &amp; " " &amp; Options!B25 &amp; " " &amp; B7</f>
        <v>CREATE LIVE TABLE factVCSSLast90 TBLPROPERTIES ("myCompanyPipeline.quality" = "gold")</v>
      </c>
    </row>
  </sheetData>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tabColor rgb="FF002060"/>
  </sheetPr>
  <dimension ref="A1:F87"/>
  <sheetViews>
    <sheetView topLeftCell="A10" workbookViewId="0">
      <selection activeCell="C13" sqref="C13"/>
    </sheetView>
  </sheetViews>
  <sheetFormatPr defaultRowHeight="15"/>
  <cols>
    <col min="1" max="1" width="13.85546875" style="283" bestFit="1" customWidth="1"/>
    <col min="2" max="2" width="29.5703125" style="283" customWidth="1"/>
    <col min="3" max="3" width="174.140625" style="283" customWidth="1"/>
    <col min="4" max="4" width="94.42578125" style="283" customWidth="1"/>
    <col min="5" max="5" width="27" style="283" customWidth="1"/>
    <col min="6" max="6" width="68.85546875" style="283" customWidth="1"/>
  </cols>
  <sheetData>
    <row r="1" spans="1:6" s="284" customFormat="1" ht="36.75" customHeight="1">
      <c r="A1" s="299" t="str">
        <f>IF(Options!B7="UNLOAD",  "VCGS Team ODL -  UNLOAD  Version " &amp;Version!B1 &amp; "  " &amp; Version!B2 &amp; " - " &amp; Options!B25,"This sheet is only used when use case type is UNLOAD")</f>
        <v>This sheet is only used when use case type is UNLOAD</v>
      </c>
      <c r="B1" s="298"/>
      <c r="C1" s="298"/>
      <c r="D1" s="298"/>
      <c r="E1" s="298"/>
    </row>
    <row r="3" spans="1:6">
      <c r="B3" t="s">
        <v>807</v>
      </c>
      <c r="C3" t="s">
        <v>808</v>
      </c>
    </row>
    <row r="6" spans="1:6">
      <c r="A6" s="30" t="s">
        <v>394</v>
      </c>
      <c r="B6" s="30" t="s">
        <v>19</v>
      </c>
      <c r="C6" s="30" t="s">
        <v>809</v>
      </c>
      <c r="D6" s="30" t="s">
        <v>810</v>
      </c>
      <c r="E6" s="30" t="s">
        <v>153</v>
      </c>
      <c r="F6" s="30"/>
    </row>
    <row r="7" spans="1:6" ht="409.5" customHeight="1">
      <c r="A7" s="285" t="str">
        <f>IF(Options!B19=1,"1","")</f>
        <v>1</v>
      </c>
      <c r="B7" s="285" t="str">
        <f>"Create Custom Source View"</f>
        <v>Create Custom Source View</v>
      </c>
      <c r="C7" s="285" t="str">
        <f>CLEAN(SUBSTITUTE(HELPER!B139,CHAR(10), " " ))</f>
        <v>Create Or Replace View uc0039.source_factVCSSLast90_[:date_yyyymmdd]_v  AS WITH _vcss_clean as ( select  wkVehicle, CAST(REPLACE(molastsms,'T',' ') as timestamp) as molastsms ,CAST(REPLACE(molastudp,'T',' ') as timestamp) as molastudp ,lakearrivaldate from uc0039.factVCSS ),  _max_vcss_90 AS (    SELECT  DISTINCT                 wkVehicle                 , CAST(max(molastsms) as date) latest_sms                 , CAST(max(molastudp) as date)  latest_udp                  ,'[:date_yyyy_mm_dd]' lake_arrival_date             FROM                  _vcss_clean  t1              where                  lakearrivaldate &lt;= '[:date_yyyy_mm_dd]'              GROUP BY t1.wkVehicle ), _has_communicated_last_90 AS ( SELECT             wkVehicle, 1 as has_communicated_last_90_days, latest_sms  ,   latest_udp,   lake_arrival_date             FROM                  _max_vcss_90              WHERE                  ((latest_sms &gt; (cast('[:date_yyyy_mm_dd]' as date)  - INTERVAL  '90' DAY))                  OR (latest_udp &gt; (cast('[:date_yyyy_mm_dd]' as date) - INTERVAL  '90' DAY))) ), _no_communication_last_90 AS ( select wkVehicle, 0 as has_communicated_last_90_days, null as latest_sms, null as latest_udp,  '[:date_yyyy_mm_dd]' as lake_arrival_date  from uc0039.dimVehicle  WHERE wkVehicle NOT in (select wkVehicle from _has_communicated_last_90) ) SELECT  wkVehicle, has_communicated_last_90_days,cast( latest_udp as date) as latest_udp,cast(latest_sms as date) as latest_sms, cast(lake_arrival_date as varchar)  as lake_arrival_date FROM _has_communicated_last_90   UNION ALL  SELECT wkVehicle, has_communicated_last_90_days,  CAST(latest_udp as date), cast(latest_sms as date),  cast(lake_arrival_date as varchar)  as lake_arrival_date  FROM _no_communication_last_90</v>
      </c>
      <c r="D7" s="151" t="str">
        <f>SUBSTITUTE(SUBSTITUTE(C7,"[:date_yyyymmdd]","20231101"),"[:date_yyyy_mm_dd]","2023-11-01")</f>
        <v>Create Or Replace View uc0039.source_factVCSSLast90_20231101_v  AS WITH _vcss_clean as ( select  wkVehicle, CAST(REPLACE(molastsms,'T',' ') as timestamp) as molastsms ,CAST(REPLACE(molastudp,'T',' ') as timestamp) as molastudp ,lakearrivaldate from uc0039.factVCSS ),  _max_vcss_90 AS (    SELECT  DISTINCT                 wkVehicle                 , CAST(max(molastsms) as date) latest_sms                 , CAST(max(molastudp) as date)  latest_udp                  ,'2023-11-01' lake_arrival_date             FROM                  _vcss_clean  t1              where                  lakearrivaldate &lt;= '2023-11-01'              GROUP BY t1.wkVehicle ), _has_communicated_last_90 AS ( SELECT             wkVehicle, 1 as has_communicated_last_90_days, latest_sms  ,   latest_udp,   lake_arrival_date             FROM                  _max_vcss_90              WHERE                  ((latest_sms &gt; (cast('2023-11-01' as date)  - INTERVAL  '90' DAY))                  OR (latest_udp &gt; (cast('2023-11-01' as date) - INTERVAL  '90' DAY))) ), _no_communication_last_90 AS ( select wkVehicle, 0 as has_communicated_last_90_days, null as latest_sms, null as latest_udp,  '2023-11-01' as lake_arrival_date  from uc0039.dimVehicle  WHERE wkVehicle NOT in (select wkVehicle from _has_communicated_last_90) ) SELECT  wkVehicle, has_communicated_last_90_days,cast( latest_udp as date) as latest_udp,cast(latest_sms as date) as latest_sms, cast(lake_arrival_date as varchar)  as lake_arrival_date FROM _has_communicated_last_90   UNION ALL  SELECT wkVehicle, has_communicated_last_90_days,  CAST(latest_udp as date), cast(latest_sms as date),  cast(lake_arrival_date as varchar)  as lake_arrival_date  FROM _no_communication_last_90</v>
      </c>
      <c r="E7" s="285" t="str">
        <f>"Create the source view"</f>
        <v>Create the source view</v>
      </c>
      <c r="F7" s="285" t="str">
        <f>HELPER!B127</f>
        <v xml:space="preserve">uc0039.source_factVCSSLast90_[:date_yyyymmdd]_v </v>
      </c>
    </row>
    <row r="8" spans="1:6" ht="282" customHeight="1">
      <c r="A8" s="285">
        <f>IF(A7="",1,A7+1)</f>
        <v>2</v>
      </c>
      <c r="B8" s="285" t="s">
        <v>811</v>
      </c>
      <c r="C8" s="285" t="str">
        <f>IF(Options!F7=33,"", IF(Options!B7=2, 'OUTPUT ICEBERG'!C16,""))</f>
        <v/>
      </c>
      <c r="D8" s="152" t="str">
        <f>IF(Options!F7=33,"", IF(Options!B7="UNLOAD",  VIEWHELPER!B2,""))</f>
        <v/>
      </c>
      <c r="E8" s="285" t="str">
        <f>IF(C8="","","Create the stage view.")</f>
        <v/>
      </c>
    </row>
    <row r="9" spans="1:6" ht="58.5" customHeight="1">
      <c r="A9" s="285"/>
      <c r="B9" s="285" t="str">
        <f>IF(Options!B79=0,"", "Drop target table. Please note that this step will not delete any S3 data. And that is a good thing!")</f>
        <v>Drop target table. Please note that this step will not delete any S3 data. And that is a good thing!</v>
      </c>
      <c r="C9" s="285" t="str">
        <f>IF(Options!B79=0,"",UNLOAD!B10)</f>
        <v>DROP TABLE IF EXISTS uc0039.factVCSSLast90</v>
      </c>
      <c r="D9" s="153"/>
      <c r="E9" s="285" t="str">
        <f>IF(Options!B79=1,"Drop the target table. No s3 data will be removed in this step!","")</f>
        <v>Drop the target table. No s3 data will be removed in this step!</v>
      </c>
    </row>
    <row r="10" spans="1:6" ht="330.75" customHeight="1">
      <c r="A10" s="285"/>
      <c r="B10" s="285" t="str">
        <f>IF(Options!B79=1,"Create Taget AWS Athena table","")</f>
        <v>Create Taget AWS Athena table</v>
      </c>
      <c r="C10" s="10" t="str">
        <f ca="1">IF(Options!B79=0,"",UNLOAD!B11)</f>
        <v>CREATE EXTERNAL TABLE IF NOT EXISTS  uc0039.factVCSSLast90(wkVehicle bigint, has_communicated_last_90_days bigint) PARTITIONED BY (lake_arrival_date string) ROW FORMAT SERDE 'org.apache.hadoop.hive.ql.io.parquet.serde.ParquetHiveSerDe' STORED AS INPUTFORMAT 'org.apache.hadoop.hive.ql.io.parquet.MapredParquetInputFormat' OUTPUTFORMAT 'org.apache.hadoop.hive.ql.io.parquet.MapredParquetOutputFormat' LOCATION 's3://uc0039-vgcs-odl-prod/db/factVCSSLast90/'</v>
      </c>
      <c r="D10" s="153"/>
      <c r="E10" s="285" t="str">
        <f>IF(Options!B79=1, "Create AWS Athena Table","")</f>
        <v>Create AWS Athena Table</v>
      </c>
    </row>
    <row r="11" spans="1:6">
      <c r="A11" s="285"/>
      <c r="B11" s="285" t="s">
        <v>812</v>
      </c>
      <c r="C11" s="285" t="str">
        <f>Options!B28</f>
        <v>uc0039-vgcs-odl-prod</v>
      </c>
      <c r="D11" s="153"/>
      <c r="E11" s="285" t="s">
        <v>813</v>
      </c>
    </row>
    <row r="12" spans="1:6" ht="70.5" customHeight="1">
      <c r="A12" s="285"/>
      <c r="B12" s="277" t="s">
        <v>814</v>
      </c>
      <c r="C12" s="149" t="str">
        <f ca="1">SUBSTITUTE(UNLOAD!B7,"$eq", "=")</f>
        <v>db/factVCSSLast90/lake_arrival_date=[:date_yyyy_mm_dd]</v>
      </c>
      <c r="D12" s="154"/>
      <c r="E12" s="150" t="s">
        <v>813</v>
      </c>
    </row>
    <row r="13" spans="1:6" ht="185.25" customHeight="1">
      <c r="A13" s="285"/>
      <c r="B13" s="285" t="s">
        <v>815</v>
      </c>
      <c r="C13" s="285" t="str">
        <f ca="1">UNLOAD!B9</f>
        <v>UNLOAD(SELECT wkVehicle, has_communicated_last_90_days, lake_arrival_date FROM uc0039.source_factVCSSLast90_[:date_yyyymmdd]_v   WHERE lake_arrival_date='[:date_yyyy_mm_dd]') TO  's3://uc0039-vgcs-odl-prod/db/factVCSSLast90/lake_arrival_date=[:date_yyyy_mm_dd]' WITH (format='parquet')</v>
      </c>
      <c r="D13" s="155" t="str">
        <f ca="1">UNLOAD!C9</f>
        <v>UNLOAD(SELECT wkVehicle, has_communicated_last_90_days, lake_arrival_date FROM uc0039.source_factVCSSLast90_20231101_v   WHERE lake_arrival_date='2023-11-01') TO  's3://uc0039-vgcs-odl-prod/db/factVCSSLast90/lake_arrival_date=2023-11-01' WITH (format='parquet')</v>
      </c>
      <c r="E13" s="285" t="s">
        <v>816</v>
      </c>
    </row>
    <row r="14" spans="1:6" ht="69" customHeight="1">
      <c r="A14" s="285"/>
      <c r="B14" s="285" t="str">
        <f>IF(Options!B79=0,"","ADD PARTITION (TARGET TABLE)")</f>
        <v>ADD PARTITION (TARGET TABLE)</v>
      </c>
      <c r="C14" s="285" t="str">
        <f ca="1">IF(Options!B79=0,"",UNLOAD!C11)</f>
        <v>ALTER TABLE uc0039.factVCSSLast90 ADD IF NOT EXISTS PARTITION  (lake_arrival_date='[:date_yyyy_mm_dd]')</v>
      </c>
      <c r="D14" s="151" t="str">
        <f ca="1">IF(Options!B79=0,"", UNLOAD!D11)</f>
        <v>ALTER TABLE uc0039.factVCSSLast90 ADD IF NOT EXISTS PARTITION  (lake_arrival_date='2023-11-01')</v>
      </c>
    </row>
    <row r="15" spans="1:6" ht="69" customHeight="1">
      <c r="A15" s="285"/>
      <c r="B15" s="285" t="s">
        <v>817</v>
      </c>
      <c r="C15" s="285" t="str">
        <f ca="1">UNLOAD!B33</f>
        <v>SELECT COUNT(*) FROM uc0039.factVCSSLast90 WHERE lake_arrival_date='[:date_yyyy_mm_dd]'</v>
      </c>
      <c r="D15" s="151" t="str">
        <f ca="1">UNLOAD!B34</f>
        <v>SELECT COUNT(*) FROM uc0039.factVCSSLast90 WHERE lake_arrival_date='2023-11-01'</v>
      </c>
    </row>
    <row r="16" spans="1:6" ht="30" customHeight="1">
      <c r="A16" s="285"/>
      <c r="B16" s="285" t="s">
        <v>818</v>
      </c>
      <c r="C16" s="285" t="str">
        <f>"drop view " &amp; HELPER!B124</f>
        <v xml:space="preserve">drop view uc0039.source_factVCSSLast90_[:date_yyyymmdd]_v </v>
      </c>
      <c r="D16" s="153"/>
      <c r="E16" t="s">
        <v>819</v>
      </c>
    </row>
    <row r="17" spans="1:5">
      <c r="A17" s="285"/>
      <c r="B17" s="285" t="s">
        <v>820</v>
      </c>
      <c r="C17" s="285" t="str">
        <f>"drop view " &amp; HELPER!B129</f>
        <v xml:space="preserve">drop view uc0039.source_factVCSSLast90_[:date_yyyymmdd]_v </v>
      </c>
      <c r="D17" s="153"/>
      <c r="E17" t="s">
        <v>819</v>
      </c>
    </row>
    <row r="18" spans="1:5">
      <c r="A18" s="285"/>
      <c r="B18" s="285"/>
      <c r="C18" s="285"/>
    </row>
    <row r="19" spans="1:5">
      <c r="A19" s="285"/>
      <c r="B19" s="285"/>
      <c r="C19" s="285"/>
      <c r="E19" t="s">
        <v>821</v>
      </c>
    </row>
    <row r="20" spans="1:5">
      <c r="A20" s="285"/>
      <c r="B20" s="285"/>
      <c r="C20" s="285"/>
    </row>
    <row r="21" spans="1:5">
      <c r="A21" s="285"/>
      <c r="B21" s="285"/>
      <c r="C21" s="285"/>
    </row>
    <row r="22" spans="1:5">
      <c r="A22" s="285"/>
      <c r="B22" s="285"/>
      <c r="C22" s="285"/>
    </row>
    <row r="23" spans="1:5">
      <c r="A23" s="285"/>
      <c r="B23" s="285"/>
      <c r="C23" s="285"/>
    </row>
    <row r="24" spans="1:5">
      <c r="A24" s="285"/>
      <c r="B24" s="285"/>
      <c r="C24" s="285"/>
    </row>
    <row r="25" spans="1:5">
      <c r="A25" s="285"/>
      <c r="B25" s="285"/>
      <c r="C25" s="285"/>
    </row>
    <row r="26" spans="1:5">
      <c r="A26" s="285"/>
      <c r="B26" s="285"/>
      <c r="C26" s="285"/>
    </row>
    <row r="27" spans="1:5">
      <c r="A27" s="285"/>
      <c r="B27" s="285"/>
      <c r="C27" s="285" t="s">
        <v>822</v>
      </c>
    </row>
    <row r="28" spans="1:5">
      <c r="A28" s="285"/>
      <c r="B28" s="285"/>
      <c r="C28" s="285"/>
    </row>
    <row r="29" spans="1:5">
      <c r="A29" s="285"/>
      <c r="B29" s="285"/>
      <c r="C29" s="285" t="s">
        <v>823</v>
      </c>
    </row>
    <row r="30" spans="1:5">
      <c r="A30" s="285"/>
      <c r="B30" s="285"/>
      <c r="C30" s="285" t="s">
        <v>824</v>
      </c>
    </row>
    <row r="31" spans="1:5">
      <c r="A31" s="285"/>
      <c r="B31" s="285"/>
      <c r="C31" s="285"/>
    </row>
    <row r="32" spans="1:5">
      <c r="A32" s="285"/>
      <c r="B32" s="285"/>
      <c r="C32" s="285"/>
    </row>
    <row r="33" spans="1:3">
      <c r="A33" s="285"/>
      <c r="B33" s="285"/>
      <c r="C33" s="285"/>
    </row>
    <row r="34" spans="1:3">
      <c r="A34" s="285"/>
      <c r="B34" s="285"/>
      <c r="C34" s="285"/>
    </row>
    <row r="35" spans="1:3">
      <c r="A35" s="285"/>
      <c r="B35" s="285"/>
      <c r="C35" s="285"/>
    </row>
    <row r="36" spans="1:3">
      <c r="A36" s="285"/>
      <c r="B36" s="285"/>
      <c r="C36" s="285"/>
    </row>
    <row r="37" spans="1:3">
      <c r="A37" s="285"/>
      <c r="B37" s="285"/>
      <c r="C37" s="285"/>
    </row>
    <row r="38" spans="1:3">
      <c r="A38" s="285"/>
      <c r="B38" s="285"/>
      <c r="C38" s="285"/>
    </row>
    <row r="39" spans="1:3">
      <c r="A39" s="285"/>
      <c r="B39" s="285"/>
      <c r="C39" s="285"/>
    </row>
    <row r="40" spans="1:3">
      <c r="A40" s="285"/>
      <c r="B40" s="285"/>
      <c r="C40" s="285"/>
    </row>
    <row r="41" spans="1:3">
      <c r="A41" s="285"/>
      <c r="B41" s="285"/>
      <c r="C41" s="285"/>
    </row>
    <row r="42" spans="1:3">
      <c r="A42" s="285"/>
      <c r="B42" s="285"/>
      <c r="C42" s="285"/>
    </row>
    <row r="43" spans="1:3">
      <c r="A43" s="285"/>
      <c r="B43" s="285"/>
      <c r="C43" s="285"/>
    </row>
    <row r="44" spans="1:3">
      <c r="A44" s="285"/>
      <c r="B44" s="285"/>
      <c r="C44" s="285"/>
    </row>
    <row r="45" spans="1:3">
      <c r="A45" s="285"/>
      <c r="B45" s="285"/>
      <c r="C45" s="285"/>
    </row>
    <row r="46" spans="1:3">
      <c r="A46" s="285"/>
      <c r="B46" s="285"/>
      <c r="C46" s="285"/>
    </row>
    <row r="47" spans="1:3">
      <c r="A47" s="285"/>
      <c r="B47" s="285"/>
      <c r="C47" s="285"/>
    </row>
    <row r="48" spans="1:3">
      <c r="A48" s="285"/>
      <c r="B48" s="285"/>
      <c r="C48" s="285"/>
    </row>
    <row r="49" spans="1:3">
      <c r="A49" s="285"/>
      <c r="B49" s="285"/>
      <c r="C49" s="285"/>
    </row>
    <row r="50" spans="1:3">
      <c r="A50" s="285"/>
      <c r="B50" s="285"/>
      <c r="C50" s="285"/>
    </row>
    <row r="51" spans="1:3">
      <c r="A51" s="285"/>
      <c r="B51" s="285"/>
      <c r="C51" s="285"/>
    </row>
    <row r="52" spans="1:3">
      <c r="A52" s="285"/>
      <c r="B52" s="285"/>
      <c r="C52" s="285"/>
    </row>
    <row r="53" spans="1:3">
      <c r="A53" s="285"/>
      <c r="B53" s="285"/>
      <c r="C53" s="285"/>
    </row>
    <row r="54" spans="1:3">
      <c r="A54" s="285"/>
      <c r="B54" s="285"/>
      <c r="C54" s="285"/>
    </row>
    <row r="55" spans="1:3">
      <c r="A55" s="285"/>
      <c r="B55" s="285"/>
      <c r="C55" s="285"/>
    </row>
    <row r="56" spans="1:3">
      <c r="A56" s="285"/>
      <c r="B56" s="285"/>
      <c r="C56" s="285"/>
    </row>
    <row r="57" spans="1:3">
      <c r="A57" s="285"/>
      <c r="B57" s="285"/>
      <c r="C57" s="285"/>
    </row>
    <row r="58" spans="1:3">
      <c r="A58" s="285"/>
      <c r="B58" s="285"/>
      <c r="C58" s="285"/>
    </row>
    <row r="59" spans="1:3">
      <c r="A59" s="285"/>
      <c r="B59" s="285"/>
      <c r="C59" s="285"/>
    </row>
    <row r="60" spans="1:3">
      <c r="A60" s="285"/>
      <c r="B60" s="285"/>
      <c r="C60" s="285"/>
    </row>
    <row r="61" spans="1:3">
      <c r="A61" s="285"/>
      <c r="B61" s="285"/>
      <c r="C61" s="285"/>
    </row>
    <row r="62" spans="1:3">
      <c r="A62" s="285"/>
      <c r="B62" s="285"/>
      <c r="C62" s="285"/>
    </row>
    <row r="63" spans="1:3">
      <c r="A63" s="285"/>
      <c r="B63" s="285"/>
      <c r="C63" s="285"/>
    </row>
    <row r="64" spans="1:3">
      <c r="A64" s="285"/>
      <c r="B64" s="285"/>
      <c r="C64" s="285"/>
    </row>
    <row r="65" spans="1:3">
      <c r="A65" s="285"/>
      <c r="B65" s="285"/>
      <c r="C65" s="285"/>
    </row>
    <row r="66" spans="1:3">
      <c r="A66" s="285"/>
      <c r="B66" s="285"/>
      <c r="C66" s="285"/>
    </row>
    <row r="67" spans="1:3">
      <c r="A67" s="285"/>
      <c r="B67" s="285"/>
      <c r="C67" s="285"/>
    </row>
    <row r="68" spans="1:3">
      <c r="A68" s="285"/>
      <c r="B68" s="285"/>
      <c r="C68" s="285"/>
    </row>
    <row r="69" spans="1:3">
      <c r="A69" s="285"/>
      <c r="B69" s="285"/>
      <c r="C69" s="285"/>
    </row>
    <row r="70" spans="1:3">
      <c r="A70" s="285"/>
      <c r="B70" s="285"/>
      <c r="C70" s="285"/>
    </row>
    <row r="71" spans="1:3">
      <c r="A71" s="285"/>
      <c r="B71" s="285"/>
      <c r="C71" s="285"/>
    </row>
    <row r="72" spans="1:3">
      <c r="A72" s="285"/>
      <c r="B72" s="285"/>
      <c r="C72" s="285"/>
    </row>
    <row r="73" spans="1:3">
      <c r="A73" s="285"/>
      <c r="B73" s="285"/>
      <c r="C73" s="285"/>
    </row>
    <row r="74" spans="1:3">
      <c r="A74" s="285"/>
      <c r="B74" s="285"/>
      <c r="C74" s="285"/>
    </row>
    <row r="75" spans="1:3">
      <c r="A75" s="285"/>
      <c r="B75" s="285"/>
      <c r="C75" s="285"/>
    </row>
    <row r="76" spans="1:3">
      <c r="A76" s="285"/>
      <c r="B76" s="285"/>
      <c r="C76" s="285"/>
    </row>
    <row r="77" spans="1:3">
      <c r="A77" s="285"/>
      <c r="B77" s="285"/>
      <c r="C77" s="285"/>
    </row>
    <row r="78" spans="1:3">
      <c r="A78" s="285"/>
      <c r="B78" s="285"/>
      <c r="C78" s="285"/>
    </row>
    <row r="79" spans="1:3">
      <c r="A79" s="285"/>
      <c r="B79" s="285"/>
      <c r="C79" s="285"/>
    </row>
    <row r="80" spans="1:3">
      <c r="A80" s="285"/>
      <c r="B80" s="285"/>
      <c r="C80" s="285"/>
    </row>
    <row r="81" spans="1:3">
      <c r="A81" s="285"/>
      <c r="B81" s="285"/>
      <c r="C81" s="285"/>
    </row>
    <row r="82" spans="1:3">
      <c r="A82" s="285"/>
      <c r="B82" s="285"/>
      <c r="C82" s="285"/>
    </row>
    <row r="83" spans="1:3">
      <c r="A83" s="285"/>
      <c r="B83" s="285"/>
      <c r="C83" s="285"/>
    </row>
    <row r="84" spans="1:3">
      <c r="A84" s="285"/>
      <c r="B84" s="285"/>
      <c r="C84" s="285"/>
    </row>
    <row r="85" spans="1:3">
      <c r="A85" s="285"/>
      <c r="B85" s="285"/>
      <c r="C85" s="285"/>
    </row>
    <row r="86" spans="1:3">
      <c r="A86" s="285"/>
      <c r="B86" s="285"/>
      <c r="C86" s="285"/>
    </row>
    <row r="87" spans="1:3">
      <c r="A87" s="285"/>
      <c r="B87" s="285"/>
      <c r="C87" s="285"/>
    </row>
  </sheetData>
  <mergeCells count="1">
    <mergeCell ref="A1:E1"/>
  </mergeCells>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002060"/>
  </sheetPr>
  <dimension ref="A1:K100"/>
  <sheetViews>
    <sheetView workbookViewId="0">
      <selection activeCell="B11" sqref="B11"/>
    </sheetView>
  </sheetViews>
  <sheetFormatPr defaultRowHeight="15"/>
  <cols>
    <col min="1" max="1" width="13.85546875" style="283" customWidth="1"/>
    <col min="2" max="2" width="38.42578125" style="283" customWidth="1"/>
    <col min="3" max="3" width="55.140625" style="285" customWidth="1"/>
    <col min="4" max="4" width="21" style="283" customWidth="1"/>
    <col min="5" max="5" width="13.28515625" style="283" bestFit="1" customWidth="1"/>
    <col min="6" max="6" width="23.7109375" style="283" customWidth="1"/>
    <col min="7" max="7" width="7.5703125" style="211" customWidth="1"/>
    <col min="8" max="8" width="88.5703125" style="211" customWidth="1"/>
    <col min="9" max="9" width="22.85546875" style="211" customWidth="1"/>
    <col min="10" max="10" width="255.7109375" style="211" bestFit="1" customWidth="1"/>
    <col min="11" max="11" width="9.140625" style="211" customWidth="1"/>
  </cols>
  <sheetData>
    <row r="1" spans="1:11" s="221" customFormat="1">
      <c r="A1" s="30" t="s">
        <v>431</v>
      </c>
      <c r="B1" s="30" t="s">
        <v>432</v>
      </c>
      <c r="C1" s="24" t="s">
        <v>19</v>
      </c>
      <c r="D1" s="30"/>
      <c r="E1" s="30"/>
      <c r="F1" s="30" t="s">
        <v>433</v>
      </c>
      <c r="G1" s="211" t="s">
        <v>434</v>
      </c>
      <c r="H1" s="211" t="str">
        <f>"&lt;th&gt;" &amp; A1 &amp; "&lt;/th&gt;&lt;th&gt;" &amp; B1 &amp; "&lt;/th&gt;&lt;th&gt;" &amp; C1 &amp; "&lt;/th&gt;&lt;th&gt;" &amp; D1 &amp; "&lt;/th&gt;&lt;th&gt;" &amp; E1 &amp; "&lt;/th&gt;&lt;th&gt;" &amp; F1 &amp; "&lt;/th&gt;"</f>
        <v>&lt;th&gt;Template Number&lt;/th&gt;&lt;th&gt;Name&lt;/th&gt;&lt;th&gt;Description&lt;/th&gt;&lt;th&gt;&lt;/th&gt;&lt;th&gt;&lt;/th&gt;&lt;th&gt;Status&lt;/th&gt;</v>
      </c>
      <c r="I1" s="211" t="str">
        <f>"&lt;tr&gt;" &amp; _xlfn.TEXTJOIN("&lt;/tr&gt;&lt;tr&gt;",TRUE,H2:H100) &amp; "&lt;/tr&gt;"</f>
        <v>&lt;tr&gt;&lt;td&gt;1&lt;/td&gt;&lt;td&gt;load dimension table as Iceberg&lt;/td&gt;&lt;td&gt;KIMBALL dimensional table. Supports SCD-1 and SCD-2. SCD-1 will update rows in the dimension and SCD-2 will add a new member each time an SCD-2 attribute is updated.&lt;/td&gt;&lt;td&gt;&lt;/td&gt;&lt;td&gt;&lt;/td&gt;&lt;td&gt;In production&lt;/td&gt;&lt;/tr&gt;&lt;tr&gt;&lt;td&gt;2&lt;/td&gt;&lt;td&gt;load fact table as EXTERNAL_TABLE (hive)&lt;/td&gt;&lt;td&gt;KIMBALL fact-table as External Table. If not partitioned the entire content will be replaced for each load. If partitioned by date then a new partition will be created each day.&lt;/td&gt;&lt;td&gt;&lt;/td&gt;&lt;td&gt;&lt;/td&gt;&lt;td&gt;In production&lt;/td&gt;&lt;/tr&gt;&lt;tr&gt;&lt;td&gt;3&lt;/td&gt;&lt;td&gt;load fact table as ICEBERG TABLE&lt;/td&gt;&lt;td&gt;KIMBALL fact-table as ICEBERG Table. Will update records already in the table and insert new records.&lt;/td&gt;&lt;td&gt;&lt;/td&gt;&lt;td&gt;&lt;/td&gt;&lt;td&gt;In production&lt;/td&gt;&lt;/tr&gt;&lt;tr&gt;&lt;td&gt;10&lt;/td&gt;&lt;td&gt;DATA VAULT Load hub&lt;/td&gt;&lt;td&gt;&lt;/td&gt;&lt;td&gt;&lt;/td&gt;&lt;td&gt;&lt;/td&gt;&lt;td&gt;DEV&lt;/td&gt;&lt;/tr&gt;&lt;tr&gt;&lt;td&gt;11&lt;/td&gt;&lt;td&gt;DATA VAULT Load sat&lt;/td&gt;&lt;td&gt;&lt;/td&gt;&lt;td&gt;&lt;/td&gt;&lt;td&gt;&lt;/td&gt;&lt;td&gt;DEV&lt;/td&gt;&lt;/tr&gt;&lt;tr&gt;&lt;td&gt;12&lt;/td&gt;&lt;td&gt;DATA VAULT Load Link&lt;/td&gt;&lt;td&gt;&lt;/td&gt;&lt;td&gt;&lt;/td&gt;&lt;td&gt;&lt;/td&gt;&lt;td&gt;DEV&lt;/td&gt;&lt;/tr&gt;&lt;tr&gt;&lt;td&gt;20&lt;/td&gt;&lt;td&gt;Create source view&lt;/td&gt;&lt;td&gt;Just creates the view mentioned in Custom Source View&lt;/td&gt;&lt;td&gt;&lt;/td&gt;&lt;td&gt;&lt;/td&gt;&lt;td&gt;&lt;/td&gt;&lt;/tr&gt;&lt;tr&gt;&lt;td&gt;33&lt;/td&gt;&lt;td&gt;Create and load partitioned external table from source&lt;/td&gt;&lt;td&gt;Creates EXTERNAL TABLE and loads partitions with UNLOAD&lt;/td&gt;&lt;td&gt;AWS Athena&lt;/td&gt;&lt;td&gt;AWS Steps&lt;/td&gt;&lt;td&gt;In production&lt;/td&gt;&lt;/tr&gt;&lt;tr&gt;&lt;td&gt;50&lt;/td&gt;&lt;td&gt;RAW-TO-STAGED parquet to iceberg&lt;/td&gt;&lt;td&gt;RAW TO STAGED. RAW Parquet files to STAGED Ice berg&lt;/td&gt;&lt;td&gt;&lt;/td&gt;&lt;td&gt;&lt;/td&gt;&lt;td&gt;Development&lt;/td&gt;&lt;/tr&gt;</v>
      </c>
      <c r="J1" s="211" t="str">
        <f>"&lt;table&gt;" &amp; H1 &amp; I1 &amp; "&lt;/table&gt;"</f>
        <v>&lt;table&gt;&lt;th&gt;Template Number&lt;/th&gt;&lt;th&gt;Name&lt;/th&gt;&lt;th&gt;Description&lt;/th&gt;&lt;th&gt;&lt;/th&gt;&lt;th&gt;&lt;/th&gt;&lt;th&gt;Status&lt;/th&gt;&lt;tr&gt;&lt;td&gt;1&lt;/td&gt;&lt;td&gt;load dimension table as Iceberg&lt;/td&gt;&lt;td&gt;KIMBALL dimensional table. Supports SCD-1 and SCD-2. SCD-1 will update rows in the dimension and SCD-2 will add a new member each time an SCD-2 attribute is updated.&lt;/td&gt;&lt;td&gt;&lt;/td&gt;&lt;td&gt;&lt;/td&gt;&lt;td&gt;In production&lt;/td&gt;&lt;/tr&gt;&lt;tr&gt;&lt;td&gt;2&lt;/td&gt;&lt;td&gt;load fact table as EXTERNAL_TABLE (hive)&lt;/td&gt;&lt;td&gt;KIMBALL fact-table as External Table. If not partitioned the entire content will be replaced for each load. If partitioned by date then a new partition will be created each day.&lt;/td&gt;&lt;td&gt;&lt;/td&gt;&lt;td&gt;&lt;/td&gt;&lt;td&gt;In production&lt;/td&gt;&lt;/tr&gt;&lt;tr&gt;&lt;td&gt;3&lt;/td&gt;&lt;td&gt;load fact table as ICEBERG TABLE&lt;/td&gt;&lt;td&gt;KIMBALL fact-table as ICEBERG Table. Will update records already in the table and insert new records.&lt;/td&gt;&lt;td&gt;&lt;/td&gt;&lt;td&gt;&lt;/td&gt;&lt;td&gt;In production&lt;/td&gt;&lt;/tr&gt;&lt;tr&gt;&lt;td&gt;10&lt;/td&gt;&lt;td&gt;DATA VAULT Load hub&lt;/td&gt;&lt;td&gt;&lt;/td&gt;&lt;td&gt;&lt;/td&gt;&lt;td&gt;&lt;/td&gt;&lt;td&gt;DEV&lt;/td&gt;&lt;/tr&gt;&lt;tr&gt;&lt;td&gt;11&lt;/td&gt;&lt;td&gt;DATA VAULT Load sat&lt;/td&gt;&lt;td&gt;&lt;/td&gt;&lt;td&gt;&lt;/td&gt;&lt;td&gt;&lt;/td&gt;&lt;td&gt;DEV&lt;/td&gt;&lt;/tr&gt;&lt;tr&gt;&lt;td&gt;12&lt;/td&gt;&lt;td&gt;DATA VAULT Load Link&lt;/td&gt;&lt;td&gt;&lt;/td&gt;&lt;td&gt;&lt;/td&gt;&lt;td&gt;&lt;/td&gt;&lt;td&gt;DEV&lt;/td&gt;&lt;/tr&gt;&lt;tr&gt;&lt;td&gt;20&lt;/td&gt;&lt;td&gt;Create source view&lt;/td&gt;&lt;td&gt;Just creates the view mentioned in Custom Source View&lt;/td&gt;&lt;td&gt;&lt;/td&gt;&lt;td&gt;&lt;/td&gt;&lt;td&gt;&lt;/td&gt;&lt;/tr&gt;&lt;tr&gt;&lt;td&gt;33&lt;/td&gt;&lt;td&gt;Create and load partitioned external table from source&lt;/td&gt;&lt;td&gt;Creates EXTERNAL TABLE and loads partitions with UNLOAD&lt;/td&gt;&lt;td&gt;AWS Athena&lt;/td&gt;&lt;td&gt;AWS Steps&lt;/td&gt;&lt;td&gt;In production&lt;/td&gt;&lt;/tr&gt;&lt;tr&gt;&lt;td&gt;50&lt;/td&gt;&lt;td&gt;RAW-TO-STAGED parquet to iceberg&lt;/td&gt;&lt;td&gt;RAW TO STAGED. RAW Parquet files to STAGED Ice berg&lt;/td&gt;&lt;td&gt;&lt;/td&gt;&lt;td&gt;&lt;/td&gt;&lt;td&gt;Development&lt;/td&gt;&lt;/tr&gt;&lt;/table&gt;</v>
      </c>
      <c r="K1" s="211"/>
    </row>
    <row r="2" spans="1:11" ht="64.5" customHeight="1">
      <c r="A2">
        <v>1</v>
      </c>
      <c r="B2" t="s">
        <v>435</v>
      </c>
      <c r="C2" s="285" t="s">
        <v>436</v>
      </c>
      <c r="F2" t="s">
        <v>437</v>
      </c>
      <c r="G2" s="211">
        <f t="shared" ref="G2:G33" si="0">IF(B2&lt;&gt;"",1,0)</f>
        <v>1</v>
      </c>
      <c r="H2" s="211" t="str">
        <f t="shared" ref="H2:H33" si="1">IF(G2=1, "&lt;td&gt;" &amp; A2 &amp; "&lt;/td&gt;&lt;td&gt;" &amp; B2 &amp; "&lt;/td&gt;&lt;td&gt;" &amp; C2 &amp; "&lt;/td&gt;&lt;td&gt;" &amp; D2 &amp; "&lt;/td&gt;&lt;td&gt;" &amp; E2 &amp; "&lt;/td&gt;&lt;td&gt;" &amp; F2 &amp; "&lt;/td&gt;","")</f>
        <v>&lt;td&gt;1&lt;/td&gt;&lt;td&gt;load dimension table as Iceberg&lt;/td&gt;&lt;td&gt;KIMBALL dimensional table. Supports SCD-1 and SCD-2. SCD-1 will update rows in the dimension and SCD-2 will add a new member each time an SCD-2 attribute is updated.&lt;/td&gt;&lt;td&gt;&lt;/td&gt;&lt;td&gt;&lt;/td&gt;&lt;td&gt;In production&lt;/td&gt;</v>
      </c>
    </row>
    <row r="3" spans="1:11" ht="69" customHeight="1">
      <c r="A3">
        <v>2</v>
      </c>
      <c r="B3" t="s">
        <v>438</v>
      </c>
      <c r="C3" s="285" t="s">
        <v>439</v>
      </c>
      <c r="F3" t="s">
        <v>437</v>
      </c>
      <c r="G3" s="211">
        <f t="shared" si="0"/>
        <v>1</v>
      </c>
      <c r="H3" s="211" t="str">
        <f t="shared" si="1"/>
        <v>&lt;td&gt;2&lt;/td&gt;&lt;td&gt;load fact table as EXTERNAL_TABLE (hive)&lt;/td&gt;&lt;td&gt;KIMBALL fact-table as External Table. If not partitioned the entire content will be replaced for each load. If partitioned by date then a new partition will be created each day.&lt;/td&gt;&lt;td&gt;&lt;/td&gt;&lt;td&gt;&lt;/td&gt;&lt;td&gt;In production&lt;/td&gt;</v>
      </c>
    </row>
    <row r="4" spans="1:11" ht="51.75" customHeight="1">
      <c r="A4">
        <v>3</v>
      </c>
      <c r="B4" t="s">
        <v>440</v>
      </c>
      <c r="C4" s="285" t="s">
        <v>441</v>
      </c>
      <c r="F4" t="s">
        <v>437</v>
      </c>
      <c r="G4" s="211">
        <f t="shared" si="0"/>
        <v>1</v>
      </c>
      <c r="H4" s="211" t="str">
        <f t="shared" si="1"/>
        <v>&lt;td&gt;3&lt;/td&gt;&lt;td&gt;load fact table as ICEBERG TABLE&lt;/td&gt;&lt;td&gt;KIMBALL fact-table as ICEBERG Table. Will update records already in the table and insert new records.&lt;/td&gt;&lt;td&gt;&lt;/td&gt;&lt;td&gt;&lt;/td&gt;&lt;td&gt;In production&lt;/td&gt;</v>
      </c>
    </row>
    <row r="5" spans="1:11">
      <c r="A5">
        <v>4</v>
      </c>
      <c r="G5" s="211">
        <f t="shared" si="0"/>
        <v>0</v>
      </c>
      <c r="H5" s="211" t="str">
        <f t="shared" si="1"/>
        <v/>
      </c>
    </row>
    <row r="6" spans="1:11">
      <c r="A6">
        <v>5</v>
      </c>
      <c r="G6" s="211">
        <f t="shared" si="0"/>
        <v>0</v>
      </c>
      <c r="H6" s="211" t="str">
        <f t="shared" si="1"/>
        <v/>
      </c>
    </row>
    <row r="7" spans="1:11">
      <c r="A7">
        <v>6</v>
      </c>
      <c r="G7" s="211">
        <f t="shared" si="0"/>
        <v>0</v>
      </c>
      <c r="H7" s="211" t="str">
        <f t="shared" si="1"/>
        <v/>
      </c>
    </row>
    <row r="8" spans="1:11">
      <c r="A8">
        <v>7</v>
      </c>
      <c r="G8" s="211">
        <f t="shared" si="0"/>
        <v>0</v>
      </c>
      <c r="H8" s="211" t="str">
        <f t="shared" si="1"/>
        <v/>
      </c>
    </row>
    <row r="9" spans="1:11">
      <c r="A9">
        <v>8</v>
      </c>
      <c r="G9" s="211">
        <f t="shared" si="0"/>
        <v>0</v>
      </c>
      <c r="H9" s="211" t="str">
        <f t="shared" si="1"/>
        <v/>
      </c>
    </row>
    <row r="10" spans="1:11">
      <c r="A10">
        <v>9</v>
      </c>
      <c r="G10" s="211">
        <f t="shared" si="0"/>
        <v>0</v>
      </c>
      <c r="H10" s="211" t="str">
        <f t="shared" si="1"/>
        <v/>
      </c>
    </row>
    <row r="11" spans="1:11">
      <c r="A11">
        <v>10</v>
      </c>
      <c r="B11" t="s">
        <v>442</v>
      </c>
      <c r="F11" t="s">
        <v>443</v>
      </c>
      <c r="G11" s="211">
        <f t="shared" si="0"/>
        <v>1</v>
      </c>
      <c r="H11" s="211" t="str">
        <f t="shared" si="1"/>
        <v>&lt;td&gt;10&lt;/td&gt;&lt;td&gt;DATA VAULT Load hub&lt;/td&gt;&lt;td&gt;&lt;/td&gt;&lt;td&gt;&lt;/td&gt;&lt;td&gt;&lt;/td&gt;&lt;td&gt;DEV&lt;/td&gt;</v>
      </c>
    </row>
    <row r="12" spans="1:11">
      <c r="A12">
        <v>11</v>
      </c>
      <c r="B12" t="s">
        <v>444</v>
      </c>
      <c r="F12" t="s">
        <v>443</v>
      </c>
      <c r="G12" s="211">
        <f t="shared" si="0"/>
        <v>1</v>
      </c>
      <c r="H12" s="211" t="str">
        <f t="shared" si="1"/>
        <v>&lt;td&gt;11&lt;/td&gt;&lt;td&gt;DATA VAULT Load sat&lt;/td&gt;&lt;td&gt;&lt;/td&gt;&lt;td&gt;&lt;/td&gt;&lt;td&gt;&lt;/td&gt;&lt;td&gt;DEV&lt;/td&gt;</v>
      </c>
    </row>
    <row r="13" spans="1:11">
      <c r="A13">
        <v>12</v>
      </c>
      <c r="B13" t="s">
        <v>445</v>
      </c>
      <c r="F13" t="s">
        <v>443</v>
      </c>
      <c r="G13" s="211">
        <f t="shared" si="0"/>
        <v>1</v>
      </c>
      <c r="H13" s="211" t="str">
        <f t="shared" si="1"/>
        <v>&lt;td&gt;12&lt;/td&gt;&lt;td&gt;DATA VAULT Load Link&lt;/td&gt;&lt;td&gt;&lt;/td&gt;&lt;td&gt;&lt;/td&gt;&lt;td&gt;&lt;/td&gt;&lt;td&gt;DEV&lt;/td&gt;</v>
      </c>
    </row>
    <row r="14" spans="1:11">
      <c r="A14">
        <v>13</v>
      </c>
      <c r="G14" s="211">
        <f t="shared" si="0"/>
        <v>0</v>
      </c>
      <c r="H14" s="211" t="str">
        <f t="shared" si="1"/>
        <v/>
      </c>
    </row>
    <row r="15" spans="1:11">
      <c r="A15">
        <v>14</v>
      </c>
      <c r="G15" s="211">
        <f t="shared" si="0"/>
        <v>0</v>
      </c>
      <c r="H15" s="211" t="str">
        <f t="shared" si="1"/>
        <v/>
      </c>
    </row>
    <row r="16" spans="1:11">
      <c r="A16">
        <v>15</v>
      </c>
      <c r="G16" s="211">
        <f t="shared" si="0"/>
        <v>0</v>
      </c>
      <c r="H16" s="211" t="str">
        <f t="shared" si="1"/>
        <v/>
      </c>
    </row>
    <row r="17" spans="1:8">
      <c r="A17">
        <v>16</v>
      </c>
      <c r="G17" s="211">
        <f t="shared" si="0"/>
        <v>0</v>
      </c>
      <c r="H17" s="211" t="str">
        <f t="shared" si="1"/>
        <v/>
      </c>
    </row>
    <row r="18" spans="1:8">
      <c r="A18">
        <v>17</v>
      </c>
      <c r="G18" s="211">
        <f t="shared" si="0"/>
        <v>0</v>
      </c>
      <c r="H18" s="211" t="str">
        <f t="shared" si="1"/>
        <v/>
      </c>
    </row>
    <row r="19" spans="1:8">
      <c r="A19">
        <v>18</v>
      </c>
      <c r="G19" s="211">
        <f t="shared" si="0"/>
        <v>0</v>
      </c>
      <c r="H19" s="211" t="str">
        <f t="shared" si="1"/>
        <v/>
      </c>
    </row>
    <row r="20" spans="1:8">
      <c r="A20">
        <v>19</v>
      </c>
      <c r="G20" s="211">
        <f t="shared" si="0"/>
        <v>0</v>
      </c>
      <c r="H20" s="211" t="str">
        <f t="shared" si="1"/>
        <v/>
      </c>
    </row>
    <row r="21" spans="1:8">
      <c r="A21">
        <v>20</v>
      </c>
      <c r="B21" t="s">
        <v>446</v>
      </c>
      <c r="C21" s="285" t="s">
        <v>447</v>
      </c>
      <c r="G21" s="211">
        <f t="shared" si="0"/>
        <v>1</v>
      </c>
      <c r="H21" s="211" t="str">
        <f t="shared" si="1"/>
        <v>&lt;td&gt;20&lt;/td&gt;&lt;td&gt;Create source view&lt;/td&gt;&lt;td&gt;Just creates the view mentioned in Custom Source View&lt;/td&gt;&lt;td&gt;&lt;/td&gt;&lt;td&gt;&lt;/td&gt;&lt;td&gt;&lt;/td&gt;</v>
      </c>
    </row>
    <row r="22" spans="1:8">
      <c r="A22">
        <v>21</v>
      </c>
      <c r="G22" s="211">
        <f t="shared" si="0"/>
        <v>0</v>
      </c>
      <c r="H22" s="211" t="str">
        <f t="shared" si="1"/>
        <v/>
      </c>
    </row>
    <row r="23" spans="1:8">
      <c r="A23">
        <v>22</v>
      </c>
      <c r="G23" s="211">
        <f t="shared" si="0"/>
        <v>0</v>
      </c>
      <c r="H23" s="211" t="str">
        <f t="shared" si="1"/>
        <v/>
      </c>
    </row>
    <row r="24" spans="1:8">
      <c r="A24">
        <v>23</v>
      </c>
      <c r="G24" s="211">
        <f t="shared" si="0"/>
        <v>0</v>
      </c>
      <c r="H24" s="211" t="str">
        <f t="shared" si="1"/>
        <v/>
      </c>
    </row>
    <row r="25" spans="1:8">
      <c r="A25">
        <v>24</v>
      </c>
      <c r="G25" s="211">
        <f t="shared" si="0"/>
        <v>0</v>
      </c>
      <c r="H25" s="211" t="str">
        <f t="shared" si="1"/>
        <v/>
      </c>
    </row>
    <row r="26" spans="1:8">
      <c r="A26">
        <v>25</v>
      </c>
      <c r="G26" s="211">
        <f t="shared" si="0"/>
        <v>0</v>
      </c>
      <c r="H26" s="211" t="str">
        <f t="shared" si="1"/>
        <v/>
      </c>
    </row>
    <row r="27" spans="1:8">
      <c r="A27">
        <v>26</v>
      </c>
      <c r="G27" s="211">
        <f t="shared" si="0"/>
        <v>0</v>
      </c>
      <c r="H27" s="211" t="str">
        <f t="shared" si="1"/>
        <v/>
      </c>
    </row>
    <row r="28" spans="1:8">
      <c r="A28">
        <v>27</v>
      </c>
      <c r="G28" s="211">
        <f t="shared" si="0"/>
        <v>0</v>
      </c>
      <c r="H28" s="211" t="str">
        <f t="shared" si="1"/>
        <v/>
      </c>
    </row>
    <row r="29" spans="1:8">
      <c r="A29">
        <v>28</v>
      </c>
      <c r="G29" s="211">
        <f t="shared" si="0"/>
        <v>0</v>
      </c>
      <c r="H29" s="211" t="str">
        <f t="shared" si="1"/>
        <v/>
      </c>
    </row>
    <row r="30" spans="1:8">
      <c r="A30">
        <v>29</v>
      </c>
      <c r="G30" s="211">
        <f t="shared" si="0"/>
        <v>0</v>
      </c>
      <c r="H30" s="211" t="str">
        <f t="shared" si="1"/>
        <v/>
      </c>
    </row>
    <row r="31" spans="1:8">
      <c r="A31">
        <v>30</v>
      </c>
      <c r="G31" s="211">
        <f t="shared" si="0"/>
        <v>0</v>
      </c>
      <c r="H31" s="211" t="str">
        <f t="shared" si="1"/>
        <v/>
      </c>
    </row>
    <row r="32" spans="1:8">
      <c r="A32">
        <v>31</v>
      </c>
      <c r="G32" s="211">
        <f t="shared" si="0"/>
        <v>0</v>
      </c>
      <c r="H32" s="211" t="str">
        <f t="shared" si="1"/>
        <v/>
      </c>
    </row>
    <row r="33" spans="1:8">
      <c r="A33">
        <v>32</v>
      </c>
      <c r="G33" s="211">
        <f t="shared" si="0"/>
        <v>0</v>
      </c>
      <c r="H33" s="211" t="str">
        <f t="shared" si="1"/>
        <v/>
      </c>
    </row>
    <row r="34" spans="1:8">
      <c r="A34">
        <v>33</v>
      </c>
      <c r="B34" t="s">
        <v>448</v>
      </c>
      <c r="C34" s="285" t="s">
        <v>449</v>
      </c>
      <c r="D34" t="s">
        <v>450</v>
      </c>
      <c r="E34" t="s">
        <v>451</v>
      </c>
      <c r="F34" t="s">
        <v>437</v>
      </c>
      <c r="G34" s="211">
        <f t="shared" ref="G34:G65" si="2">IF(B34&lt;&gt;"",1,0)</f>
        <v>1</v>
      </c>
      <c r="H34" s="211" t="str">
        <f t="shared" ref="H34:H65" si="3">IF(G34=1, "&lt;td&gt;" &amp; A34 &amp; "&lt;/td&gt;&lt;td&gt;" &amp; B34 &amp; "&lt;/td&gt;&lt;td&gt;" &amp; C34 &amp; "&lt;/td&gt;&lt;td&gt;" &amp; D34 &amp; "&lt;/td&gt;&lt;td&gt;" &amp; E34 &amp; "&lt;/td&gt;&lt;td&gt;" &amp; F34 &amp; "&lt;/td&gt;","")</f>
        <v>&lt;td&gt;33&lt;/td&gt;&lt;td&gt;Create and load partitioned external table from source&lt;/td&gt;&lt;td&gt;Creates EXTERNAL TABLE and loads partitions with UNLOAD&lt;/td&gt;&lt;td&gt;AWS Athena&lt;/td&gt;&lt;td&gt;AWS Steps&lt;/td&gt;&lt;td&gt;In production&lt;/td&gt;</v>
      </c>
    </row>
    <row r="35" spans="1:8">
      <c r="A35">
        <v>34</v>
      </c>
      <c r="G35" s="211">
        <f t="shared" si="2"/>
        <v>0</v>
      </c>
      <c r="H35" s="211" t="str">
        <f t="shared" si="3"/>
        <v/>
      </c>
    </row>
    <row r="36" spans="1:8">
      <c r="A36">
        <v>35</v>
      </c>
      <c r="G36" s="211">
        <f t="shared" si="2"/>
        <v>0</v>
      </c>
      <c r="H36" s="211" t="str">
        <f t="shared" si="3"/>
        <v/>
      </c>
    </row>
    <row r="37" spans="1:8">
      <c r="A37">
        <v>36</v>
      </c>
      <c r="G37" s="211">
        <f t="shared" si="2"/>
        <v>0</v>
      </c>
      <c r="H37" s="211" t="str">
        <f t="shared" si="3"/>
        <v/>
      </c>
    </row>
    <row r="38" spans="1:8">
      <c r="A38">
        <v>37</v>
      </c>
      <c r="G38" s="211">
        <f t="shared" si="2"/>
        <v>0</v>
      </c>
      <c r="H38" s="211" t="str">
        <f t="shared" si="3"/>
        <v/>
      </c>
    </row>
    <row r="39" spans="1:8">
      <c r="A39">
        <v>38</v>
      </c>
      <c r="G39" s="211">
        <f t="shared" si="2"/>
        <v>0</v>
      </c>
      <c r="H39" s="211" t="str">
        <f t="shared" si="3"/>
        <v/>
      </c>
    </row>
    <row r="40" spans="1:8">
      <c r="A40">
        <v>39</v>
      </c>
      <c r="G40" s="211">
        <f t="shared" si="2"/>
        <v>0</v>
      </c>
      <c r="H40" s="211" t="str">
        <f t="shared" si="3"/>
        <v/>
      </c>
    </row>
    <row r="41" spans="1:8">
      <c r="A41">
        <v>40</v>
      </c>
      <c r="G41" s="211">
        <f t="shared" si="2"/>
        <v>0</v>
      </c>
      <c r="H41" s="211" t="str">
        <f t="shared" si="3"/>
        <v/>
      </c>
    </row>
    <row r="42" spans="1:8">
      <c r="A42">
        <v>41</v>
      </c>
      <c r="G42" s="211">
        <f t="shared" si="2"/>
        <v>0</v>
      </c>
      <c r="H42" s="211" t="str">
        <f t="shared" si="3"/>
        <v/>
      </c>
    </row>
    <row r="43" spans="1:8">
      <c r="A43">
        <v>42</v>
      </c>
      <c r="G43" s="211">
        <f t="shared" si="2"/>
        <v>0</v>
      </c>
      <c r="H43" s="211" t="str">
        <f t="shared" si="3"/>
        <v/>
      </c>
    </row>
    <row r="44" spans="1:8">
      <c r="A44">
        <v>43</v>
      </c>
      <c r="G44" s="211">
        <f t="shared" si="2"/>
        <v>0</v>
      </c>
      <c r="H44" s="211" t="str">
        <f t="shared" si="3"/>
        <v/>
      </c>
    </row>
    <row r="45" spans="1:8">
      <c r="A45">
        <v>44</v>
      </c>
      <c r="G45" s="211">
        <f t="shared" si="2"/>
        <v>0</v>
      </c>
      <c r="H45" s="211" t="str">
        <f t="shared" si="3"/>
        <v/>
      </c>
    </row>
    <row r="46" spans="1:8">
      <c r="A46">
        <v>45</v>
      </c>
      <c r="G46" s="211">
        <f t="shared" si="2"/>
        <v>0</v>
      </c>
      <c r="H46" s="211" t="str">
        <f t="shared" si="3"/>
        <v/>
      </c>
    </row>
    <row r="47" spans="1:8">
      <c r="A47">
        <v>46</v>
      </c>
      <c r="G47" s="211">
        <f t="shared" si="2"/>
        <v>0</v>
      </c>
      <c r="H47" s="211" t="str">
        <f t="shared" si="3"/>
        <v/>
      </c>
    </row>
    <row r="48" spans="1:8">
      <c r="A48">
        <v>47</v>
      </c>
      <c r="G48" s="211">
        <f t="shared" si="2"/>
        <v>0</v>
      </c>
      <c r="H48" s="211" t="str">
        <f t="shared" si="3"/>
        <v/>
      </c>
    </row>
    <row r="49" spans="1:8">
      <c r="A49">
        <v>48</v>
      </c>
      <c r="G49" s="211">
        <f t="shared" si="2"/>
        <v>0</v>
      </c>
      <c r="H49" s="211" t="str">
        <f t="shared" si="3"/>
        <v/>
      </c>
    </row>
    <row r="50" spans="1:8">
      <c r="A50">
        <v>49</v>
      </c>
      <c r="G50" s="211">
        <f t="shared" si="2"/>
        <v>0</v>
      </c>
      <c r="H50" s="211" t="str">
        <f t="shared" si="3"/>
        <v/>
      </c>
    </row>
    <row r="51" spans="1:8">
      <c r="A51">
        <v>50</v>
      </c>
      <c r="B51" t="s">
        <v>452</v>
      </c>
      <c r="C51" s="285" t="s">
        <v>453</v>
      </c>
      <c r="F51" t="s">
        <v>454</v>
      </c>
      <c r="G51" s="211">
        <f t="shared" si="2"/>
        <v>1</v>
      </c>
      <c r="H51" s="211" t="str">
        <f t="shared" si="3"/>
        <v>&lt;td&gt;50&lt;/td&gt;&lt;td&gt;RAW-TO-STAGED parquet to iceberg&lt;/td&gt;&lt;td&gt;RAW TO STAGED. RAW Parquet files to STAGED Ice berg&lt;/td&gt;&lt;td&gt;&lt;/td&gt;&lt;td&gt;&lt;/td&gt;&lt;td&gt;Development&lt;/td&gt;</v>
      </c>
    </row>
    <row r="52" spans="1:8">
      <c r="A52">
        <v>51</v>
      </c>
      <c r="G52" s="211">
        <f t="shared" si="2"/>
        <v>0</v>
      </c>
      <c r="H52" s="211" t="str">
        <f t="shared" si="3"/>
        <v/>
      </c>
    </row>
    <row r="53" spans="1:8">
      <c r="A53">
        <v>52</v>
      </c>
      <c r="G53" s="211">
        <f t="shared" si="2"/>
        <v>0</v>
      </c>
      <c r="H53" s="211" t="str">
        <f t="shared" si="3"/>
        <v/>
      </c>
    </row>
    <row r="54" spans="1:8">
      <c r="A54">
        <v>53</v>
      </c>
      <c r="G54" s="211">
        <f t="shared" si="2"/>
        <v>0</v>
      </c>
      <c r="H54" s="211" t="str">
        <f t="shared" si="3"/>
        <v/>
      </c>
    </row>
    <row r="55" spans="1:8">
      <c r="A55">
        <v>54</v>
      </c>
      <c r="G55" s="211">
        <f t="shared" si="2"/>
        <v>0</v>
      </c>
      <c r="H55" s="211" t="str">
        <f t="shared" si="3"/>
        <v/>
      </c>
    </row>
    <row r="56" spans="1:8">
      <c r="A56">
        <v>55</v>
      </c>
      <c r="G56" s="211">
        <f t="shared" si="2"/>
        <v>0</v>
      </c>
      <c r="H56" s="211" t="str">
        <f t="shared" si="3"/>
        <v/>
      </c>
    </row>
    <row r="57" spans="1:8">
      <c r="A57">
        <v>56</v>
      </c>
      <c r="G57" s="211">
        <f t="shared" si="2"/>
        <v>0</v>
      </c>
      <c r="H57" s="211" t="str">
        <f t="shared" si="3"/>
        <v/>
      </c>
    </row>
    <row r="58" spans="1:8">
      <c r="A58">
        <v>57</v>
      </c>
      <c r="G58" s="211">
        <f t="shared" si="2"/>
        <v>0</v>
      </c>
      <c r="H58" s="211" t="str">
        <f t="shared" si="3"/>
        <v/>
      </c>
    </row>
    <row r="59" spans="1:8">
      <c r="A59">
        <v>58</v>
      </c>
      <c r="G59" s="211">
        <f t="shared" si="2"/>
        <v>0</v>
      </c>
      <c r="H59" s="211" t="str">
        <f t="shared" si="3"/>
        <v/>
      </c>
    </row>
    <row r="60" spans="1:8">
      <c r="A60">
        <v>59</v>
      </c>
      <c r="G60" s="211">
        <f t="shared" si="2"/>
        <v>0</v>
      </c>
      <c r="H60" s="211" t="str">
        <f t="shared" si="3"/>
        <v/>
      </c>
    </row>
    <row r="61" spans="1:8">
      <c r="A61">
        <v>60</v>
      </c>
      <c r="G61" s="211">
        <f t="shared" si="2"/>
        <v>0</v>
      </c>
      <c r="H61" s="211" t="str">
        <f t="shared" si="3"/>
        <v/>
      </c>
    </row>
    <row r="62" spans="1:8">
      <c r="A62">
        <v>61</v>
      </c>
      <c r="G62" s="211">
        <f t="shared" si="2"/>
        <v>0</v>
      </c>
      <c r="H62" s="211" t="str">
        <f t="shared" si="3"/>
        <v/>
      </c>
    </row>
    <row r="63" spans="1:8">
      <c r="A63">
        <v>62</v>
      </c>
      <c r="G63" s="211">
        <f t="shared" si="2"/>
        <v>0</v>
      </c>
      <c r="H63" s="211" t="str">
        <f t="shared" si="3"/>
        <v/>
      </c>
    </row>
    <row r="64" spans="1:8">
      <c r="A64">
        <v>63</v>
      </c>
      <c r="G64" s="211">
        <f t="shared" si="2"/>
        <v>0</v>
      </c>
      <c r="H64" s="211" t="str">
        <f t="shared" si="3"/>
        <v/>
      </c>
    </row>
    <row r="65" spans="1:8">
      <c r="A65">
        <v>64</v>
      </c>
      <c r="G65" s="211">
        <f t="shared" si="2"/>
        <v>0</v>
      </c>
      <c r="H65" s="211" t="str">
        <f t="shared" si="3"/>
        <v/>
      </c>
    </row>
    <row r="66" spans="1:8">
      <c r="A66">
        <v>65</v>
      </c>
      <c r="G66" s="211">
        <f t="shared" ref="G66:G100" si="4">IF(B66&lt;&gt;"",1,0)</f>
        <v>0</v>
      </c>
      <c r="H66" s="211" t="str">
        <f t="shared" ref="H66:H97" si="5">IF(G66=1, "&lt;td&gt;" &amp; A66 &amp; "&lt;/td&gt;&lt;td&gt;" &amp; B66 &amp; "&lt;/td&gt;&lt;td&gt;" &amp; C66 &amp; "&lt;/td&gt;&lt;td&gt;" &amp; D66 &amp; "&lt;/td&gt;&lt;td&gt;" &amp; E66 &amp; "&lt;/td&gt;&lt;td&gt;" &amp; F66 &amp; "&lt;/td&gt;","")</f>
        <v/>
      </c>
    </row>
    <row r="67" spans="1:8">
      <c r="A67">
        <v>66</v>
      </c>
      <c r="G67" s="211">
        <f t="shared" si="4"/>
        <v>0</v>
      </c>
      <c r="H67" s="211" t="str">
        <f t="shared" si="5"/>
        <v/>
      </c>
    </row>
    <row r="68" spans="1:8">
      <c r="A68">
        <v>67</v>
      </c>
      <c r="G68" s="211">
        <f t="shared" si="4"/>
        <v>0</v>
      </c>
      <c r="H68" s="211" t="str">
        <f t="shared" si="5"/>
        <v/>
      </c>
    </row>
    <row r="69" spans="1:8">
      <c r="A69">
        <v>68</v>
      </c>
      <c r="G69" s="211">
        <f t="shared" si="4"/>
        <v>0</v>
      </c>
      <c r="H69" s="211" t="str">
        <f t="shared" si="5"/>
        <v/>
      </c>
    </row>
    <row r="70" spans="1:8">
      <c r="A70">
        <v>69</v>
      </c>
      <c r="G70" s="211">
        <f t="shared" si="4"/>
        <v>0</v>
      </c>
      <c r="H70" s="211" t="str">
        <f t="shared" si="5"/>
        <v/>
      </c>
    </row>
    <row r="71" spans="1:8">
      <c r="A71">
        <v>70</v>
      </c>
      <c r="G71" s="211">
        <f t="shared" si="4"/>
        <v>0</v>
      </c>
      <c r="H71" s="211" t="str">
        <f t="shared" si="5"/>
        <v/>
      </c>
    </row>
    <row r="72" spans="1:8">
      <c r="A72">
        <v>71</v>
      </c>
      <c r="G72" s="211">
        <f t="shared" si="4"/>
        <v>0</v>
      </c>
      <c r="H72" s="211" t="str">
        <f t="shared" si="5"/>
        <v/>
      </c>
    </row>
    <row r="73" spans="1:8">
      <c r="A73">
        <v>72</v>
      </c>
      <c r="G73" s="211">
        <f t="shared" si="4"/>
        <v>0</v>
      </c>
      <c r="H73" s="211" t="str">
        <f t="shared" si="5"/>
        <v/>
      </c>
    </row>
    <row r="74" spans="1:8">
      <c r="A74">
        <v>73</v>
      </c>
      <c r="G74" s="211">
        <f t="shared" si="4"/>
        <v>0</v>
      </c>
      <c r="H74" s="211" t="str">
        <f t="shared" si="5"/>
        <v/>
      </c>
    </row>
    <row r="75" spans="1:8">
      <c r="A75">
        <v>74</v>
      </c>
      <c r="G75" s="211">
        <f t="shared" si="4"/>
        <v>0</v>
      </c>
      <c r="H75" s="211" t="str">
        <f t="shared" si="5"/>
        <v/>
      </c>
    </row>
    <row r="76" spans="1:8">
      <c r="A76">
        <v>75</v>
      </c>
      <c r="G76" s="211">
        <f t="shared" si="4"/>
        <v>0</v>
      </c>
      <c r="H76" s="211" t="str">
        <f t="shared" si="5"/>
        <v/>
      </c>
    </row>
    <row r="77" spans="1:8">
      <c r="A77">
        <v>76</v>
      </c>
      <c r="G77" s="211">
        <f t="shared" si="4"/>
        <v>0</v>
      </c>
      <c r="H77" s="211" t="str">
        <f t="shared" si="5"/>
        <v/>
      </c>
    </row>
    <row r="78" spans="1:8">
      <c r="A78">
        <v>77</v>
      </c>
      <c r="G78" s="211">
        <f t="shared" si="4"/>
        <v>0</v>
      </c>
      <c r="H78" s="211" t="str">
        <f t="shared" si="5"/>
        <v/>
      </c>
    </row>
    <row r="79" spans="1:8">
      <c r="A79">
        <v>78</v>
      </c>
      <c r="G79" s="211">
        <f t="shared" si="4"/>
        <v>0</v>
      </c>
      <c r="H79" s="211" t="str">
        <f t="shared" si="5"/>
        <v/>
      </c>
    </row>
    <row r="80" spans="1:8">
      <c r="A80">
        <v>79</v>
      </c>
      <c r="G80" s="211">
        <f t="shared" si="4"/>
        <v>0</v>
      </c>
      <c r="H80" s="211" t="str">
        <f t="shared" si="5"/>
        <v/>
      </c>
    </row>
    <row r="81" spans="1:8">
      <c r="A81">
        <v>80</v>
      </c>
      <c r="G81" s="211">
        <f t="shared" si="4"/>
        <v>0</v>
      </c>
      <c r="H81" s="211" t="str">
        <f t="shared" si="5"/>
        <v/>
      </c>
    </row>
    <row r="82" spans="1:8">
      <c r="A82">
        <v>81</v>
      </c>
      <c r="G82" s="211">
        <f t="shared" si="4"/>
        <v>0</v>
      </c>
      <c r="H82" s="211" t="str">
        <f t="shared" si="5"/>
        <v/>
      </c>
    </row>
    <row r="83" spans="1:8">
      <c r="A83">
        <v>82</v>
      </c>
      <c r="G83" s="211">
        <f t="shared" si="4"/>
        <v>0</v>
      </c>
      <c r="H83" s="211" t="str">
        <f t="shared" si="5"/>
        <v/>
      </c>
    </row>
    <row r="84" spans="1:8">
      <c r="A84">
        <v>83</v>
      </c>
      <c r="G84" s="211">
        <f t="shared" si="4"/>
        <v>0</v>
      </c>
      <c r="H84" s="211" t="str">
        <f t="shared" si="5"/>
        <v/>
      </c>
    </row>
    <row r="85" spans="1:8">
      <c r="A85">
        <v>84</v>
      </c>
      <c r="G85" s="211">
        <f t="shared" si="4"/>
        <v>0</v>
      </c>
      <c r="H85" s="211" t="str">
        <f t="shared" si="5"/>
        <v/>
      </c>
    </row>
    <row r="86" spans="1:8">
      <c r="A86">
        <v>85</v>
      </c>
      <c r="G86" s="211">
        <f t="shared" si="4"/>
        <v>0</v>
      </c>
      <c r="H86" s="211" t="str">
        <f t="shared" si="5"/>
        <v/>
      </c>
    </row>
    <row r="87" spans="1:8">
      <c r="A87">
        <v>86</v>
      </c>
      <c r="G87" s="211">
        <f t="shared" si="4"/>
        <v>0</v>
      </c>
      <c r="H87" s="211" t="str">
        <f t="shared" si="5"/>
        <v/>
      </c>
    </row>
    <row r="88" spans="1:8">
      <c r="A88">
        <v>87</v>
      </c>
      <c r="G88" s="211">
        <f t="shared" si="4"/>
        <v>0</v>
      </c>
      <c r="H88" s="211" t="str">
        <f t="shared" si="5"/>
        <v/>
      </c>
    </row>
    <row r="89" spans="1:8">
      <c r="A89">
        <v>88</v>
      </c>
      <c r="G89" s="211">
        <f t="shared" si="4"/>
        <v>0</v>
      </c>
      <c r="H89" s="211" t="str">
        <f t="shared" si="5"/>
        <v/>
      </c>
    </row>
    <row r="90" spans="1:8">
      <c r="A90">
        <v>89</v>
      </c>
      <c r="G90" s="211">
        <f t="shared" si="4"/>
        <v>0</v>
      </c>
      <c r="H90" s="211" t="str">
        <f t="shared" si="5"/>
        <v/>
      </c>
    </row>
    <row r="91" spans="1:8">
      <c r="A91">
        <v>90</v>
      </c>
      <c r="G91" s="211">
        <f t="shared" si="4"/>
        <v>0</v>
      </c>
      <c r="H91" s="211" t="str">
        <f t="shared" si="5"/>
        <v/>
      </c>
    </row>
    <row r="92" spans="1:8">
      <c r="A92">
        <v>91</v>
      </c>
      <c r="G92" s="211">
        <f t="shared" si="4"/>
        <v>0</v>
      </c>
      <c r="H92" s="211" t="str">
        <f t="shared" si="5"/>
        <v/>
      </c>
    </row>
    <row r="93" spans="1:8">
      <c r="A93">
        <v>92</v>
      </c>
      <c r="G93" s="211">
        <f t="shared" si="4"/>
        <v>0</v>
      </c>
      <c r="H93" s="211" t="str">
        <f t="shared" si="5"/>
        <v/>
      </c>
    </row>
    <row r="94" spans="1:8">
      <c r="A94">
        <v>93</v>
      </c>
      <c r="G94" s="211">
        <f t="shared" si="4"/>
        <v>0</v>
      </c>
      <c r="H94" s="211" t="str">
        <f t="shared" si="5"/>
        <v/>
      </c>
    </row>
    <row r="95" spans="1:8">
      <c r="A95">
        <v>94</v>
      </c>
      <c r="G95" s="211">
        <f t="shared" si="4"/>
        <v>0</v>
      </c>
      <c r="H95" s="211" t="str">
        <f t="shared" si="5"/>
        <v/>
      </c>
    </row>
    <row r="96" spans="1:8">
      <c r="A96">
        <v>95</v>
      </c>
      <c r="G96" s="211">
        <f t="shared" si="4"/>
        <v>0</v>
      </c>
      <c r="H96" s="211" t="str">
        <f t="shared" si="5"/>
        <v/>
      </c>
    </row>
    <row r="97" spans="1:8">
      <c r="A97">
        <v>96</v>
      </c>
      <c r="G97" s="211">
        <f t="shared" si="4"/>
        <v>0</v>
      </c>
      <c r="H97" s="211" t="str">
        <f t="shared" si="5"/>
        <v/>
      </c>
    </row>
    <row r="98" spans="1:8">
      <c r="A98">
        <v>97</v>
      </c>
      <c r="G98" s="211">
        <f t="shared" si="4"/>
        <v>0</v>
      </c>
      <c r="H98" s="211" t="str">
        <f t="shared" ref="H98:H100" si="6">IF(G98=1, "&lt;td&gt;" &amp; A98 &amp; "&lt;/td&gt;&lt;td&gt;" &amp; B98 &amp; "&lt;/td&gt;&lt;td&gt;" &amp; C98 &amp; "&lt;/td&gt;&lt;td&gt;" &amp; D98 &amp; "&lt;/td&gt;&lt;td&gt;" &amp; E98 &amp; "&lt;/td&gt;&lt;td&gt;" &amp; F98 &amp; "&lt;/td&gt;","")</f>
        <v/>
      </c>
    </row>
    <row r="99" spans="1:8">
      <c r="A99">
        <v>98</v>
      </c>
      <c r="G99" s="211">
        <f t="shared" si="4"/>
        <v>0</v>
      </c>
      <c r="H99" s="211" t="str">
        <f t="shared" si="6"/>
        <v/>
      </c>
    </row>
    <row r="100" spans="1:8">
      <c r="A100">
        <v>99</v>
      </c>
      <c r="G100" s="211">
        <f t="shared" si="4"/>
        <v>0</v>
      </c>
      <c r="H100" s="211" t="str">
        <f t="shared" si="6"/>
        <v/>
      </c>
    </row>
  </sheetData>
  <pageMargins left="0.7" right="0.7" top="0.75" bottom="0.75" header="0.3" footer="0.3"/>
  <pageSetup paperSize="9"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00B050"/>
  </sheetPr>
  <dimension ref="B1:B3"/>
  <sheetViews>
    <sheetView workbookViewId="0">
      <selection activeCell="B1" sqref="B1"/>
    </sheetView>
  </sheetViews>
  <sheetFormatPr defaultRowHeight="15"/>
  <cols>
    <col min="2" max="2" width="87.28515625" style="283" customWidth="1"/>
  </cols>
  <sheetData>
    <row r="1" spans="2:2" ht="128.25" customHeight="1">
      <c r="B1" s="285" t="s">
        <v>455</v>
      </c>
    </row>
    <row r="3" spans="2:2">
      <c r="B3" t="str">
        <f>"CREATE EXTERNAL TABLE "</f>
        <v xml:space="preserve">CREATE EXTERNAL TABLE </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C00000"/>
  </sheetPr>
  <dimension ref="A2:G192"/>
  <sheetViews>
    <sheetView topLeftCell="A132" workbookViewId="0">
      <selection activeCell="B137" sqref="B137"/>
    </sheetView>
  </sheetViews>
  <sheetFormatPr defaultRowHeight="15"/>
  <cols>
    <col min="1" max="1" width="37.28515625" style="220" customWidth="1"/>
    <col min="2" max="2" width="117.7109375" style="220" customWidth="1"/>
    <col min="3" max="3" width="85.42578125" style="283" customWidth="1"/>
    <col min="4" max="4" width="77" style="283" customWidth="1"/>
    <col min="5" max="5" width="61.140625" style="283" customWidth="1"/>
    <col min="6" max="6" width="95.42578125" style="283" customWidth="1"/>
    <col min="7" max="7" width="41.28515625" style="283" customWidth="1"/>
  </cols>
  <sheetData>
    <row r="2" spans="1:3">
      <c r="A2" s="220" t="s">
        <v>456</v>
      </c>
      <c r="B2" s="220" t="str">
        <f>Options!B25</f>
        <v>factVCSSLast90</v>
      </c>
    </row>
    <row r="3" spans="1:3">
      <c r="A3" s="5" t="s">
        <v>457</v>
      </c>
      <c r="B3" s="220" t="str">
        <f>IF(Options!B51=1,"CREATE TABLE IF NOT EXISTS ", "CREATE EXTERNAL TABLE ")</f>
        <v xml:space="preserve">CREATE TABLE IF NOT EXISTS </v>
      </c>
    </row>
    <row r="4" spans="1:3">
      <c r="A4" s="5" t="s">
        <v>458</v>
      </c>
      <c r="B4" s="220" t="str">
        <f>Options!B23 &amp; "." &amp;Options!B25</f>
        <v>uc0039.factVCSSLast90</v>
      </c>
      <c r="C4" t="str">
        <f>B4&amp; "_tmp"</f>
        <v>uc0039.factVCSSLast90_tmp</v>
      </c>
    </row>
    <row r="5" spans="1:3">
      <c r="A5" s="5" t="s">
        <v>459</v>
      </c>
      <c r="B5" s="220" t="str">
        <f>"stage_" &amp; B2&amp; "_v"</f>
        <v>stage_factVCSSLast90_v</v>
      </c>
    </row>
    <row r="6" spans="1:3">
      <c r="A6" s="5" t="s">
        <v>460</v>
      </c>
      <c r="B6" s="220" t="str">
        <f>"stage_" &amp; B2&amp; "_history_v"</f>
        <v>stage_factVCSSLast90_history_v</v>
      </c>
    </row>
    <row r="7" spans="1:3">
      <c r="A7" s="220" t="s">
        <v>461</v>
      </c>
      <c r="B7" s="220" t="str">
        <f ca="1">_xlfn.TEXTJOIN(", ",TRUE,COLHELPER!AE2:AE150)</f>
        <v>wkVehicle</v>
      </c>
      <c r="C7" s="190" t="str">
        <f ca="1">_xlfn.TEXTJOIN(", ",TRUE,COLHELPER!BX2:BX50)</f>
        <v>t3.wkVehicle</v>
      </c>
    </row>
    <row r="8" spans="1:3">
      <c r="A8" s="5" t="s">
        <v>462</v>
      </c>
      <c r="B8" s="220" t="str">
        <f ca="1">"concat(" &amp; _xlfn.TEXTJOIN(", '|',",TRUE,COLHELPER!AE2:AE150) &amp;",'|'," &amp;Options!B43 &amp; ")"</f>
        <v>concat(wkVehicle,'|',hashkey)</v>
      </c>
    </row>
    <row r="9" spans="1:3">
      <c r="A9" s="220" t="s">
        <v>463</v>
      </c>
      <c r="B9" s="220" t="str">
        <f ca="1">B7 &amp; ", MAX(" &amp; Options!B44  &amp; ") as max_" &amp; Options!B44</f>
        <v>wkVehicle, MAX(load_date) as max_load_date</v>
      </c>
    </row>
    <row r="10" spans="1:3">
      <c r="A10" s="220" t="s">
        <v>464</v>
      </c>
      <c r="B10" s="220" t="str">
        <f ca="1">_xlfn.TEXTJOIN(", ",TRUE,COLHELPER!A2:A150)</f>
        <v>wkVehicle, has_communicated_last_90_days, lake_arrival_date</v>
      </c>
    </row>
    <row r="11" spans="1:3" ht="195.75" customHeight="1">
      <c r="A11" s="285" t="s">
        <v>465</v>
      </c>
      <c r="B11" s="10" t="str">
        <f ca="1">_xlfn.TEXTJOIN(", ",TRUE,COLHELPER!A2:A150) &amp; "," &amp; C38 &amp; ", " &amp; Options!B44 &amp; ", " &amp; Options!B45</f>
        <v>wkVehicle, has_communicated_last_90_days, lake_arrival_date,CAST( '' as varchar(1)) as hashkey, load_date, last_modified_timestamp</v>
      </c>
    </row>
    <row r="12" spans="1:3" ht="195.75" customHeight="1">
      <c r="A12" s="285" t="s">
        <v>466</v>
      </c>
      <c r="B12" s="285" t="str">
        <f ca="1">_xlfn.TEXTJOIN(", ",TRUE,COLHELPER!A2:A150) &amp; "," &amp; C38 &amp; ", " &amp; Options!B44 &amp;  ", " &amp; Options!B45</f>
        <v>wkVehicle, has_communicated_last_90_days, lake_arrival_date,CAST( '' as varchar(1)) as hashkey, load_date, last_modified_timestamp</v>
      </c>
    </row>
    <row r="13" spans="1:3" ht="195.75" customHeight="1">
      <c r="A13" s="285" t="s">
        <v>467</v>
      </c>
      <c r="B13" s="285" t="str">
        <f ca="1">_xlfn.TEXTJOIN(", ",TRUE,COLHELPER!A2:A150) &amp; "," &amp; C38 &amp; ", " &amp; Options!B44  &amp; ", " &amp; Options!B45</f>
        <v>wkVehicle, has_communicated_last_90_days, lake_arrival_date,CAST( '' as varchar(1)) as hashkey, load_date, last_modified_timestamp</v>
      </c>
    </row>
    <row r="14" spans="1:3" ht="195.75" customHeight="1">
      <c r="A14" s="285" t="s">
        <v>468</v>
      </c>
      <c r="B14" s="285" t="str">
        <f ca="1">_xlfn.TEXTJOIN(",",TRUE,COLHELPER!B2:B150) &amp; "," &amp; C38 &amp; ", " &amp; Options!B44 &amp;  ", " &amp; Options!B45</f>
        <v>wkVehicle,1 AS has_communicated_last_90_days,lake_arrival_date,CAST( '' as varchar(1)) as hashkey, load_date, last_modified_timestamp</v>
      </c>
    </row>
    <row r="15" spans="1:3" ht="195.75" customHeight="1">
      <c r="A15" s="285" t="s">
        <v>469</v>
      </c>
      <c r="B15" s="10" t="str">
        <f ca="1">_xlfn.TEXTJOIN(", ",TRUE,COLHELPER!A2:A150) &amp; IF(Options!F7=33,"", "," &amp; C38 &amp; ", " &amp; Options!B44 &amp;  ", " &amp; Options!B45)</f>
        <v>wkVehicle, has_communicated_last_90_days, lake_arrival_date</v>
      </c>
      <c r="C15" s="10" t="str">
        <f>IF(Options!F7=33,"TEMPLATE 33 does not add any extra columns other than the one specified in columns.","")</f>
        <v>TEMPLATE 33 does not add any extra columns other than the one specified in columns.</v>
      </c>
    </row>
    <row r="16" spans="1:3" ht="195.75" customHeight="1">
      <c r="B16" s="285" t="str">
        <f ca="1">_xlfn.TEXTJOIN(", ",TRUE,COLHELPER!BJ2:BJ150) &amp; ",current_date,current_date,'',1"</f>
        <v>0, 0, 'missing',current_date,current_date,'',1</v>
      </c>
    </row>
    <row r="17" spans="1:3" ht="81" customHeight="1">
      <c r="A17" s="220" t="s">
        <v>470</v>
      </c>
      <c r="B17" s="285" t="str">
        <f>IF(Options!B31=1, "INSERT INTO "&amp;B133&amp;"("&amp;B18&amp;") VALUES ("&amp;B16&amp; ")","")</f>
        <v/>
      </c>
    </row>
    <row r="18" spans="1:3" ht="236.25" customHeight="1">
      <c r="A18" s="285" t="s">
        <v>471</v>
      </c>
      <c r="B18" s="10" t="str">
        <f ca="1">_xlfn.TEXTJOIN(", ",TRUE,COLHELPER!A2:A150)&amp;","&amp;Options!B44&amp;   IF(OR(Options!B31=1,Options!B7=3), ", "&amp;Options!B45,"") &amp;", "&amp;Options!B43&amp;IF(Options!B31=1,",  IsCurrent","")</f>
        <v>wkVehicle, has_communicated_last_90_days, lake_arrival_date,load_date, hashkey</v>
      </c>
      <c r="C18" s="12" t="str">
        <f ca="1">_xlfn.TEXTJOIN(",",TRUE,COLHELPER!A2:A150)&amp;","&amp;Options!B44&amp;   IF(OR(Options!B31=1,Options!B7=3), ", "&amp;Options!B45,"") &amp;", "&amp;Options!B43&amp;IF(Options!B31=1,",  IsCurrent","")</f>
        <v>wkVehicle,has_communicated_last_90_days,lake_arrival_date,load_date, hashkey</v>
      </c>
    </row>
    <row r="19" spans="1:3" ht="128.25" customHeight="1">
      <c r="A19" s="285" t="s">
        <v>472</v>
      </c>
      <c r="B19" s="285" t="str">
        <f ca="1">_xlfn.TEXTJOIN(", ",TRUE,COLHELPER!V2:V150)</f>
        <v>wkVehicle bigint, has_communicated_last_90_days bigint</v>
      </c>
    </row>
    <row r="20" spans="1:3" ht="128.25" customHeight="1">
      <c r="A20" s="285"/>
      <c r="B20" s="285"/>
    </row>
    <row r="21" spans="1:3" ht="128.25" customHeight="1">
      <c r="A21" s="220" t="s">
        <v>473</v>
      </c>
      <c r="B21" s="285" t="str">
        <f ca="1">_xlfn.TEXTJOIN(",",TRUE,COLHELPER!AT2:AT150)</f>
        <v/>
      </c>
    </row>
    <row r="22" spans="1:3" ht="128.25" customHeight="1">
      <c r="A22" s="285" t="s">
        <v>474</v>
      </c>
      <c r="B22" s="285" t="str">
        <f ca="1">IF(Options!B47=1,_xlfn.TEXTJOIN(", '|' , ",TRUE,COLHELPER!AA2:AA150))</f>
        <v/>
      </c>
      <c r="C22" s="237" t="str">
        <f ca="1">IF(Options!B47=1,_xlfn.TEXTJOIN(", '|' , ",TRUE,COLHELPER!AC2:AC150))</f>
        <v/>
      </c>
    </row>
    <row r="23" spans="1:3" ht="128.25" customHeight="1">
      <c r="A23" s="285" t="s">
        <v>475</v>
      </c>
      <c r="B23" s="285" t="str">
        <f>IF(Options!B47=0,_xlfn.TEXTJOIN(", '|' , ",TRUE,COLHELPER!AB2:AB150),"")</f>
        <v/>
      </c>
      <c r="C23" s="238"/>
    </row>
    <row r="24" spans="1:3" ht="180.75" customHeight="1">
      <c r="A24" s="285" t="s">
        <v>476</v>
      </c>
      <c r="B24" s="10" t="str">
        <f ca="1">IF(B22="",  IF(B23="","", "," &amp; B23),B22)</f>
        <v/>
      </c>
      <c r="C24" s="238" t="str">
        <f ca="1">IF(C22="",  IF(C23="","", "," &amp; C23),C22) &amp; ",''"</f>
        <v>,''</v>
      </c>
    </row>
    <row r="25" spans="1:3" ht="123" customHeight="1">
      <c r="A25" s="285" t="s">
        <v>477</v>
      </c>
      <c r="B25" s="15" t="s">
        <v>478</v>
      </c>
    </row>
    <row r="26" spans="1:3">
      <c r="A26" s="220" t="s">
        <v>479</v>
      </c>
      <c r="B26" s="220" t="str">
        <f ca="1">_xlfn.TEXTJOIN(",",TRUE,COLHELPER!Y2:Y150)</f>
        <v>lake_arrival_date string</v>
      </c>
    </row>
    <row r="27" spans="1:3">
      <c r="A27" s="220" t="s">
        <v>480</v>
      </c>
      <c r="B27" s="220" t="str">
        <f ca="1">IF(B26="","",A26 &amp; " (" &amp; B26 &amp; ")")</f>
        <v>PARTITIONED BY (lake_arrival_date string)</v>
      </c>
    </row>
    <row r="28" spans="1:3">
      <c r="A28" s="6" t="s">
        <v>481</v>
      </c>
      <c r="B28" s="220" t="str">
        <f ca="1">_xlfn.TEXTJOIN(",",TRUE,COLHELPER!Z2:Z80)</f>
        <v>lake_arrival_date</v>
      </c>
    </row>
    <row r="29" spans="1:3" ht="150" customHeight="1">
      <c r="A29" s="285" t="s">
        <v>482</v>
      </c>
      <c r="B29" s="285" t="str">
        <f ca="1">B19 &amp; "," &amp; Options!B43 &amp; " string, " &amp; Options!B44 &amp; " " &amp; " Timestamp, " &amp; Options!B45 &amp; " " &amp; " Timestamp"</f>
        <v>wkVehicle bigint, has_communicated_last_90_days bigint,hashkey string, load_date  Timestamp, last_modified_timestamp  Timestamp</v>
      </c>
      <c r="C29" s="285" t="str">
        <f ca="1">B19</f>
        <v>wkVehicle bigint, has_communicated_last_90_days bigint</v>
      </c>
    </row>
    <row r="30" spans="1:3" ht="150" customHeight="1">
      <c r="A30" s="285" t="s">
        <v>483</v>
      </c>
      <c r="B30" s="285" t="str">
        <f>Options!B43 &amp; " string, " &amp; Options!B44 &amp; " " &amp; " Timestamp, " &amp; Options!B45 &amp; " " &amp; " Timestamp, IsCurrent int"</f>
        <v>hashkey string, load_date  Timestamp, last_modified_timestamp  Timestamp, IsCurrent int</v>
      </c>
      <c r="C30" s="285"/>
    </row>
    <row r="31" spans="1:3" ht="150" customHeight="1">
      <c r="A31" s="285" t="s">
        <v>484</v>
      </c>
      <c r="B31" s="285" t="str">
        <f>Options!B43 &amp; ", " &amp; Options!B44 &amp; " " &amp; ", " &amp; Options!B45 &amp; " " &amp; " , IsCurrent"</f>
        <v>hashkey, load_date , last_modified_timestamp  , IsCurrent</v>
      </c>
      <c r="C31" s="285"/>
    </row>
    <row r="32" spans="1:3" ht="150" customHeight="1">
      <c r="A32" s="285" t="s">
        <v>485</v>
      </c>
      <c r="B32" s="285" t="str">
        <f>Options!B43 &amp; ", " &amp; Options!B44 &amp; " " &amp; ", " &amp; Options!B45 &amp; " " &amp; " , IsCurrent"</f>
        <v>hashkey, load_date , last_modified_timestamp  , IsCurrent</v>
      </c>
      <c r="C32" s="285"/>
    </row>
    <row r="33" spans="1:3" ht="121.5" customHeight="1">
      <c r="A33" s="285" t="s">
        <v>486</v>
      </c>
      <c r="B33" s="285" t="str">
        <f ca="1">_xlfn.TEXTJOIN(", ",TRUE, ,COLHELPER!S2:S150) &amp;  "," &amp; Options!B43 &amp; " string, " &amp; Options!B44 &amp; " " &amp; " Timestamp, " &amp; Options!B45 &amp; " " &amp; " Timestamp"</f>
        <v>wkVehicle bigint, has_communicated_last_90_days bigint, lake_arrival_date string,hashkey string, load_date  Timestamp, last_modified_timestamp  Timestamp</v>
      </c>
    </row>
    <row r="34" spans="1:3">
      <c r="A34" s="220" t="s">
        <v>487</v>
      </c>
      <c r="B34" s="220" t="str">
        <f>"s3://" &amp; HELPER!B134</f>
        <v>s3://uc0039-vgcs-odl-prod/db/factVCSSLast90</v>
      </c>
    </row>
    <row r="35" spans="1:3">
      <c r="B35" s="220">
        <v>1</v>
      </c>
    </row>
    <row r="38" spans="1:3" ht="129" customHeight="1">
      <c r="A38" s="10" t="s">
        <v>488</v>
      </c>
      <c r="B38" s="10" t="str">
        <f ca="1">IF(B24=""," CAST( '' as varchar(1)) ","lower(to_hex(md5(to_utf8(concat("&amp;B24&amp;")))))")&amp;" AS "&amp;Options!B43</f>
        <v xml:space="preserve"> CAST( '' as varchar(1))  AS hashkey</v>
      </c>
      <c r="C38" s="285" t="str">
        <f>IF(AND(Options!B31,Options!B32=1),B38,"CAST( '' as varchar(1)) as hashkey")</f>
        <v>CAST( '' as varchar(1)) as hashkey</v>
      </c>
    </row>
    <row r="39" spans="1:3" ht="129" customHeight="1">
      <c r="A39" s="10" t="s">
        <v>489</v>
      </c>
      <c r="B39" s="237" t="str">
        <f ca="1">IF(C24=""," CAST( '' as varchar(1)) ","lower(to_hex(md5(to_utf8(concat("&amp;C24&amp;")))))")</f>
        <v>lower(to_hex(md5(to_utf8(concat(,'')))))</v>
      </c>
      <c r="C39" s="285"/>
    </row>
    <row r="40" spans="1:3">
      <c r="A40" s="220" t="s">
        <v>490</v>
      </c>
      <c r="B40" s="7" t="s">
        <v>491</v>
      </c>
    </row>
    <row r="41" spans="1:3">
      <c r="B41" s="7" t="s">
        <v>492</v>
      </c>
    </row>
    <row r="42" spans="1:3">
      <c r="B42" s="7" t="s">
        <v>493</v>
      </c>
    </row>
    <row r="43" spans="1:3">
      <c r="B43" s="7" t="s">
        <v>494</v>
      </c>
    </row>
    <row r="44" spans="1:3">
      <c r="B44" s="7" t="s">
        <v>495</v>
      </c>
    </row>
    <row r="45" spans="1:3">
      <c r="B45" s="7" t="s">
        <v>496</v>
      </c>
    </row>
    <row r="47" spans="1:3">
      <c r="B47" s="220" t="str">
        <f>IF(Options!B51=0, B40 &amp; " '" &amp; B41 &amp; "' " &amp; B42 &amp; " '" &amp; B43 &amp; "' " &amp; B44 &amp; "'" &amp; B45 &amp; "'","")</f>
        <v/>
      </c>
    </row>
    <row r="49" spans="1:7">
      <c r="A49" s="220" t="s">
        <v>497</v>
      </c>
      <c r="B49" s="220" t="s">
        <v>116</v>
      </c>
    </row>
    <row r="53" spans="1:7" ht="102" customHeight="1">
      <c r="A53" s="8" t="s">
        <v>498</v>
      </c>
      <c r="B53" s="285" t="str">
        <f ca="1">_xlfn.TEXTJOIN(" AND ",TRUE,COLHELPER!AH2:AH150)</f>
        <v>trg.wkVehicle = src.wkVehicle</v>
      </c>
    </row>
    <row r="54" spans="1:7" ht="120.75" customHeight="1">
      <c r="A54" s="285" t="s">
        <v>499</v>
      </c>
      <c r="B54" s="285" t="str">
        <f ca="1">_xlfn.TEXTJOIN(" AND ",TRUE,COLHELPER!AH2:AH150) &amp; C54 &amp; " " &amp; D54</f>
        <v xml:space="preserve">trg.wkVehicle = src.wkVehicle </v>
      </c>
      <c r="C54" s="285" t="str">
        <f>IF(Options!B32="Z"," AND " &amp; B93 &amp; "." &amp; Options!B14 &amp; " &lt;&gt;  " &amp; B94 &amp; "." &amp; Options!B14,"")</f>
        <v/>
      </c>
      <c r="D54" s="285" t="str">
        <f>IF(Options!B32=1,"  AND " &amp;B93 &amp;  "." &amp; Options!B43 &amp; " = " &amp;B94 &amp; "." &amp; Options!B43,"")</f>
        <v/>
      </c>
      <c r="E54" t="str">
        <f>IF(Options!B32=0," AND " &amp; B93 &amp; "." &amp; Options!B45 &amp; " &lt;&gt;  " &amp; B94 &amp; "." &amp; Options!B45,"")</f>
        <v xml:space="preserve"> AND trg.last_modified_timestamp &lt;&gt;  src.last_modified_timestamp</v>
      </c>
      <c r="F54" s="190" t="str">
        <f>IF(Options!B32=0,"," &amp; USERINPUT_DEFAULT_LAST_MODIFIED_TIMESTAMP_COL_NAME &amp; " = " &amp; B94 &amp; "." &amp; Options!B45,"")</f>
        <v>,last_modified_timestamp = src.last_modified_timestamp</v>
      </c>
      <c r="G54" s="285" t="str">
        <f>IF(Options!B14="",Options!B45,Options!B14)</f>
        <v>timestamp</v>
      </c>
    </row>
    <row r="55" spans="1:7" ht="120.75" customHeight="1">
      <c r="A55" s="285" t="s">
        <v>359</v>
      </c>
      <c r="B55" s="285" t="str">
        <f ca="1">_xlfn.TEXTJOIN(" AND ",TRUE,COLHELPER!AH2:AH150) &amp; C54 &amp; " " &amp; D55</f>
        <v xml:space="preserve">trg.wkVehicle = src.wkVehicle </v>
      </c>
      <c r="C55" s="285"/>
      <c r="D55" s="285" t="str">
        <f>IF(Options!B32=1,"  AND " &amp;B93 &amp;  "." &amp; Options!B43 &amp; " = "  &amp; 'SCD4'!B17,"")</f>
        <v/>
      </c>
      <c r="F55" s="190"/>
      <c r="G55" s="285"/>
    </row>
    <row r="56" spans="1:7" ht="120.75" customHeight="1">
      <c r="A56" s="285" t="s">
        <v>500</v>
      </c>
      <c r="B56" s="285" t="str">
        <f ca="1">_xlfn.TEXTJOIN(" AND ",TRUE,COLHELPER!AH2:AH150)</f>
        <v>trg.wkVehicle = src.wkVehicle</v>
      </c>
    </row>
    <row r="57" spans="1:7" ht="120.75" customHeight="1">
      <c r="A57" s="285" t="s">
        <v>501</v>
      </c>
      <c r="B57" s="285"/>
    </row>
    <row r="58" spans="1:7" ht="365.25" customHeight="1">
      <c r="A58" s="285" t="s">
        <v>502</v>
      </c>
      <c r="B58" s="285" t="str">
        <f ca="1">IF(Options!B51=1,HELPER!B33,HELPER!B29) &amp; IF(OR(Options!B31=1, Options!B7=3),"" ) &amp;IF(USERINPUT_IS_DIMENSION_TABLE=1, " , IsCurrent int","")</f>
        <v>wkVehicle bigint, has_communicated_last_90_days bigint, lake_arrival_date string,hashkey string, load_date  Timestamp, last_modified_timestamp  TimestampFALSE</v>
      </c>
      <c r="C58" s="285" t="str">
        <f ca="1">COLHELPER!W152</f>
        <v/>
      </c>
    </row>
    <row r="59" spans="1:7" ht="177" customHeight="1">
      <c r="A59" s="285" t="s">
        <v>503</v>
      </c>
      <c r="B59" s="10" t="str">
        <f ca="1">IF(Options!F7=33,HELPER!C29, HELPER!B29) &amp;D1 &amp; IF(USERINPUT_IS_DIMENSION_TABLE=1, "  , IsCurrent int","")</f>
        <v>wkVehicle bigint, has_communicated_last_90_days bigint</v>
      </c>
      <c r="C59" s="10" t="str">
        <f>IF(Options!F7=33," Template 33 does not add any extra columns","")</f>
        <v xml:space="preserve"> Template 33 does not add any extra columns</v>
      </c>
      <c r="D59" t="str">
        <f>IF(OR( Options!B31=1, OR(Options!B7=3,Options!B7=2)), ","   &amp;Options!B45 &amp; " timestamp","")</f>
        <v/>
      </c>
    </row>
    <row r="60" spans="1:7">
      <c r="A60" s="220" t="s">
        <v>479</v>
      </c>
      <c r="B60" s="220" t="str">
        <f ca="1">IF(B28="","","PARTITIONED BY (" &amp; IF(Options!B51=1,B28,B26) &amp; ")")</f>
        <v>PARTITIONED BY (lake_arrival_date)</v>
      </c>
    </row>
    <row r="61" spans="1:7">
      <c r="A61" s="220" t="s">
        <v>504</v>
      </c>
      <c r="B61" s="220" t="str">
        <f ca="1">IF(B28="","","PARTITIONED BY (" &amp; IF(Options!B51="1",B28,B26) &amp; ")")</f>
        <v>PARTITIONED BY (lake_arrival_date string)</v>
      </c>
    </row>
    <row r="62" spans="1:7" ht="62.25" customHeight="1">
      <c r="A62" s="220" t="s">
        <v>505</v>
      </c>
      <c r="B62" s="285" t="str">
        <f>_xlfn.TEXTJOIN(", ",TRUE,HELPER!B141:B148)</f>
        <v>'vacuum_max_snapshot_age_seconds' = '259200', 'optimize_rewrite_delete_file_threshold' = '50', 'write_target_data_file_size_bytes' = '536870912'</v>
      </c>
    </row>
    <row r="69" spans="1:3">
      <c r="B69" s="220" t="str">
        <f>"'table_type'='iceberg'"</f>
        <v>'table_type'='iceberg'</v>
      </c>
    </row>
    <row r="70" spans="1:3">
      <c r="B70" s="220" t="str">
        <f>"'format'='parquet'"</f>
        <v>'format'='parquet'</v>
      </c>
    </row>
    <row r="72" spans="1:3" ht="141.75" customHeight="1">
      <c r="A72" s="220" t="s">
        <v>506</v>
      </c>
      <c r="B72" s="285" t="str">
        <f>IF(Options!B51=1, "TBLPROPERTIES ( " &amp;  _xlfn.TEXTJOIN(",",TRUE,B62:B70) &amp; ")","")</f>
        <v>TBLPROPERTIES ( 'vacuum_max_snapshot_age_seconds' = '259200', 'optimize_rewrite_delete_file_threshold' = '50', 'write_target_data_file_size_bytes' = '536870912','table_type'='iceberg','format'='parquet')</v>
      </c>
    </row>
    <row r="74" spans="1:3">
      <c r="B74" s="220" t="str">
        <f>IF(Options!B51=1,"TBLPROPERTIES ('table_type' = 'iceberg', 'format'='parquet' " &amp; ")","")</f>
        <v>TBLPROPERTIES ('table_type' = 'iceberg', 'format'='parquet' )</v>
      </c>
    </row>
    <row r="80" spans="1:3" ht="153.75" customHeight="1">
      <c r="A80" s="285" t="s">
        <v>507</v>
      </c>
      <c r="B80" s="10" t="str">
        <f ca="1">_xlfn.TEXTJOIN(", ",TRUE,COLHELPER!AU2:AU149)&amp;", "&amp;B94&amp;"."&amp;Options!B44&amp;","&amp;IF(OR(Options!B31=1,Options!B7=3), B94&amp;"."&amp;Options!B45&amp;", ","")&amp;B94&amp;"."&amp;Options!B43&amp;IF(Options!B31=1,",0","")</f>
        <v>src.wkVehicle, src.has_communicated_last_90_days, COALESCE(src.lake_arrival_date,''), src.load_date,src.hashkey</v>
      </c>
      <c r="C80" t="s">
        <v>508</v>
      </c>
    </row>
    <row r="81" spans="1:2" ht="137.25" customHeight="1">
      <c r="A81" s="220" t="s">
        <v>509</v>
      </c>
      <c r="B81" s="285" t="str">
        <f ca="1">_xlfn.TEXTJOIN(",",TRUE,COLHELPER!AP2:AP80)</f>
        <v>has_communicated_last_90_days =  src.has_communicated_last_90_days</v>
      </c>
    </row>
    <row r="82" spans="1:2" ht="231" customHeight="1">
      <c r="A82" s="285" t="s">
        <v>510</v>
      </c>
      <c r="B82" s="285" t="str">
        <f ca="1">IF(B81="","",B81 &amp;  ", ") &amp;  Options!B44 &amp; "= " &amp; B94 &amp; " ." &amp; Options!B44</f>
        <v>has_communicated_last_90_days =  src.has_communicated_last_90_days, load_date= src .load_date</v>
      </c>
    </row>
    <row r="83" spans="1:2">
      <c r="B83" s="220" t="str">
        <f>"t1." &amp; Options!B43 &amp; " &lt;&gt; " &amp; "d." &amp; Options!B43</f>
        <v>t1.hashkey &lt;&gt; d.hashkey</v>
      </c>
    </row>
    <row r="86" spans="1:2" ht="78" customHeight="1">
      <c r="A86" s="220" t="s">
        <v>511</v>
      </c>
      <c r="B86" s="220" t="str">
        <f ca="1">"MERGE INTO " &amp; HELPER!B133 &amp; " as " &amp; B93 &amp; " USING (SELECT " &amp; HELPER!B21 &amp; ", MAX(" &amp; Options!B44 &amp; ") As " &amp; Options!B44 &amp; " GROUP BY " &amp; B21 &amp; ") as " &amp; B94</f>
        <v>MERGE INTO uc0039.factVCSSLast90 as trg USING (SELECT , MAX(load_date) As load_date GROUP BY ) as src</v>
      </c>
    </row>
    <row r="89" spans="1:2">
      <c r="A89" s="220" t="s">
        <v>512</v>
      </c>
      <c r="B89" s="220" t="str">
        <f ca="1">_xlfn.TEXTJOIN(",",TRUE,COLHELPER!AT2:AT109)</f>
        <v/>
      </c>
    </row>
    <row r="92" spans="1:2">
      <c r="A92" s="16" t="s">
        <v>513</v>
      </c>
      <c r="B92" s="17"/>
    </row>
    <row r="93" spans="1:2">
      <c r="A93" s="220" t="s">
        <v>514</v>
      </c>
      <c r="B93" s="15" t="s">
        <v>515</v>
      </c>
    </row>
    <row r="94" spans="1:2">
      <c r="A94" s="220" t="s">
        <v>516</v>
      </c>
      <c r="B94" s="15" t="s">
        <v>517</v>
      </c>
    </row>
    <row r="98" spans="1:3">
      <c r="A98" s="220" t="s">
        <v>518</v>
      </c>
      <c r="B98" s="220" t="str">
        <f>Options!B23 &amp;"." &amp; Options!B25</f>
        <v>uc0039.factVCSSLast90</v>
      </c>
    </row>
    <row r="100" spans="1:3" ht="114.75" customHeight="1">
      <c r="A100" s="285" t="s">
        <v>519</v>
      </c>
      <c r="B100" s="10" t="str">
        <f ca="1">_xlfn.TEXTJOIN(", ",TRUE,COLHELPER!BM2:BM50)</f>
        <v>f.wkVehicle AS wkVehicle, 1 AS has_communicated_last_90_days, f.lake_arrival_date AS lake_arrival_date</v>
      </c>
    </row>
    <row r="101" spans="1:3" ht="135" customHeight="1">
      <c r="A101" s="220" t="s">
        <v>520</v>
      </c>
      <c r="B101" s="285" t="str">
        <f ca="1">_xlfn.TEXTJOIN(", ",TRUE,COLHELPER!BI2:BI80)</f>
        <v>f.wkVehicle AS wkVehicle, 1 AS has_communicated_last_90_days, f.lake_arrival_date AS lake_arrival_date</v>
      </c>
    </row>
    <row r="102" spans="1:3" ht="163.5" customHeight="1">
      <c r="A102" s="220" t="s">
        <v>521</v>
      </c>
      <c r="B102" s="285" t="str">
        <f ca="1">_xlfn.TEXTJOIN(", ",TRUE,COLHELPER!AY2:AY80)</f>
        <v>wkVehicle AS wkVehicle, 1 AS has_communicated_last_90_days AS has_communicated_last_90_days, lake_arrival_date AS lake_arrival_date</v>
      </c>
    </row>
    <row r="103" spans="1:3">
      <c r="B103" s="220" t="str">
        <f ca="1">"concat(" &amp; _xlfn.TEXTJOIN(", '|', ",TRUE,COLHELPER!BA2:BA237) &amp; ", ''" &amp; ")"</f>
        <v>concat(CAST(wkVehicle AS varchar(150)), '')</v>
      </c>
    </row>
    <row r="104" spans="1:3">
      <c r="A104" s="220" t="s">
        <v>522</v>
      </c>
      <c r="B104" s="220" t="str">
        <f ca="1">"CAST(" &amp; B103 &amp; " as varbinary)"</f>
        <v>CAST(concat(CAST(wkVehicle AS varchar(150)), '') as varbinary)</v>
      </c>
    </row>
    <row r="105" spans="1:3">
      <c r="A105" s="15" t="s">
        <v>523</v>
      </c>
      <c r="B105" s="220" t="s">
        <v>524</v>
      </c>
      <c r="C105" t="str">
        <f>"CAST(" &amp; B105 &amp; " as varbinary)"</f>
        <v>CAST(cast(uuid() as varchar) as varbinary)</v>
      </c>
    </row>
    <row r="106" spans="1:3">
      <c r="A106" s="15" t="s">
        <v>525</v>
      </c>
      <c r="B106" t="str">
        <f>"ABS(from_big_endian_64(xxhash64("&amp;C105&amp;"" &amp; ")))"</f>
        <v>ABS(from_big_endian_64(xxhash64(CAST(cast(uuid() as varchar) as varbinary))))</v>
      </c>
    </row>
    <row r="107" spans="1:3" ht="83.25" customHeight="1">
      <c r="A107" s="220" t="s">
        <v>526</v>
      </c>
      <c r="B107" s="10" t="str">
        <f ca="1">B106 &amp; " AS " &amp; COLHELPER!AT2</f>
        <v xml:space="preserve">ABS(from_big_endian_64(xxhash64(CAST(cast(uuid() as varchar) as varbinary)))) AS </v>
      </c>
    </row>
    <row r="108" spans="1:3">
      <c r="A108" s="6" t="s">
        <v>527</v>
      </c>
      <c r="B108" s="220" t="str">
        <f ca="1">_xlfn.TEXTJOIN(", ",TRUE,COLHELPER!BC2:BC106)</f>
        <v>COALESCE(wkVehicle,0) AS wkVehicle</v>
      </c>
    </row>
    <row r="109" spans="1:3" ht="50.25" customHeight="1">
      <c r="A109" s="220" t="s">
        <v>528</v>
      </c>
      <c r="B109" s="285" t="str">
        <f ca="1">_xlfn.TEXTJOIN(", ",TRUE,COLHELPER!BH2:BH106)</f>
        <v>COALESCE(wkVehicle,0) AS wkVehicle, 1 AS has_communicated_last_90_days, COALESCE(lake_arrival_date,'') AS lake_arrival_date</v>
      </c>
    </row>
    <row r="110" spans="1:3" ht="143.25" customHeight="1">
      <c r="A110" s="285" t="s">
        <v>529</v>
      </c>
      <c r="B110" s="10" t="str">
        <f ca="1">IF(B109="","",""&amp;B109)&amp;", "&amp; B112 &amp; ", " &amp; IF(C113="",B113,C113)</f>
        <v>COALESCE(wkVehicle,0) AS wkVehicle, 1 AS has_communicated_last_90_days, COALESCE(lake_arrival_date,'') AS lake_arrival_date,  CAST(timestamp AS timestamp)  AS last_modified_timestamp, CAST(read_out_date as timestamp) As load_date</v>
      </c>
      <c r="C110" s="188" t="str">
        <f ca="1">IF(B109="","",""&amp;B109)</f>
        <v>COALESCE(wkVehicle,0) AS wkVehicle, 1 AS has_communicated_last_90_days, COALESCE(lake_arrival_date,'') AS lake_arrival_date</v>
      </c>
    </row>
    <row r="111" spans="1:3" ht="50.25" customHeight="1">
      <c r="B111" s="10" t="str">
        <f>"CAST(current_timestamp AS timestamp)   AS " &amp; Options!B45</f>
        <v>CAST(current_timestamp AS timestamp)   AS last_modified_timestamp</v>
      </c>
    </row>
    <row r="112" spans="1:3" ht="50.25" customHeight="1">
      <c r="A112" s="220" t="s">
        <v>530</v>
      </c>
      <c r="B112" s="220" t="str">
        <f>IF(TRIM(Options!B14)="",B111,     IF(Options!B15="string", "CAST(from_iso8601_timestamp( " &amp; Options!B14 &amp; ") As timestamp) ",C112) &amp; " AS " &amp; Options!B45)</f>
        <v xml:space="preserve"> CAST(timestamp AS timestamp)  AS last_modified_timestamp</v>
      </c>
      <c r="C112" s="285" t="str">
        <f>IF(TRIM(Options!B14)="",B111,IF(Options!B15="timestamp"," CAST("&amp;Options!B14&amp;" AS timestamp) ",Options!B14))</f>
        <v xml:space="preserve"> CAST(timestamp AS timestamp) </v>
      </c>
    </row>
    <row r="113" spans="1:4" ht="50.25" customHeight="1">
      <c r="A113" s="220" t="s">
        <v>531</v>
      </c>
      <c r="B113" s="220" t="str">
        <f>"CAST(current_timestamp AS timestamp)  " &amp; " " &amp;  Options!B44</f>
        <v>CAST(current_timestamp AS timestamp)   load_date</v>
      </c>
      <c r="C113" s="240" t="str">
        <f>IF(USERINPUT_LOAD_DATE_COLUMN_NAME="","", "CAST(" &amp; USERINPUT_LOAD_DATE_COLUMN_NAME &amp; " as timestamp) As " &amp; Options!B44)</f>
        <v>CAST(read_out_date as timestamp) As load_date</v>
      </c>
    </row>
    <row r="114" spans="1:4" ht="50.25" customHeight="1">
      <c r="A114" s="220" t="s">
        <v>532</v>
      </c>
      <c r="B114" s="220" t="str">
        <f>IF(TRIM(Options!B14)="",B112, "CAST(from_iso8601_timestamp( " &amp; Options!B14 &amp; ") As timestamp) AS " &amp;Options!B14)</f>
        <v>CAST(from_iso8601_timestamp( timestamp) As timestamp) AS timestamp</v>
      </c>
    </row>
    <row r="115" spans="1:4" ht="292.5" customHeight="1">
      <c r="A115" s="285" t="s">
        <v>533</v>
      </c>
      <c r="B115" s="10" t="str">
        <f ca="1">IF('Volvo DMA'!B2=1,", ","WITH " ) &amp;"  t1 AS (SELECT "&amp;IF(Options!B17=1," DISTINCT ","")&amp;B110&amp;" FROM " &amp; IF('Volvo DMA'!B2=1,"_dma2", B124 ) &amp;"), t2 AS (SELECT "&amp;B107&amp;",* from t1)"</f>
        <v>WITH   t1 AS (SELECT  DISTINCT COALESCE(wkVehicle,0) AS wkVehicle, 1 AS has_communicated_last_90_days, COALESCE(lake_arrival_date,'') AS lake_arrival_date,  CAST(timestamp AS timestamp)  AS last_modified_timestamp, CAST(read_out_date as timestamp) As load_date FROM uc0039.source_factVCSSLast90_[:date_yyyymmdd]_v ), t2 AS (SELECT ABS(from_big_endian_64(xxhash64(CAST(cast(uuid() as varchar) as varbinary)))) AS ,* from t1)</v>
      </c>
      <c r="C115" s="24" t="str">
        <f ca="1">B115 &amp; ",t3 as (  SELECT " &amp; HELPER!B11 &amp; " FROM t2 ), t4 as (SELECT " &amp; C7 &amp; " , MAX(" &amp; Options!B45 &amp; ") as " &amp; Options!B45 &amp; " FROM t3 GROUP BY " &amp; C7 &amp; ") SELECT t3.* FROM t3 INNER JOIN t4 on " &amp; D115 &amp; " and t3." &amp;Options!B45 &amp; " = t4." &amp; Options!B45</f>
        <v>WITH   t1 AS (SELECT  DISTINCT COALESCE(wkVehicle,0) AS wkVehicle, 1 AS has_communicated_last_90_days, COALESCE(lake_arrival_date,'') AS lake_arrival_date,  CAST(timestamp AS timestamp)  AS last_modified_timestamp, CAST(read_out_date as timestamp) As load_date FROM uc0039.source_factVCSSLast90_[:date_yyyymmdd]_v ), t2 AS (SELECT ABS(from_big_endian_64(xxhash64(CAST(cast(uuid() as varchar) as varbinary)))) AS ,* from t1),t3 as (  SELECT wkVehicle, has_communicated_last_90_days, lake_arrival_date,CAST( '' as varchar(1)) as hashkey, load_date, last_modified_timestamp FROM t2 ), t4 as (SELECT t3.wkVehicle , MAX(last_modified_timestamp) as last_modified_timestamp FROM t3 GROUP BY t3.wkVehicle) SELECT t3.* FROM t3 INNER JOIN t4 on t3.wkVehicle = t4.wkVehicle and t3.last_modified_timestamp = t4.last_modified_timestamp</v>
      </c>
      <c r="D115" s="285" t="str">
        <f ca="1">_xlfn.TEXTJOIN(" AND ",TRUE,COLHELPER!BW2:BW50)</f>
        <v>t3.wkVehicle = t4.wkVehicle</v>
      </c>
    </row>
    <row r="116" spans="1:4" ht="161.25" customHeight="1">
      <c r="A116" s="220" t="s">
        <v>534</v>
      </c>
      <c r="B116" s="285" t="str">
        <f ca="1">B115 &amp; " SELECT * from t1 limit 10"</f>
        <v>WITH   t1 AS (SELECT  DISTINCT COALESCE(wkVehicle,0) AS wkVehicle, 1 AS has_communicated_last_90_days, COALESCE(lake_arrival_date,'') AS lake_arrival_date,  CAST(timestamp AS timestamp)  AS last_modified_timestamp, CAST(read_out_date as timestamp) As load_date FROM uc0039.source_factVCSSLast90_[:date_yyyymmdd]_v ), t2 AS (SELECT ABS(from_big_endian_64(xxhash64(CAST(cast(uuid() as varchar) as varbinary)))) AS ,* from t1) SELECT * from t1 limit 10</v>
      </c>
    </row>
    <row r="118" spans="1:4">
      <c r="B118" s="220" t="str">
        <f ca="1">_xlfn.TEXTJOIN(" AND ",TRUE,COLHELPER!BE2:BE120)</f>
        <v>t1.wkVehicle =  t2.wkVehicle</v>
      </c>
    </row>
    <row r="120" spans="1:4">
      <c r="A120" s="220" t="s">
        <v>535</v>
      </c>
      <c r="B120" s="220" t="str">
        <f ca="1">"t1." &amp; B21 &amp; ", t1." &amp; Options!B44 &amp; ",t2.*"</f>
        <v>t1., t1.load_date,t2.*</v>
      </c>
    </row>
    <row r="123" spans="1:4" ht="75" customHeight="1">
      <c r="A123" s="220" t="s">
        <v>536</v>
      </c>
      <c r="B123" s="285" t="str">
        <f ca="1">_xlfn.TEXTJOIN(", ",TRUE,COLHELPER!BF2:BF265)</f>
        <v>wkVehicle AS wkVehicle, 1 AS has_communicated_last_90_days AS has_communicated_last_90_days, lake_arrival_date AS lake_arrival_date</v>
      </c>
    </row>
    <row r="124" spans="1:4" ht="135" customHeight="1">
      <c r="A124" s="220" t="s">
        <v>537</v>
      </c>
      <c r="B124" s="285" t="str">
        <f>IF(B125="",B127,IF(B126="", B125,B126))</f>
        <v xml:space="preserve">uc0039.source_factVCSSLast90_[:date_yyyymmdd]_v </v>
      </c>
    </row>
    <row r="125" spans="1:4">
      <c r="A125" s="220" t="s">
        <v>538</v>
      </c>
      <c r="B125" s="220" t="str">
        <f>IF(Options!B19=1,"", Options!B10 &amp; "." &amp; Options!B11)</f>
        <v/>
      </c>
    </row>
    <row r="126" spans="1:4">
      <c r="A126" s="220" t="s">
        <v>539</v>
      </c>
      <c r="B126" s="220" t="str">
        <f>IF('STAGE VIEW 1'!B14="","", "(" &amp; 'STAGE VIEW 1'!B14 &amp; ")" )</f>
        <v/>
      </c>
    </row>
    <row r="127" spans="1:4">
      <c r="A127" s="220" t="s">
        <v>540</v>
      </c>
      <c r="B127" s="220" t="str">
        <f>Options!B4 &amp; "." &amp; "source_" &amp; Options!B25 &amp; IF(Options!F7=33,"_[:date_yyyymmdd]_v ","_v")</f>
        <v xml:space="preserve">uc0039.source_factVCSSLast90_[:date_yyyymmdd]_v </v>
      </c>
      <c r="D127" s="197" t="str">
        <f>IF(Options!F7=33,"Template 33 adds [:date_yyyymmdd] to the source view name","")</f>
        <v>Template 33 adds [:date_yyyymmdd] to the source view name</v>
      </c>
    </row>
    <row r="128" spans="1:4">
      <c r="A128" s="220" t="s">
        <v>541</v>
      </c>
      <c r="B128" s="239" t="str">
        <f>IF(Options!B7=33,HELPER!B127, Options!B4 &amp; "." &amp; Options!B5)</f>
        <v xml:space="preserve">uc0039.source_factVCSSLast90_[:date_yyyymmdd]_v </v>
      </c>
      <c r="D128" s="197"/>
    </row>
    <row r="129" spans="1:4">
      <c r="A129" s="15" t="s">
        <v>542</v>
      </c>
      <c r="B129" s="108" t="str">
        <f>IF(Options!B7=33,HELPER!B127, Options!B4 &amp; "." &amp; Options!B5)</f>
        <v xml:space="preserve">uc0039.source_factVCSSLast90_[:date_yyyymmdd]_v </v>
      </c>
      <c r="C129" t="str">
        <f>SUBSTITUTE(B129,"[:date_yyyymmdd]","20231101")</f>
        <v xml:space="preserve">uc0039.source_factVCSSLast90_20231101_v </v>
      </c>
      <c r="D129" s="197" t="str">
        <f>IF(Options!F7=33,"Template 33 does not use stage_view. So in this case the stage_view is the same as the source view","")</f>
        <v>Template 33 does not use stage_view. So in this case the stage_view is the same as the source view</v>
      </c>
    </row>
    <row r="130" spans="1:4" ht="77.25" customHeight="1">
      <c r="A130" s="15" t="s">
        <v>543</v>
      </c>
      <c r="B130" s="250" t="str">
        <f>"(select * from "&amp;B129&amp;"" &amp; " WHERE CAST(" &amp; Options!B44&amp; " as date) = CAST('[:date_yyyy_mm_dd]' as date))"</f>
        <v>(select * from uc0039.source_factVCSSLast90_[:date_yyyymmdd]_v  WHERE CAST(load_date as date) = CAST('[:date_yyyy_mm_dd]' as date))</v>
      </c>
    </row>
    <row r="131" spans="1:4" ht="77.25" customHeight="1">
      <c r="A131" s="15"/>
      <c r="B131" s="251" t="str">
        <f>"(" &amp;  'STAGE VIEW 1'!B24 &amp; ")"</f>
        <v>()</v>
      </c>
      <c r="C131" t="s">
        <v>544</v>
      </c>
    </row>
    <row r="132" spans="1:4">
      <c r="A132" s="220" t="s">
        <v>545</v>
      </c>
      <c r="B132" s="9" t="str">
        <f>B133 &amp; "_temp"</f>
        <v>uc0039.factVCSSLast90_temp</v>
      </c>
    </row>
    <row r="133" spans="1:4">
      <c r="A133" s="220" t="s">
        <v>546</v>
      </c>
      <c r="B133" s="9" t="str">
        <f>Options!B23 &amp;"." &amp; Options!B25</f>
        <v>uc0039.factVCSSLast90</v>
      </c>
    </row>
    <row r="134" spans="1:4">
      <c r="A134" s="220" t="s">
        <v>547</v>
      </c>
      <c r="B134" s="9" t="str">
        <f>Options!B28 &amp;"/" &amp; Options!B29 &amp; "/" &amp; Options!B25</f>
        <v>uc0039-vgcs-odl-prod/db/factVCSSLast90</v>
      </c>
      <c r="C134" t="str">
        <f>"s3://" &amp; B134</f>
        <v>s3://uc0039-vgcs-odl-prod/db/factVCSSLast90</v>
      </c>
    </row>
    <row r="135" spans="1:4">
      <c r="A135" s="220" t="s">
        <v>548</v>
      </c>
      <c r="B135" s="9" t="str">
        <f ca="1">B134 &amp; "/" &amp;SUBSTITUTE( B137,"'","")</f>
        <v>uc0039-vgcs-odl-prod/db/factVCSSLast90/lake_arrival_date=[:date_yyyy_mm_dd]</v>
      </c>
      <c r="C135" t="str">
        <f ca="1">"s3://" &amp; B135</f>
        <v>s3://uc0039-vgcs-odl-prod/db/factVCSSLast90/lake_arrival_date=[:date_yyyy_mm_dd]</v>
      </c>
    </row>
    <row r="136" spans="1:4">
      <c r="A136" s="220" t="s">
        <v>549</v>
      </c>
      <c r="B136" s="9" t="str">
        <f ca="1">Options!B29 &amp; "/" &amp; Options!B25 &amp; "/" &amp; SUBSTITUTE( B137,"'","")</f>
        <v>db/factVCSSLast90/lake_arrival_date=[:date_yyyy_mm_dd]</v>
      </c>
    </row>
    <row r="137" spans="1:4">
      <c r="A137" s="220" t="s">
        <v>550</v>
      </c>
      <c r="B137" s="220" t="str">
        <f ca="1">SUBSTITUTE(SUBSTITUTE( SUBSTITUTE(_xlfn.TEXTJOIN(" AND ",TRUE,COLHELPER!BR2:BR50),"$eq"," = "),"$gt"," &gt; "),"$lt"," &lt;  ")</f>
        <v>lake_arrival_date='[:date_yyyy_mm_dd]'</v>
      </c>
    </row>
    <row r="138" spans="1:4">
      <c r="A138" s="220" t="s">
        <v>551</v>
      </c>
      <c r="B138" s="220" t="str">
        <f ca="1">IF(B137="",""," WHERE " &amp; B137)</f>
        <v xml:space="preserve"> WHERE lake_arrival_date='[:date_yyyy_mm_dd]'</v>
      </c>
    </row>
    <row r="139" spans="1:4" ht="409.5" customHeight="1">
      <c r="A139" s="220" t="s">
        <v>552</v>
      </c>
      <c r="B139" s="10" t="str">
        <f>IF(Options!B19=1, "Create Or Replace View " &amp; B127 &amp; " AS " &amp; 'Custom Source View'!A2,"")</f>
        <v>Create Or Replace View uc0039.source_factVCSSLast90_[:date_yyyymmdd]_v  AS WITH _vcss_clean as (
select 
wkVehicle,
CAST(REPLACE(molastsms,'T',' ') as timestamp) as molastsms
,CAST(REPLACE(molastudp,'T',' ') as timestamp) as molastudp
,lakearrivaldate
from uc0039.factVCSS
),
_max_vcss_90 AS (   
SELECT  DISTINCT
                wkVehicle
                , CAST(max(molastsms) as date) latest_sms
                , CAST(max(molastudp) as date)  latest_udp 
                ,'[:date_yyyy_mm_dd]' lake_arrival_date
            FROM 
                _vcss_clean  t1 
            where 
                lakearrivaldate &lt;= '[:date_yyyy_mm_dd]' 
            GROUP BY t1.wkVehicle
),
_has_communicated_last_90 AS (
SELECT 
           wkVehicle, 1 as has_communicated_last_90_days, latest_sms  ,   latest_udp,   lake_arrival_date
            FROM 
                _max_vcss_90 
            WHERE 
                ((latest_sms &gt; (cast('[:date_yyyy_mm_dd]' as date)  - INTERVAL  '90' DAY)) 
                OR (latest_udp &gt; (cast('[:date_yyyy_mm_dd]' as date) - INTERVAL  '90' DAY)))
),
_no_communication_last_90 AS (
select wkVehicle, 0 as has_communicated_last_90_days, null as latest_sms, null as latest_udp, 
'[:date_yyyy_mm_dd]' as lake_arrival_date
 from uc0039.dimVehicle 
WHERE wkVehicle NOT in (select wkVehicle from _has_communicated_last_90)
)
SELECT 
wkVehicle, has_communicated_last_90_days,cast( latest_udp as date) as latest_udp,cast(latest_sms as date) as latest_sms,
cast(lake_arrival_date as varchar)  as lake_arrival_date
FROM _has_communicated_last_90 
UNION ALL 
SELECT wkVehicle, has_communicated_last_90_days, 
CAST(latest_udp as date),
cast(latest_sms as date), 
cast(lake_arrival_date as varchar)  as lake_arrival_date
FROM _no_communication_last_90</v>
      </c>
    </row>
    <row r="140" spans="1:4" ht="15.75" customHeight="1" thickBot="1">
      <c r="B140" s="220" t="str">
        <f>"CREATE OR REPLACE VIEW " &amp; HELPER_FULL_TABLE_NAME &amp; " AS " &amp; 'Custom Source View'!A2</f>
        <v>CREATE OR REPLACE VIEW uc0039.factVCSSLast90 AS WITH _vcss_clean as (
select 
wkVehicle,
CAST(REPLACE(molastsms,'T',' ') as timestamp) as molastsms
,CAST(REPLACE(molastudp,'T',' ') as timestamp) as molastudp
,lakearrivaldate
from uc0039.factVCSS
),
_max_vcss_90 AS (   
SELECT  DISTINCT
                wkVehicle
                , CAST(max(molastsms) as date) latest_sms
                , CAST(max(molastudp) as date)  latest_udp 
                ,'[:date_yyyy_mm_dd]' lake_arrival_date
            FROM 
                _vcss_clean  t1 
            where 
                lakearrivaldate &lt;= '[:date_yyyy_mm_dd]' 
            GROUP BY t1.wkVehicle
),
_has_communicated_last_90 AS (
SELECT 
           wkVehicle, 1 as has_communicated_last_90_days, latest_sms  ,   latest_udp,   lake_arrival_date
            FROM 
                _max_vcss_90 
            WHERE 
                ((latest_sms &gt; (cast('[:date_yyyy_mm_dd]' as date)  - INTERVAL  '90' DAY)) 
                OR (latest_udp &gt; (cast('[:date_yyyy_mm_dd]' as date) - INTERVAL  '90' DAY)))
),
_no_communication_last_90 AS (
select wkVehicle, 0 as has_communicated_last_90_days, null as latest_sms, null as latest_udp, 
'[:date_yyyy_mm_dd]' as lake_arrival_date
 from uc0039.dimVehicle 
WHERE wkVehicle NOT in (select wkVehicle from _has_communicated_last_90)
)
SELECT 
wkVehicle, has_communicated_last_90_days,cast( latest_udp as date) as latest_udp,cast(latest_sms as date) as latest_sms,
cast(lake_arrival_date as varchar)  as lake_arrival_date
FROM _has_communicated_last_90 
UNION ALL 
SELECT wkVehicle, has_communicated_last_90_days, 
CAST(latest_udp as date),
cast(latest_sms as date), 
cast(lake_arrival_date as varchar)  as lake_arrival_date
FROM _no_communication_last_90</v>
      </c>
      <c r="C140" t="str">
        <f>CLEAN(SUBSTITUTE(HELPER!B140,CHAR(10), " " ))</f>
        <v>CREATE OR REPLACE VIEW uc0039.factVCSSLast90 AS WITH _vcss_clean as ( select  wkVehicle, CAST(REPLACE(molastsms,'T',' ') as timestamp) as molastsms ,CAST(REPLACE(molastudp,'T',' ') as timestamp) as molastudp ,lakearrivaldate from uc0039.factVCSS ),  _max_vcss_90 AS (    SELECT  DISTINCT                 wkVehicle                 , CAST(max(molastsms) as date) latest_sms                 , CAST(max(molastudp) as date)  latest_udp                  ,'[:date_yyyy_mm_dd]' lake_arrival_date             FROM                  _vcss_clean  t1              where                  lakearrivaldate &lt;= '[:date_yyyy_mm_dd]'              GROUP BY t1.wkVehicle ), _has_communicated_last_90 AS ( SELECT             wkVehicle, 1 as has_communicated_last_90_days, latest_sms  ,   latest_udp,   lake_arrival_date             FROM                  _max_vcss_90              WHERE                  ((latest_sms &gt; (cast('[:date_yyyy_mm_dd]' as date)  - INTERVAL  '90' DAY))                  OR (latest_udp &gt; (cast('[:date_yyyy_mm_dd]' as date) - INTERVAL  '90' DAY))) ), _no_communication_last_90 AS ( select wkVehicle, 0 as has_communicated_last_90_days, null as latest_sms, null as latest_udp,  '[:date_yyyy_mm_dd]' as lake_arrival_date  from uc0039.dimVehicle  WHERE wkVehicle NOT in (select wkVehicle from _has_communicated_last_90) ) SELECT  wkVehicle, has_communicated_last_90_days,cast( latest_udp as date) as latest_udp,cast(latest_sms as date) as latest_sms, cast(lake_arrival_date as varchar)  as lake_arrival_date FROM _has_communicated_last_90   UNION ALL  SELECT wkVehicle, has_communicated_last_90_days,  CAST(latest_udp as date), cast(latest_sms as date),  cast(lake_arrival_date as varchar)  as lake_arrival_date  FROM _no_communication_last_90</v>
      </c>
    </row>
    <row r="141" spans="1:4">
      <c r="A141" s="79" t="s">
        <v>553</v>
      </c>
      <c r="B141" s="76" t="str">
        <f>IF(Options!A52="","", "'" &amp; Options!A52 &amp; "' = '" &amp; Options!B52 &amp;  "'")</f>
        <v>'vacuum_max_snapshot_age_seconds' = '259200'</v>
      </c>
    </row>
    <row r="142" spans="1:4">
      <c r="A142" s="80"/>
      <c r="B142" s="77" t="str">
        <f>IF(Options!A53="","", "'" &amp; Options!A53 &amp; "' = '" &amp; Options!B53 &amp;  "'")</f>
        <v>'optimize_rewrite_delete_file_threshold' = '50'</v>
      </c>
    </row>
    <row r="143" spans="1:4">
      <c r="A143" s="80"/>
      <c r="B143" s="77" t="str">
        <f>IF(Options!A54="","", "'" &amp; Options!A54 &amp; "' = '" &amp; Options!B54 &amp;  "'")</f>
        <v>'write_target_data_file_size_bytes' = '536870912'</v>
      </c>
    </row>
    <row r="144" spans="1:4">
      <c r="A144" s="80"/>
      <c r="B144" s="77" t="str">
        <f>IF(Options!A55="","", "'" &amp; Options!A55 &amp; "' = '" &amp; Options!B55 &amp;  "'")</f>
        <v/>
      </c>
    </row>
    <row r="145" spans="1:2">
      <c r="A145" s="80"/>
      <c r="B145" s="77" t="str">
        <f>IF(Options!A56="","", "'" &amp; Options!A56 &amp; "' = '" &amp; Options!B56 &amp;  "'")</f>
        <v/>
      </c>
    </row>
    <row r="146" spans="1:2">
      <c r="A146" s="80"/>
      <c r="B146" s="77" t="str">
        <f>IF(Options!A57="","", "'" &amp; Options!A57 &amp; "' = '" &amp; Options!B57 &amp;  "'")</f>
        <v/>
      </c>
    </row>
    <row r="147" spans="1:2">
      <c r="A147" s="80"/>
      <c r="B147" s="77" t="str">
        <f>IF(Options!A58="","", "'" &amp; Options!A58 &amp; "' = '" &amp; Options!B58 &amp;  "'")</f>
        <v/>
      </c>
    </row>
    <row r="148" spans="1:2">
      <c r="A148" s="80"/>
      <c r="B148" s="77" t="str">
        <f>IF(Options!A59="","", "'" &amp; Options!A59 &amp; "' = '" &amp; Options!B59 &amp;  "'")</f>
        <v/>
      </c>
    </row>
    <row r="149" spans="1:2">
      <c r="A149" s="80"/>
      <c r="B149" s="77" t="str">
        <f>IF(Options!A60="","", "'" &amp; Options!A60 &amp; "' = '" &amp; Options!B60 &amp;  "'")</f>
        <v/>
      </c>
    </row>
    <row r="150" spans="1:2">
      <c r="A150" s="80"/>
      <c r="B150" s="77" t="str">
        <f>IF(Options!A61="","", "'" &amp; Options!A61 &amp; "' = '" &amp; Options!B61 &amp;  "'")</f>
        <v/>
      </c>
    </row>
    <row r="151" spans="1:2" ht="15.75" customHeight="1" thickBot="1">
      <c r="A151" s="81"/>
      <c r="B151" s="78" t="str">
        <f>IF(Options!A62="","", "'" &amp; Options!A62 &amp; "' = '" &amp; Options!B62 &amp;  "'")</f>
        <v/>
      </c>
    </row>
    <row r="154" spans="1:2">
      <c r="A154" s="220" t="s">
        <v>554</v>
      </c>
    </row>
    <row r="155" spans="1:2">
      <c r="A155" s="220" t="s">
        <v>555</v>
      </c>
      <c r="B155" s="220" t="str">
        <f ca="1">_xlfn.TEXTJOIN(" AND  ",TRUE,COLHELPER!BL2:BL50)</f>
        <v/>
      </c>
    </row>
    <row r="159" spans="1:2">
      <c r="A159" s="220" t="s">
        <v>556</v>
      </c>
      <c r="B159" s="220">
        <f ca="1">ErrorCodes!E183</f>
        <v>0</v>
      </c>
    </row>
    <row r="161" spans="1:2">
      <c r="A161" s="220" t="s">
        <v>557</v>
      </c>
      <c r="B161" s="220">
        <f ca="1">COLHELPER!BQ51</f>
        <v>0</v>
      </c>
    </row>
    <row r="163" spans="1:2">
      <c r="A163" s="220" t="s">
        <v>558</v>
      </c>
      <c r="B163" s="220">
        <f ca="1">SUM(COLHELPER!BV2:BV50)</f>
        <v>4</v>
      </c>
    </row>
    <row r="167" spans="1:2">
      <c r="A167" s="220" t="s">
        <v>559</v>
      </c>
    </row>
    <row r="168" spans="1:2">
      <c r="A168" s="220" t="s">
        <v>86</v>
      </c>
      <c r="B168" s="220" t="str">
        <f>"CAST(" &amp; Options!B44 &amp; " AS timestamp) AS " &amp; Options!B44</f>
        <v>CAST(load_date AS timestamp) AS load_date</v>
      </c>
    </row>
    <row r="169" spans="1:2">
      <c r="A169" s="220" t="s">
        <v>89</v>
      </c>
      <c r="B169" s="220" t="str">
        <f>"CAST(" &amp;Options!B45 &amp; " AS timestamp) AS " &amp; Options!B45</f>
        <v>CAST(last_modified_timestamp AS timestamp) AS last_modified_timestamp</v>
      </c>
    </row>
    <row r="170" spans="1:2" ht="46.5" customHeight="1">
      <c r="A170" s="220" t="s">
        <v>560</v>
      </c>
      <c r="B170" s="285" t="str">
        <f ca="1">_xlfn.TEXTJOIN(", ",TRUE,COLHELPER!A2:A82)&amp;","&amp;B168 &amp;   IF(Options!B31=1, ", "&amp;B169,"") &amp;", "&amp;Options!B43&amp;IF(Options!B31=1,",  IsCurrent","")</f>
        <v>wkVehicle, has_communicated_last_90_days, lake_arrival_date,CAST(load_date AS timestamp) AS load_date, hashkey</v>
      </c>
    </row>
    <row r="171" spans="1:2" ht="137.25" customHeight="1">
      <c r="A171" s="220" t="s">
        <v>561</v>
      </c>
      <c r="B171" s="285" t="str">
        <f ca="1">"UNLOAD (select " &amp; B170 &amp; " FROM " &amp;B133 &amp; ") TO '" &amp;B34 &amp; "_parquet' WITH (format='parquet')"</f>
        <v>UNLOAD (select wkVehicle, has_communicated_last_90_days, lake_arrival_date,CAST(load_date AS timestamp) AS load_date, hashkey FROM uc0039.factVCSSLast90) TO 's3://uc0039-vgcs-odl-prod/db/factVCSSLast90_parquet' WITH (format='parquet')</v>
      </c>
    </row>
    <row r="172" spans="1:2" ht="149.25" customHeight="1">
      <c r="A172" s="220" t="s">
        <v>562</v>
      </c>
      <c r="B172" s="285" t="str">
        <f ca="1">_xlfn.TEXTJOIN(", ",TRUE,COLHELPER!BF2:BF150)</f>
        <v>wkVehicle AS wkVehicle, 1 AS has_communicated_last_90_days AS has_communicated_last_90_days, lake_arrival_date AS lake_arrival_date</v>
      </c>
    </row>
    <row r="181" spans="1:2">
      <c r="A181" s="220" t="s">
        <v>563</v>
      </c>
      <c r="B181" s="220" t="str">
        <f>B4 &amp;"_cdc"</f>
        <v>uc0039.factVCSSLast90_cdc</v>
      </c>
    </row>
    <row r="182" spans="1:2" ht="102.75" customHeight="1">
      <c r="A182" s="220" t="s">
        <v>564</v>
      </c>
      <c r="B182" s="220" t="str">
        <f>"SELECT * FROM tbl2 WHERE (last_update_date &gt; (SELECT COALESCE(max(lake_arrival_date), '1900-01-01') FROM " &amp; B181&amp; "))"</f>
        <v>SELECT * FROM tbl2 WHERE (last_update_date &gt; (SELECT COALESCE(max(lake_arrival_date), '1900-01-01') FROM uc0039.factVCSSLast90_cdc))</v>
      </c>
    </row>
    <row r="183" spans="1:2" ht="102.75" customHeight="1">
      <c r="A183" s="220" t="s">
        <v>565</v>
      </c>
      <c r="B183" s="285" t="str">
        <f>"WITH tbl1 AS (SELECT * , (CASE WHEN (load_date &gt; " &amp; Options!B45&amp; ") THEN load_date ELSE " &amp; Options!B45 &amp; " END last_update_timestamp FROM " &amp;B4 &amp;  ")"</f>
        <v>WITH tbl1 AS (SELECT * , (CASE WHEN (load_date &gt; last_modified_timestamp) THEN load_date ELSE last_modified_timestamp END last_update_timestamp FROM uc0039.factVCSSLast90)</v>
      </c>
    </row>
    <row r="184" spans="1:2" ht="102.75" customHeight="1">
      <c r="A184" s="220" t="s">
        <v>566</v>
      </c>
      <c r="B184" s="285" t="str">
        <f>"tbl2 AS ( SELECT * , CAST(current_date AS varchar) lake_arrival_date, CAST(CAST(last_update_timestamp AS date) AS varchar) last_update_date FROM tbl1)"</f>
        <v>tbl2 AS ( SELECT * , CAST(current_date AS varchar) lake_arrival_date, CAST(CAST(last_update_timestamp AS date) AS varchar) last_update_date FROM tbl1)</v>
      </c>
    </row>
    <row r="185" spans="1:2" ht="225.75" customHeight="1">
      <c r="A185" s="220" t="s">
        <v>567</v>
      </c>
      <c r="B185" s="285" t="str">
        <f>B183 &amp;", " &amp; B184 &amp; " " &amp; B182</f>
        <v>WITH tbl1 AS (SELECT * , (CASE WHEN (load_date &gt; last_modified_timestamp) THEN load_date ELSE last_modified_timestamp END last_update_timestamp FROM uc0039.factVCSSLast90), tbl2 AS ( SELECT * , CAST(current_date AS varchar) lake_arrival_date, CAST(CAST(last_update_timestamp AS date) AS varchar) last_update_date FROM tbl1) SELECT * FROM tbl2 WHERE (last_update_date &gt; (SELECT COALESCE(max(lake_arrival_date), '1900-01-01') FROM uc0039.factVCSSLast90_cdc))</v>
      </c>
    </row>
    <row r="186" spans="1:2">
      <c r="A186" s="220" t="s">
        <v>568</v>
      </c>
      <c r="B186" s="220" t="s">
        <v>157</v>
      </c>
    </row>
    <row r="191" spans="1:2">
      <c r="A191" s="220" t="s">
        <v>569</v>
      </c>
    </row>
    <row r="192" spans="1:2">
      <c r="A192" s="220" t="s">
        <v>570</v>
      </c>
      <c r="B192" s="220" t="str">
        <f>'RAW-TO-STAGED'!B2 &amp; "." &amp; 'RAW-TO-STAGED'!B3</f>
        <v>raw_tracking.raw_tracking</v>
      </c>
    </row>
  </sheetData>
  <pageMargins left="0.7" right="0.7" top="0.75" bottom="0.75" header="0.3" footer="0.3"/>
  <pageSetup paperSize="9"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C00000"/>
  </sheetPr>
  <dimension ref="A1:D2"/>
  <sheetViews>
    <sheetView topLeftCell="B1" workbookViewId="0">
      <selection activeCell="C2" sqref="C2"/>
    </sheetView>
  </sheetViews>
  <sheetFormatPr defaultRowHeight="15"/>
  <cols>
    <col min="1" max="1" width="104" style="283" customWidth="1"/>
    <col min="2" max="2" width="66" style="283" customWidth="1"/>
    <col min="3" max="3" width="81.7109375" style="283" customWidth="1"/>
    <col min="4" max="4" width="110.42578125" style="283" customWidth="1"/>
  </cols>
  <sheetData>
    <row r="1" spans="1:4">
      <c r="A1" s="30" t="s">
        <v>571</v>
      </c>
      <c r="B1" s="30" t="s">
        <v>572</v>
      </c>
      <c r="C1" s="30" t="s">
        <v>573</v>
      </c>
      <c r="D1" s="30" t="s">
        <v>574</v>
      </c>
    </row>
    <row r="2" spans="1:4" ht="409.5" customHeight="1">
      <c r="A2" s="285" t="str">
        <f ca="1">IF(Options!B31=1,"CREATE OR REPLACE VIEW "&amp;HELPER!B129&amp;" AS "&amp;'STAGE VIEW 1'!B8,'STAGE VIEW 1'!B5)</f>
        <v>CREATE OR REPLACE VIEW uc0039.source_factVCSSLast90_[:date_yyyymmdd]_v  AS WITH t1 as (SELECT f.wkVehicle AS wkVehicle, 1 AS has_communicated_last_90_days, f.lake_arrival_date AS lake_arrival_date, CAST(f.timestamp as timestamp)  AS last_modified_timestamp  FROM uc0039.source_factVCSSLast90_[:date_yyyymmdd]_v  f )  SELECT wkVehicle, has_communicated_last_90_days, lake_arrival_date,CAST( '' as varchar(1)) as hashkey, load_date, last_modified_timestamp FROM t1</v>
      </c>
      <c r="B2" s="285" t="str">
        <f ca="1">IF(Options!B31=1,"CREATE OR REPLACE VIEW "&amp;HELPER!B129&amp;" AS "&amp;'STAGE VIEW 1'!B8,'STAGE VIEW 1'!B5)</f>
        <v>CREATE OR REPLACE VIEW uc0039.source_factVCSSLast90_[:date_yyyymmdd]_v  AS WITH t1 as (SELECT f.wkVehicle AS wkVehicle, 1 AS has_communicated_last_90_days, f.lake_arrival_date AS lake_arrival_date, CAST(f.timestamp as timestamp)  AS last_modified_timestamp  FROM uc0039.source_factVCSSLast90_[:date_yyyymmdd]_v  f )  SELECT wkVehicle, has_communicated_last_90_days, lake_arrival_date,CAST( '' as varchar(1)) as hashkey, load_date, last_modified_timestamp FROM t1</v>
      </c>
      <c r="C2" s="10" t="str">
        <f ca="1">IF(Options!B31=1,"CREATE OR REPLACE VIEW "&amp;HELPER!B129&amp;" AS "&amp;'STAGE VIEW 1'!B12,'STAGE VIEW 1'!B5)</f>
        <v>CREATE OR REPLACE VIEW uc0039.source_factVCSSLast90_[:date_yyyymmdd]_v  AS WITH t1 as (SELECT f.wkVehicle AS wkVehicle, 1 AS has_communicated_last_90_days, f.lake_arrival_date AS lake_arrival_date, CAST(f.timestamp as timestamp)  AS last_modified_timestamp  FROM uc0039.source_factVCSSLast90_[:date_yyyymmdd]_v  f )  SELECT wkVehicle, has_communicated_last_90_days, lake_arrival_date,CAST( '' as varchar(1)) as hashkey, load_date, last_modified_timestamp FROM t1</v>
      </c>
      <c r="D2" s="285" t="str">
        <f ca="1">IF(Options!B31=1,"CREATE OR REPLACE VIEW "&amp;HELPER!B129&amp;" AS "&amp;'STAGE VIEW 1'!B12,'STAGE VIEW 1'!B5)</f>
        <v>CREATE OR REPLACE VIEW uc0039.source_factVCSSLast90_[:date_yyyymmdd]_v  AS WITH t1 as (SELECT f.wkVehicle AS wkVehicle, 1 AS has_communicated_last_90_days, f.lake_arrival_date AS lake_arrival_date, CAST(f.timestamp as timestamp)  AS last_modified_timestamp  FROM uc0039.source_factVCSSLast90_[:date_yyyymmdd]_v  f )  SELECT wkVehicle, has_communicated_last_90_days, lake_arrival_date,CAST( '' as varchar(1)) as hashkey, load_date, last_modified_timestamp FROM t1</v>
      </c>
    </row>
  </sheetData>
  <pageMargins left="0.7" right="0.7" top="0.75" bottom="0.75" header="0.3" footer="0.3"/>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2"/>
  <sheetViews>
    <sheetView workbookViewId="0">
      <selection activeCell="A3" sqref="A3"/>
    </sheetView>
  </sheetViews>
  <sheetFormatPr defaultRowHeight="15"/>
  <cols>
    <col min="1" max="1" width="159.85546875" style="283" customWidth="1"/>
  </cols>
  <sheetData>
    <row r="1" spans="1:1">
      <c r="A1" s="30" t="s">
        <v>575</v>
      </c>
    </row>
    <row r="2" spans="1:1" ht="300.75" customHeight="1">
      <c r="A2" s="195" t="str">
        <f ca="1">"CREATE OR REPLACE VIEW " &amp; HELPER!B127 &amp;" AS (SELECT "&amp;HELPER!B11&amp;" FROM "&amp;Options!B4&amp;"."&amp;Options!B5&amp;")"</f>
        <v>CREATE OR REPLACE VIEW uc0039.source_factVCSSLast90_[:date_yyyymmdd]_v  AS (SELECT wkVehicle, has_communicated_last_90_days, lake_arrival_date,CAST( '' as varchar(1)) as hashkey, load_date, last_modified_timestamp FROM uc0039.stage_factVCSSLast90_v)</v>
      </c>
    </row>
  </sheetData>
  <pageMargins left="0.7" right="0.7" top="0.75" bottom="0.75" header="0.3" footer="0.3"/>
  <pageSetup paperSize="9"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C00000"/>
  </sheetPr>
  <dimension ref="A1:L92"/>
  <sheetViews>
    <sheetView topLeftCell="E1" workbookViewId="0">
      <selection activeCell="F2" sqref="F2"/>
    </sheetView>
  </sheetViews>
  <sheetFormatPr defaultRowHeight="15"/>
  <cols>
    <col min="1" max="1" width="33.28515625" style="283" customWidth="1"/>
    <col min="2" max="2" width="80.140625" style="220" customWidth="1"/>
    <col min="3" max="3" width="101.28515625" style="285" customWidth="1"/>
    <col min="4" max="4" width="84.28515625" style="285" customWidth="1"/>
    <col min="5" max="5" width="142.28515625" style="285" customWidth="1"/>
    <col min="6" max="6" width="107.28515625" style="285" customWidth="1"/>
    <col min="7" max="7" width="78.85546875" style="283" customWidth="1"/>
    <col min="8" max="8" width="64.42578125" style="283" customWidth="1"/>
    <col min="9" max="9" width="36.7109375" style="283" bestFit="1" customWidth="1"/>
    <col min="10" max="10" width="26.5703125" style="283" bestFit="1" customWidth="1"/>
    <col min="11" max="11" width="10.7109375" style="283" customWidth="1"/>
    <col min="12" max="12" width="49.42578125" style="283" customWidth="1"/>
  </cols>
  <sheetData>
    <row r="1" spans="1:12" ht="15.75" customHeight="1" thickBot="1">
      <c r="A1" s="30" t="s">
        <v>576</v>
      </c>
      <c r="B1" s="72" t="s">
        <v>577</v>
      </c>
      <c r="C1" s="24" t="s">
        <v>578</v>
      </c>
      <c r="D1" s="106"/>
      <c r="E1" s="24" t="s">
        <v>579</v>
      </c>
      <c r="F1" s="106"/>
      <c r="G1" s="192"/>
      <c r="H1" s="192"/>
      <c r="I1" s="192"/>
      <c r="J1" s="192"/>
      <c r="K1" s="30" t="s">
        <v>580</v>
      </c>
      <c r="L1" s="30" t="s">
        <v>581</v>
      </c>
    </row>
    <row r="2" spans="1:12" ht="216" customHeight="1">
      <c r="A2" s="100" t="str">
        <f ca="1">IF(DIMENSIONS!$A$2="","","dim1")</f>
        <v/>
      </c>
      <c r="B2" s="101" t="str">
        <f ca="1">IF(DIMENSIONS!$A$2="","", IF(L2="LEFT"," LEFT "," INNER ") &amp; " JOIN "&amp;Options!$B$23&amp; "."&amp; DIMENSIONS!$A$2&amp; " " &amp; A2 &amp;" ON " &amp; $E$11 &amp; " AND " &amp;A2 &amp; ".IsCurrent=1")</f>
        <v/>
      </c>
      <c r="C2" s="101" t="str">
        <f ca="1">IF(B2="","", "COALESCE("&amp;A2&amp;"."&amp;COLHELPER!$A$2&amp;",-1) AS "&amp;COLHELPER!$A$2)</f>
        <v/>
      </c>
      <c r="D2" s="101" t="str">
        <f ca="1">_xlfn.TEXTJOIN(",",TRUE,C2:C6)</f>
        <v/>
      </c>
      <c r="E2" s="194" t="str">
        <f ca="1">IF(D2="","",D2&amp;", ")&amp;IF(F2="","",F2)&amp;IF(Options!F7=33,"",", CAST("&amp;IF(Options!B13="","current_timestamp",Options!B13)&amp;" as timestamp)  AS "&amp;Options!B44)&amp;", CAST("&amp;IF(Options!B14="","current_timestamp","f." &amp; Options!B14)&amp;" as timestamp)  AS "&amp;Options!B45</f>
        <v>f.wkVehicle AS wkVehicle, 1 AS has_communicated_last_90_days, f.lake_arrival_date AS lake_arrival_date, CAST(f.timestamp as timestamp)  AS last_modified_timestamp</v>
      </c>
      <c r="F2" s="101" t="str">
        <f ca="1">_xlfn.TEXTJOIN(", ",TRUE,HELPER!B100)</f>
        <v>f.wkVehicle AS wkVehicle, 1 AS has_communicated_last_90_days, f.lake_arrival_date AS lake_arrival_date</v>
      </c>
      <c r="G2" s="62"/>
      <c r="H2" s="62"/>
      <c r="I2" s="62"/>
      <c r="J2" s="62"/>
      <c r="K2" s="62" t="str">
        <f t="array" aca="1" ref="K2" ca="1">IF(INDIRECT("COLUMNS!J2")="","",UPPER(INDIRECT("COLUMNS!J2")))</f>
        <v/>
      </c>
      <c r="L2" s="58" t="str">
        <f ca="1">IF(A2="","",IF(K2="","LEFT",K2))</f>
        <v/>
      </c>
    </row>
    <row r="3" spans="1:12" ht="66.75" customHeight="1">
      <c r="A3" s="102" t="str">
        <f ca="1">IF(DIMENSIONS!$C$2="","","dim2")</f>
        <v/>
      </c>
      <c r="B3" s="285" t="str">
        <f ca="1">IF(TRIM(DIMENSIONS!$C$2)="","", IF(L3="LEFT"," LEFT "," INNER ") &amp; " JOIN "  &amp; Options!B23 &amp; "." &amp;DIMENSIONS!$C$2&amp; " " &amp;A3 &amp;" ON " &amp; $E$26  &amp; " AND " &amp;A3 &amp; ".IsCurrent=1")</f>
        <v/>
      </c>
      <c r="C3" s="285" t="str">
        <f ca="1">IF(B3="","", "COALESCE("&amp;A3&amp;"."&amp;COLHELPER!$A$3&amp;",-1) AS "&amp;COLHELPER!$A$3)</f>
        <v/>
      </c>
      <c r="K3" t="str">
        <f t="array" aca="1" ref="K3" ca="1">IF(INDIRECT("COLUMNS!J3")="","",UPPER(INDIRECT("COLUMNS!J3")))</f>
        <v/>
      </c>
      <c r="L3" s="65" t="str">
        <f ca="1">IF(A3="","",IF(K3="","LEFT",K3))</f>
        <v/>
      </c>
    </row>
    <row r="4" spans="1:12" ht="80.25" customHeight="1">
      <c r="A4" s="102" t="str">
        <f ca="1">IF(DIMENSIONS!$E$2="","","dim3")</f>
        <v/>
      </c>
      <c r="B4" s="285" t="str">
        <f ca="1">IF(DIMENSIONS!$E$2="","", IF(L4="LEFT"," LEFT "," INNER ") &amp; " JOIN "  &amp;Options!B23 &amp; "."   &amp;DIMENSIONS!$E$2&amp; " "&amp; A4  &amp;" ON " &amp; $E$41  &amp; " AND " &amp;A4 &amp; ".IsCurrent=1")</f>
        <v/>
      </c>
      <c r="C4" s="285" t="str">
        <f ca="1">IF(B4="","","COALESCE("&amp;A4&amp;"."&amp;COLHELPER!$A$4&amp;",-1) AS "&amp;COLHELPER!$A$4)</f>
        <v/>
      </c>
      <c r="K4" t="str">
        <f t="array" aca="1" ref="K4" ca="1">IF(INDIRECT("COLUMNS!J4")="","",UPPER(INDIRECT("COLUMNS!J4")))</f>
        <v/>
      </c>
      <c r="L4" s="65" t="str">
        <f ca="1">IF(A4="","",IF(K4="","LEFT",K4))</f>
        <v/>
      </c>
    </row>
    <row r="5" spans="1:12" ht="128.25" customHeight="1">
      <c r="A5" s="102" t="str">
        <f ca="1">IF(DIMENSIONS!$G$2="","","dim4")</f>
        <v/>
      </c>
      <c r="B5" s="285" t="str">
        <f ca="1">IF(DIMENSIONS!$G$2="","",IF(L5="LEFT"," LEFT "," INNER ") &amp; " JOIN " &amp;Options!B23 &amp; "." &amp; DIMENSIONS!$G$2 &amp; "  "&amp; A5 &amp; " ON " &amp; $E$56  &amp; " AND " &amp;A5 &amp; ".IsCurrent=1")</f>
        <v/>
      </c>
      <c r="C5" s="285" t="str">
        <f ca="1">IF(B5="","", "COALESCE("&amp;A5&amp;"."&amp;COLHELPER!$A$5&amp;",-1) AS "&amp;COLHELPER!$A$5)</f>
        <v/>
      </c>
      <c r="K5" t="str">
        <f t="array" aca="1" ref="K5" ca="1">IF(INDIRECT("COLUMNS!J5")="","",UPPER(INDIRECT("COLUMNS!J5")))</f>
        <v/>
      </c>
      <c r="L5" s="65" t="str">
        <f ca="1">IF(A5="","",IF(K5="","LEFT",K5))</f>
        <v/>
      </c>
    </row>
    <row r="6" spans="1:12" ht="15.75" customHeight="1" thickBot="1">
      <c r="A6" s="103" t="str">
        <f ca="1">IF(DIMENSIONS!$I$2="","","dim5")</f>
        <v/>
      </c>
      <c r="B6" s="104" t="str">
        <f ca="1">IF(DIMENSIONS!$I$2="","",  IF(L6="LEFT"," LEFT "," INNER ")  &amp; " JOIN " &amp;Options!B23 &amp; "." &amp; DIMENSIONS!$I$2 &amp; "  "&amp; A6 &amp; " ON " &amp; $E$71  &amp; " AND " &amp;A6 &amp; ".IsCurrent=1")</f>
        <v/>
      </c>
      <c r="C6" s="105" t="str">
        <f ca="1">IF(B6="","","COALESCE("&amp;A6&amp;"."&amp;COLUMNS!#REF!&amp;",-1) AS "&amp;COLUMNS!#REF!)</f>
        <v/>
      </c>
      <c r="D6" s="105"/>
      <c r="E6" s="105"/>
      <c r="F6" s="105"/>
      <c r="G6" s="63"/>
      <c r="H6" s="63"/>
      <c r="I6" s="63"/>
      <c r="J6" s="63"/>
      <c r="K6" s="63" t="str">
        <f t="array" aca="1" ref="K6" ca="1">IF(INDIRECT("COLUMNS!I6")="","",UPPER(INDIRECT("COLUMNS!I6")))</f>
        <v/>
      </c>
      <c r="L6" s="60" t="str">
        <f ca="1">IF(A6="","",IF(K6="","LEFT",K6))</f>
        <v/>
      </c>
    </row>
    <row r="7" spans="1:12">
      <c r="A7" s="285"/>
      <c r="F7" s="24" t="s">
        <v>582</v>
      </c>
      <c r="G7" s="30" t="s">
        <v>583</v>
      </c>
      <c r="H7" t="s">
        <v>584</v>
      </c>
    </row>
    <row r="8" spans="1:12" ht="250.5" customHeight="1">
      <c r="A8" s="285"/>
      <c r="F8" s="285" t="str">
        <f>F11 &amp; IF(F26="", "","," &amp;F26) &amp; IF(F41="","",  "," &amp; F41) &amp;IF(F56="","", "," &amp; F56)</f>
        <v/>
      </c>
      <c r="G8" s="10" t="str">
        <f ca="1">E2</f>
        <v>f.wkVehicle AS wkVehicle, 1 AS has_communicated_last_90_days, f.lake_arrival_date AS lake_arrival_date, CAST(f.timestamp as timestamp)  AS last_modified_timestamp</v>
      </c>
      <c r="H8" s="285" t="str">
        <f ca="1">_xlfn.TEXTJOIN(" ",TRUE,B2:B6)</f>
        <v/>
      </c>
    </row>
    <row r="10" spans="1:12" ht="15.75" customHeight="1">
      <c r="A10" s="20" t="str">
        <f ca="1">A2</f>
        <v/>
      </c>
      <c r="B10" s="22" t="s">
        <v>585</v>
      </c>
      <c r="C10" s="29" t="s">
        <v>586</v>
      </c>
      <c r="D10" s="26"/>
      <c r="E10" s="24" t="s">
        <v>587</v>
      </c>
      <c r="F10" s="24" t="s">
        <v>588</v>
      </c>
      <c r="J10" s="30"/>
    </row>
    <row r="11" spans="1:12" ht="15.75" customHeight="1">
      <c r="A11" s="21" t="str">
        <f>IF(TRIM(DIMENSIONS!A4)="","", DIMENSIONS!A4)</f>
        <v/>
      </c>
      <c r="B11" s="220" t="str">
        <f>IF(A11="","", $A$10 &amp; "." &amp; DIMENSIONS!B4)</f>
        <v/>
      </c>
      <c r="C11" s="285" t="str">
        <f>IF(A11="","","COALESCE(CAST(f."&amp;DIMHELPER!A11&amp;" as varchar(" &amp;Options!$B$49 &amp; ")),'')")</f>
        <v/>
      </c>
      <c r="D11" s="27" t="str">
        <f>IF(Options!$B$47=0,  IF(A11="","","lower(" &amp; B11 &amp; ")=lower(" &amp; C11 &amp; ")"),IF(A11="","","CAST(" &amp; B11 &amp; " as varchar("&amp;Options!$B$49&amp;")) = " &amp; C11 &amp; " "))</f>
        <v/>
      </c>
      <c r="E11" s="285" t="str">
        <f>_xlfn.TEXTJOIN(" AND ",TRUE,D11:D24)</f>
        <v/>
      </c>
      <c r="F11" s="285" t="str">
        <f>_xlfn.TEXTJOIN(", ",TRUE,C11:C24)</f>
        <v/>
      </c>
    </row>
    <row r="12" spans="1:12" ht="15.75" customHeight="1">
      <c r="A12" s="21" t="str">
        <f>IF(TRIM(DIMENSIONS!A5)="","", DIMENSIONS!A5)</f>
        <v/>
      </c>
      <c r="B12" s="220" t="str">
        <f>IF(A12="","", $A$10 &amp; "." &amp; DIMENSIONS!B5)</f>
        <v/>
      </c>
      <c r="C12" s="285" t="str">
        <f>IF(A12="","","COALESCE(CAST(f."&amp;DIMHELPER!A12&amp;" as varchar(" &amp;Options!$B$49 &amp; ")),'')")</f>
        <v/>
      </c>
      <c r="D12" s="27" t="str">
        <f>IF(Options!$B$47=0,  IF(A12="","","lower(" &amp; B12 &amp; ")=lower(" &amp; C12 &amp; ")"),IF(A12="","","CAST(" &amp; B12 &amp; " as varchar("&amp;Options!$B$49&amp;")) = " &amp; C12 &amp; " "))</f>
        <v/>
      </c>
      <c r="G12" t="str">
        <f>_xlfn.TEXTJOIN(",",TRUE,DIMENSIONS!D5:D153)</f>
        <v/>
      </c>
    </row>
    <row r="13" spans="1:12" ht="15.75" customHeight="1">
      <c r="A13" s="21" t="str">
        <f>IF(TRIM(DIMENSIONS!A6)="","", DIMENSIONS!A6)</f>
        <v/>
      </c>
      <c r="B13" s="220" t="str">
        <f>IF(A13="","", $A$10 &amp; "." &amp; DIMENSIONS!B6)</f>
        <v/>
      </c>
      <c r="C13" s="285" t="str">
        <f>IF(A13="","","COALESCE(CAST(f."&amp;DIMHELPER!A13&amp;" as varchar(" &amp;Options!$B$49 &amp; ")),'')")</f>
        <v/>
      </c>
      <c r="D13" s="27" t="str">
        <f>IF(Options!$B$47=0,  IF(A13="","","lower(" &amp; B13 &amp; ")=lower(" &amp; C13 &amp; ")"),IF(A13="","","CAST(" &amp; B13 &amp; " as varchar("&amp;Options!$B$49&amp;")) = " &amp; C13 &amp; " "))</f>
        <v/>
      </c>
      <c r="G13" t="str">
        <f>_xlfn.TEXTJOIN(",",TRUE,DIMENSIONS!D6:D154)</f>
        <v/>
      </c>
    </row>
    <row r="14" spans="1:12" ht="15.75" customHeight="1">
      <c r="A14" s="21" t="str">
        <f>IF(TRIM(DIMENSIONS!A7)="","", DIMENSIONS!A7)</f>
        <v/>
      </c>
      <c r="B14" s="220" t="str">
        <f>IF(A14="","", $A$10 &amp; "." &amp; DIMENSIONS!B7)</f>
        <v/>
      </c>
      <c r="C14" s="285" t="str">
        <f>IF(A14="","","COALESCE(CAST(f."&amp;DIMHELPER!A14&amp;" as varchar(" &amp;Options!$B$49 &amp; ")),'')")</f>
        <v/>
      </c>
      <c r="D14" s="27" t="str">
        <f>IF(Options!$B$47=0,  IF(A14="","","lower(" &amp; B14 &amp; ")=lower(" &amp; C14 &amp; ")"),IF(A14="","","CAST(" &amp; B14 &amp; " as varchar("&amp;Options!$B$49&amp;")) = " &amp; C14 &amp; " "))</f>
        <v/>
      </c>
      <c r="G14" t="str">
        <f>_xlfn.TEXTJOIN(",",TRUE,DIMENSIONS!D7:D155)</f>
        <v/>
      </c>
    </row>
    <row r="15" spans="1:12" ht="15.75" customHeight="1">
      <c r="A15" s="21" t="str">
        <f>IF(TRIM(DIMENSIONS!A8)="","", DIMENSIONS!A8)</f>
        <v/>
      </c>
      <c r="B15" s="220" t="str">
        <f>IF(A15="","", $A$10 &amp; "." &amp; DIMENSIONS!B8)</f>
        <v/>
      </c>
      <c r="C15" s="285" t="str">
        <f>IF(A15="","","COALESCE(CAST(f."&amp;DIMHELPER!A15&amp;" as varchar(" &amp;Options!$B$49 &amp; ")),'')")</f>
        <v/>
      </c>
      <c r="D15" s="27" t="str">
        <f>IF(Options!$B$47=0,  IF(A15="","","lower(" &amp; B15 &amp; ")=lower(" &amp; C15 &amp; ")"),IF(A15="","","CAST(" &amp; B15 &amp; " as varchar("&amp;Options!$B$49&amp;")) = " &amp; C15 &amp; " "))</f>
        <v/>
      </c>
      <c r="G15" t="str">
        <f>_xlfn.TEXTJOIN(",",TRUE,DIMENSIONS!D8:D156)</f>
        <v/>
      </c>
    </row>
    <row r="16" spans="1:12" ht="15.75" customHeight="1">
      <c r="A16" s="21" t="str">
        <f>IF(TRIM(DIMENSIONS!A9)="","", DIMENSIONS!A9)</f>
        <v/>
      </c>
      <c r="B16" s="220" t="str">
        <f>IF(A16="","", $A$10 &amp; "." &amp; DIMENSIONS!B9)</f>
        <v/>
      </c>
      <c r="C16" s="285" t="str">
        <f>IF(A16="","","COALESCE(CAST(f."&amp;DIMHELPER!A16&amp;" as varchar(" &amp;Options!$B$49 &amp; ")),'')")</f>
        <v/>
      </c>
      <c r="D16" s="27" t="str">
        <f>IF(Options!$B$47=0,  IF(A16="","","lower(" &amp; B16 &amp; ")=lower(" &amp; C16 &amp; ")"),IF(A16="","","CAST(" &amp; B16 &amp; " as varchar("&amp;Options!$B$49&amp;")) = " &amp; C16 &amp; " "))</f>
        <v/>
      </c>
      <c r="G16" t="str">
        <f>_xlfn.TEXTJOIN(",",TRUE,DIMENSIONS!D9:D157)</f>
        <v/>
      </c>
    </row>
    <row r="17" spans="1:7" ht="15.75" customHeight="1">
      <c r="A17" s="21" t="str">
        <f>IF(TRIM(DIMENSIONS!A10)="","", DIMENSIONS!A10)</f>
        <v/>
      </c>
      <c r="B17" s="220" t="str">
        <f>IF(A17="","", $A$10 &amp; "." &amp; DIMENSIONS!B10)</f>
        <v/>
      </c>
      <c r="C17" s="285" t="str">
        <f>IF(A17="","","COALESCE(CAST(f."&amp;DIMHELPER!A17&amp;" as varchar(" &amp;Options!$B$49 &amp; ")),'')")</f>
        <v/>
      </c>
      <c r="D17" s="27" t="str">
        <f>IF(Options!$B$47=0,  IF(A17="","","lower(" &amp; B17 &amp; ")=lower(" &amp; C17 &amp; ")"),IF(A17="","","CAST(" &amp; B17 &amp; " as varchar("&amp;Options!$B$49&amp;")) = " &amp; C17 &amp; " "))</f>
        <v/>
      </c>
      <c r="G17" t="str">
        <f>_xlfn.TEXTJOIN(",",TRUE,DIMENSIONS!D10:D158)</f>
        <v/>
      </c>
    </row>
    <row r="18" spans="1:7" ht="15.75" customHeight="1">
      <c r="A18" s="21" t="str">
        <f>IF(TRIM(DIMENSIONS!A11)="","", DIMENSIONS!A11)</f>
        <v/>
      </c>
      <c r="B18" s="220" t="str">
        <f>IF(A18="","", $A$10 &amp; "." &amp; DIMENSIONS!B11)</f>
        <v/>
      </c>
      <c r="C18" s="285" t="str">
        <f>IF(A18="","","COALESCE(CAST(f."&amp;DIMHELPER!A18&amp;" as varchar(" &amp;Options!$B$49 &amp; ")),'')")</f>
        <v/>
      </c>
      <c r="D18" s="27" t="str">
        <f>IF(Options!$B$47=0,  IF(A18="","","lower(" &amp; B18 &amp; ")=lower(" &amp; C18 &amp; ")"),IF(A18="","","CAST(" &amp; B18 &amp; " as varchar("&amp;Options!$B$49&amp;")) = " &amp; C18 &amp; " "))</f>
        <v/>
      </c>
      <c r="G18" t="str">
        <f>_xlfn.TEXTJOIN(",",TRUE,DIMENSIONS!D11:D159)</f>
        <v/>
      </c>
    </row>
    <row r="19" spans="1:7" ht="15.75" customHeight="1">
      <c r="A19" s="21" t="str">
        <f>IF(TRIM(DIMENSIONS!A12)="","", DIMENSIONS!A12)</f>
        <v/>
      </c>
      <c r="B19" s="220" t="str">
        <f>IF(A19="","", $A$10 &amp; "." &amp; DIMENSIONS!B12)</f>
        <v/>
      </c>
      <c r="C19" s="285" t="str">
        <f>IF(A19="","","COALESCE(CAST(f."&amp;DIMHELPER!A19&amp;" as varchar(" &amp;Options!$B$49 &amp; ")),'')")</f>
        <v/>
      </c>
      <c r="D19" s="27" t="str">
        <f>IF(Options!$B$47=0,  IF(A19="","","lower(" &amp; B19 &amp; ")=lower(" &amp; C19 &amp; ")"),IF(A19="","","CAST(" &amp; B19 &amp; " as varchar("&amp;Options!$B$49&amp;")) = " &amp; C19 &amp; " "))</f>
        <v/>
      </c>
      <c r="G19" t="str">
        <f>_xlfn.TEXTJOIN(",",TRUE,DIMENSIONS!D12:D160)</f>
        <v/>
      </c>
    </row>
    <row r="20" spans="1:7" ht="15.75" customHeight="1">
      <c r="A20" s="21" t="str">
        <f>IF(TRIM(DIMENSIONS!A13)="","", DIMENSIONS!A13)</f>
        <v/>
      </c>
      <c r="B20" s="220" t="str">
        <f>IF(A20="","", $A$10 &amp; "." &amp; DIMENSIONS!B13)</f>
        <v/>
      </c>
      <c r="C20" s="285" t="str">
        <f>IF(A20="","","COALESCE(CAST(f."&amp;DIMHELPER!A20&amp;" as varchar(" &amp;Options!$B$49 &amp; ")),'')")</f>
        <v/>
      </c>
      <c r="D20" s="27" t="str">
        <f>IF(Options!$B$47=0,  IF(A20="","","lower(" &amp; B20 &amp; ")=lower(" &amp; C20 &amp; ")"),IF(A20="","","CAST(" &amp; B20 &amp; " as varchar("&amp;Options!$B$49&amp;")) = " &amp; C20 &amp; " "))</f>
        <v/>
      </c>
      <c r="G20" t="str">
        <f>_xlfn.TEXTJOIN(",",TRUE,DIMENSIONS!D13:D161)</f>
        <v/>
      </c>
    </row>
    <row r="21" spans="1:7" ht="15.75" customHeight="1">
      <c r="A21" s="21" t="str">
        <f>IF(TRIM(DIMENSIONS!A14)="","", DIMENSIONS!A14)</f>
        <v/>
      </c>
      <c r="B21" s="220" t="str">
        <f>IF(A21="","", $A$10 &amp; "." &amp; DIMENSIONS!B14)</f>
        <v/>
      </c>
      <c r="C21" s="285" t="str">
        <f>IF(A21="","","COALESCE(CAST(f."&amp;DIMHELPER!A21&amp;" as varchar(" &amp;Options!$B$49 &amp; ")),'')")</f>
        <v/>
      </c>
      <c r="D21" s="27" t="str">
        <f>IF(Options!$B$47=0,  IF(A21="","","lower(" &amp; B21 &amp; ")=lower(" &amp; C21 &amp; ")"),IF(A21="","","CAST(" &amp; B21 &amp; " as varchar("&amp;Options!$B$49&amp;")) = " &amp; C21 &amp; " "))</f>
        <v/>
      </c>
      <c r="G21" t="str">
        <f>_xlfn.TEXTJOIN(",",TRUE,DIMENSIONS!D14:D162)</f>
        <v/>
      </c>
    </row>
    <row r="22" spans="1:7" ht="15.75" customHeight="1">
      <c r="A22" s="21" t="str">
        <f>IF(TRIM(DIMENSIONS!A15)="","", DIMENSIONS!A15)</f>
        <v/>
      </c>
      <c r="B22" s="220" t="str">
        <f>IF(A22="","", $A$10 &amp; "." &amp; DIMENSIONS!B15)</f>
        <v/>
      </c>
      <c r="C22" s="285" t="str">
        <f>IF(A22="","","COALESCE(CAST(f."&amp;DIMHELPER!A22&amp;" as varchar(" &amp;Options!$B$49 &amp; ")),'')")</f>
        <v/>
      </c>
      <c r="D22" s="27" t="str">
        <f>IF(Options!$B$47=0,  IF(A22="","","lower(" &amp; B22 &amp; ")=lower(" &amp; C22 &amp; ")"),IF(A22="","","CAST(" &amp; B22 &amp; " as varchar("&amp;Options!$B$49&amp;")) = " &amp; C22 &amp; " "))</f>
        <v/>
      </c>
      <c r="G22" t="str">
        <f>_xlfn.TEXTJOIN(",",TRUE,DIMENSIONS!D15:D163)</f>
        <v/>
      </c>
    </row>
    <row r="23" spans="1:7" ht="15.75" customHeight="1">
      <c r="A23" s="21" t="str">
        <f>IF(TRIM(DIMENSIONS!A16)="","", DIMENSIONS!A16)</f>
        <v/>
      </c>
      <c r="B23" s="220" t="str">
        <f>IF(A23="","", $A$10 &amp; "." &amp; DIMENSIONS!B16)</f>
        <v/>
      </c>
      <c r="C23" s="285" t="str">
        <f>IF(A23="","","COALESCE(CAST(f."&amp;DIMHELPER!A23&amp;" as varchar(" &amp;Options!$B$49 &amp; ")),'')")</f>
        <v/>
      </c>
      <c r="D23" s="27" t="str">
        <f>IF(Options!$B$47=0,  IF(A23="","","lower(" &amp; B23 &amp; ")=lower(" &amp; C23 &amp; ")"),IF(A23="","","CAST(" &amp; B23 &amp; " as varchar("&amp;Options!$B$49&amp;")) = " &amp; C23 &amp; " "))</f>
        <v/>
      </c>
      <c r="G23" t="str">
        <f>_xlfn.TEXTJOIN(",",TRUE,DIMENSIONS!D16:D164)</f>
        <v/>
      </c>
    </row>
    <row r="24" spans="1:7" ht="15.75" customHeight="1">
      <c r="A24" s="21" t="str">
        <f>IF(TRIM(DIMENSIONS!A17)="","", DIMENSIONS!A17)</f>
        <v/>
      </c>
      <c r="B24" s="220" t="str">
        <f>IF(A24="","", $A$10 &amp; "." &amp; DIMENSIONS!B17)</f>
        <v/>
      </c>
      <c r="C24" s="285" t="str">
        <f>IF(A24="","","COALESCE(CAST(f."&amp;DIMHELPER!A24&amp;" as varchar(" &amp;Options!$B$49 &amp; ")),'')")</f>
        <v/>
      </c>
      <c r="D24" s="27" t="str">
        <f>IF(Options!$B$47=0,  IF(A24="","","lower(" &amp; B24 &amp; ")=lower(" &amp; C24 &amp; ")"),IF(A24="","","CAST(" &amp; B24 &amp; " as varchar("&amp;Options!$B$49&amp;")) = " &amp; C24 &amp; " "))</f>
        <v/>
      </c>
      <c r="G24" t="str">
        <f>_xlfn.TEXTJOIN(",",TRUE,DIMENSIONS!D17:D165)</f>
        <v/>
      </c>
    </row>
    <row r="25" spans="1:7">
      <c r="A25" s="20" t="str">
        <f ca="1">A3</f>
        <v/>
      </c>
      <c r="B25" s="22" t="s">
        <v>585</v>
      </c>
      <c r="C25" s="29" t="s">
        <v>586</v>
      </c>
      <c r="D25" s="26"/>
      <c r="E25" s="24" t="s">
        <v>587</v>
      </c>
      <c r="F25" s="24" t="s">
        <v>588</v>
      </c>
      <c r="G25" t="str">
        <f>_xlfn.TEXTJOIN(",",TRUE,DIMENSIONS!D18:D166)</f>
        <v/>
      </c>
    </row>
    <row r="26" spans="1:7" ht="45" customHeight="1">
      <c r="A26" s="220" t="str">
        <f>IF(TRIM(DIMENSIONS!C4)="","", DIMENSIONS!C4)</f>
        <v/>
      </c>
      <c r="B26" s="220" t="str">
        <f>IF(A26="","", $A$25 &amp; "." &amp; DIMENSIONS!D4)</f>
        <v/>
      </c>
      <c r="C26" s="285" t="str">
        <f>IF(A26="","", "COALESCE(CAST(f." &amp; DIMHELPER!A26 &amp; " as varchar(" &amp;Options!$B$49 &amp; ")),'')" )</f>
        <v/>
      </c>
      <c r="D26" s="285" t="str">
        <f>IF(Options!$B$47=0,  IF(A26="","","lower(" &amp; B26 &amp; ")=lower(" &amp; C26 &amp; ")"),IF(A26="","","CAST(" &amp; B26 &amp; " as varchar("&amp;Options!$B$49&amp;")) = " &amp; C26 &amp; " "))</f>
        <v/>
      </c>
      <c r="E26" s="285" t="str">
        <f>_xlfn.TEXTJOIN(" AND ",TRUE,D26:D39)</f>
        <v/>
      </c>
      <c r="F26" s="285" t="str">
        <f>_xlfn.TEXTJOIN(",",TRUE,C26:C39)</f>
        <v/>
      </c>
      <c r="G26" t="str">
        <f>_xlfn.TEXTJOIN(",",TRUE,DIMENSIONS!D19:D167)</f>
        <v/>
      </c>
    </row>
    <row r="27" spans="1:7" ht="30" customHeight="1">
      <c r="A27" s="220" t="str">
        <f>IF(TRIM(DIMENSIONS!C5)="","", DIMENSIONS!C5)</f>
        <v/>
      </c>
      <c r="B27" s="220" t="str">
        <f>IF(A27="","", $A$25 &amp; "." &amp; DIMENSIONS!D5)</f>
        <v/>
      </c>
      <c r="C27" s="285" t="str">
        <f>IF(A27="","", "COALESCE(CAST(f." &amp; DIMHELPER!A27 &amp; " as varchar(" &amp;Options!$B$49 &amp; ")),'')" )</f>
        <v/>
      </c>
      <c r="D27" s="285" t="str">
        <f>IF(Options!$B$47=0,  IF(A27="","","lower(" &amp; B27 &amp; ")=lower(" &amp; C27 &amp; ")"),IF(A27="","","CAST(" &amp; B27 &amp; " as varchar("&amp;Options!$B$49&amp;")) = " &amp; C27 &amp; " "))</f>
        <v/>
      </c>
      <c r="F27" s="285" t="str">
        <f>IF(E27="","", DIMENSIONS!C19 &amp; "." &amp; DIMHELPER!E27)</f>
        <v/>
      </c>
      <c r="G27" t="str">
        <f>_xlfn.TEXTJOIN(",",TRUE,DIMENSIONS!D20:D168)</f>
        <v/>
      </c>
    </row>
    <row r="28" spans="1:7" ht="30" customHeight="1">
      <c r="A28" s="220" t="str">
        <f>IF(TRIM(DIMENSIONS!C6)="","", DIMENSIONS!C6)</f>
        <v/>
      </c>
      <c r="B28" s="220" t="str">
        <f>IF(A28="","", $A$25 &amp; "." &amp; DIMENSIONS!D6)</f>
        <v/>
      </c>
      <c r="C28" s="285" t="str">
        <f>IF(A28="","", "COALESCE(CAST(f." &amp; DIMHELPER!A28 &amp; " as varchar(" &amp;Options!$B$49 &amp; ")),'')" )</f>
        <v/>
      </c>
      <c r="D28" s="285" t="str">
        <f>IF(Options!$B$47=0,  IF(A28="","","lower(" &amp; B28 &amp; ")=lower(" &amp; C28 &amp; ")"),IF(A28="","","CAST(" &amp; B28 &amp; " as varchar("&amp;Options!$B$49&amp;")) = " &amp; C28 &amp; " "))</f>
        <v/>
      </c>
      <c r="F28" s="285" t="str">
        <f>IF(E28="","", DIMENSIONS!C20 &amp; "." &amp; DIMHELPER!E28)</f>
        <v/>
      </c>
      <c r="G28" t="str">
        <f>_xlfn.TEXTJOIN(",",TRUE,DIMENSIONS!D21:D169)</f>
        <v/>
      </c>
    </row>
    <row r="29" spans="1:7" ht="30" customHeight="1">
      <c r="A29" s="220" t="str">
        <f>IF(TRIM(DIMENSIONS!C7)="","", DIMENSIONS!C7)</f>
        <v/>
      </c>
      <c r="B29" s="220" t="str">
        <f>IF(A29="","", $A$25 &amp; "." &amp; DIMENSIONS!D7)</f>
        <v/>
      </c>
      <c r="C29" s="285" t="str">
        <f>IF(A29="","", "COALESCE(CAST(f." &amp; DIMHELPER!A29 &amp; " as varchar(" &amp;Options!$B$49 &amp; ")),'')" )</f>
        <v/>
      </c>
      <c r="D29" s="285" t="str">
        <f>IF(Options!$B$47=0,  IF(A29="","","lower(" &amp; B29 &amp; ")=lower(" &amp; C29 &amp; ")"),IF(A29="","","CAST(" &amp; B29 &amp; " as varchar("&amp;Options!$B$49&amp;")) = " &amp; C29 &amp; " "))</f>
        <v/>
      </c>
      <c r="F29" s="285" t="str">
        <f>IF(E29="","", DIMENSIONS!C21 &amp; "." &amp; DIMHELPER!E29)</f>
        <v/>
      </c>
      <c r="G29" t="str">
        <f>_xlfn.TEXTJOIN(",",TRUE,DIMENSIONS!D22:D170)</f>
        <v/>
      </c>
    </row>
    <row r="30" spans="1:7">
      <c r="A30" s="220" t="str">
        <f>IF(TRIM(DIMENSIONS!C8)="","", DIMENSIONS!C8)</f>
        <v/>
      </c>
      <c r="B30" s="220" t="str">
        <f>IF(A30="","", $A$25 &amp; "." &amp; DIMENSIONS!D8)</f>
        <v/>
      </c>
      <c r="C30" s="285" t="str">
        <f>IF(A30="","", "COALESCE(CAST(f." &amp; DIMHELPER!A30 &amp; " as varchar(" &amp;Options!$B$49 &amp; ")),'')" )</f>
        <v/>
      </c>
      <c r="D30" s="285" t="str">
        <f>IF(Options!$B$47=0,  IF(A30="","","lower(" &amp; B30 &amp; ")=lower(" &amp; C30 &amp; ")"),IF(A30="","","CAST(" &amp; B30 &amp; " as varchar("&amp;Options!$B$49&amp;")) = " &amp; C30 &amp; " "))</f>
        <v/>
      </c>
      <c r="F30" s="285" t="str">
        <f>IF(E30="","", DIMENSIONS!C22 &amp; "." &amp; DIMHELPER!E30)</f>
        <v/>
      </c>
      <c r="G30" t="str">
        <f>_xlfn.TEXTJOIN(",",TRUE,DIMENSIONS!D23:D171)</f>
        <v/>
      </c>
    </row>
    <row r="31" spans="1:7">
      <c r="A31" s="220" t="str">
        <f>IF(TRIM(DIMENSIONS!C9)="","", DIMENSIONS!C9)</f>
        <v/>
      </c>
      <c r="B31" s="220" t="str">
        <f>IF(A31="","", $A$25 &amp; "." &amp; DIMENSIONS!D9)</f>
        <v/>
      </c>
      <c r="C31" s="285" t="str">
        <f>IF(A31="","", "COALESCE(CAST(f." &amp; DIMHELPER!A31 &amp; " as varchar(" &amp;Options!$B$49 &amp; ")),'')" )</f>
        <v/>
      </c>
      <c r="D31" s="285" t="str">
        <f>IF(Options!$B$47=0,  IF(A31="","","lower(" &amp; B31 &amp; ")=lower(" &amp; C31 &amp; ")"),IF(A31="","","CAST(" &amp; B31 &amp; " as varchar("&amp;Options!$B$49&amp;")) = " &amp; C31 &amp; " "))</f>
        <v/>
      </c>
      <c r="F31" s="285" t="str">
        <f>IF(E31="","", DIMENSIONS!C23 &amp; "." &amp; DIMHELPER!E31)</f>
        <v/>
      </c>
      <c r="G31" t="str">
        <f>_xlfn.TEXTJOIN(",",TRUE,DIMENSIONS!D24:D172)</f>
        <v/>
      </c>
    </row>
    <row r="32" spans="1:7">
      <c r="A32" s="220" t="str">
        <f>IF(TRIM(DIMENSIONS!C10)="","", DIMENSIONS!C10)</f>
        <v/>
      </c>
      <c r="B32" s="220" t="str">
        <f>IF(A32="","", $A$25 &amp; "." &amp; DIMENSIONS!D10)</f>
        <v/>
      </c>
      <c r="C32" s="285" t="str">
        <f>IF(A32="","", "COALESCE(CAST(f." &amp; DIMHELPER!A32 &amp; " as varchar(" &amp;Options!$B$49 &amp; ")),'')" )</f>
        <v/>
      </c>
      <c r="D32" s="285" t="str">
        <f>IF(Options!$B$47=0,  IF(A32="","","lower(" &amp; B32 &amp; ")=lower(" &amp; C32 &amp; ")"),IF(A32="","","CAST(" &amp; B32 &amp; " as varchar("&amp;Options!$B$49&amp;")) = " &amp; C32 &amp; " "))</f>
        <v/>
      </c>
      <c r="F32" s="285" t="str">
        <f>IF(E32="","", DIMENSIONS!C24 &amp; "." &amp; DIMHELPER!E32)</f>
        <v/>
      </c>
      <c r="G32" t="str">
        <f>_xlfn.TEXTJOIN(",",TRUE,DIMENSIONS!D25:D173)</f>
        <v/>
      </c>
    </row>
    <row r="33" spans="1:7">
      <c r="A33" s="220" t="str">
        <f>IF(TRIM(DIMENSIONS!C11)="","", DIMENSIONS!C11)</f>
        <v/>
      </c>
      <c r="B33" s="220" t="str">
        <f>IF(A33="","", $A$25 &amp; "." &amp; DIMENSIONS!D11)</f>
        <v/>
      </c>
      <c r="C33" s="285" t="str">
        <f>IF(A33="","", "COALESCE(CAST(f." &amp; DIMHELPER!A33 &amp; " as varchar(" &amp;Options!$B$49 &amp; ")),'')" )</f>
        <v/>
      </c>
      <c r="D33" s="285" t="str">
        <f>IF(Options!$B$47=0,  IF(A33="","","lower(" &amp; B33 &amp; ")=lower(" &amp; C33 &amp; ")"),IF(A33="","","CAST(" &amp; B33 &amp; " as varchar("&amp;Options!$B$49&amp;")) = " &amp; C33 &amp; " "))</f>
        <v/>
      </c>
      <c r="F33" s="285" t="str">
        <f>IF(E33="","", DIMENSIONS!C25 &amp; "." &amp; DIMHELPER!E33)</f>
        <v/>
      </c>
      <c r="G33" t="str">
        <f>_xlfn.TEXTJOIN(",",TRUE,DIMENSIONS!D26:D174)</f>
        <v/>
      </c>
    </row>
    <row r="34" spans="1:7">
      <c r="A34" s="220" t="str">
        <f>IF(TRIM(DIMENSIONS!C12)="","", DIMENSIONS!C12)</f>
        <v/>
      </c>
      <c r="B34" s="220" t="str">
        <f>IF(A34="","", $A$25 &amp; "." &amp; DIMENSIONS!D12)</f>
        <v/>
      </c>
      <c r="C34" s="285" t="str">
        <f>IF(A34="","", "COALESCE(CAST(f." &amp; DIMHELPER!A34 &amp; " as varchar(" &amp;Options!$B$49 &amp; ")),'')" )</f>
        <v/>
      </c>
      <c r="D34" s="285" t="str">
        <f>IF(Options!$B$47=0,  IF(A34="","","lower(" &amp; B34 &amp; ")=lower(" &amp; C34 &amp; ")"),IF(A34="","","CAST(" &amp; B34 &amp; " as varchar("&amp;Options!$B$49&amp;")) = " &amp; C34 &amp; " "))</f>
        <v/>
      </c>
      <c r="F34" s="285" t="str">
        <f>IF(E34="","", DIMENSIONS!C26 &amp; "." &amp; DIMHELPER!E34)</f>
        <v/>
      </c>
      <c r="G34" t="str">
        <f>_xlfn.TEXTJOIN(",",TRUE,DIMENSIONS!D27:D175)</f>
        <v/>
      </c>
    </row>
    <row r="35" spans="1:7">
      <c r="A35" s="220" t="str">
        <f>IF(TRIM(DIMENSIONS!C13)="","", DIMENSIONS!C13)</f>
        <v/>
      </c>
      <c r="B35" s="220" t="str">
        <f>IF(A35="","", $A$25 &amp; "." &amp; DIMENSIONS!D13)</f>
        <v/>
      </c>
      <c r="C35" s="285" t="str">
        <f>IF(A35="","", "COALESCE(CAST(f." &amp; DIMHELPER!A35 &amp; " as varchar(" &amp;Options!$B$49 &amp; ")),'')" )</f>
        <v/>
      </c>
      <c r="D35" s="285" t="str">
        <f>IF(Options!$B$47=0,  IF(A35="","","lower(" &amp; B35 &amp; ")=lower(" &amp; C35 &amp; ")"),IF(A35="","","CAST(" &amp; B35 &amp; " as varchar("&amp;Options!$B$49&amp;")) = " &amp; C35 &amp; " "))</f>
        <v/>
      </c>
      <c r="F35" s="285" t="str">
        <f>IF(E35="","", DIMENSIONS!C27 &amp; "." &amp; DIMHELPER!E35)</f>
        <v/>
      </c>
      <c r="G35" t="str">
        <f>_xlfn.TEXTJOIN(",",TRUE,DIMENSIONS!D28:D176)</f>
        <v/>
      </c>
    </row>
    <row r="36" spans="1:7">
      <c r="A36" s="220" t="str">
        <f>IF(TRIM(DIMENSIONS!C14)="","", DIMENSIONS!C14)</f>
        <v/>
      </c>
      <c r="B36" s="220" t="str">
        <f>IF(A36="","", $A$25 &amp; "." &amp; DIMENSIONS!D14)</f>
        <v/>
      </c>
      <c r="C36" s="285" t="str">
        <f>IF(A36="","", "COALESCE(CAST(f." &amp; DIMHELPER!A36 &amp; " as varchar(" &amp;Options!$B$49 &amp; ")),'')" )</f>
        <v/>
      </c>
      <c r="D36" s="285" t="str">
        <f>IF(Options!$B$47=0,  IF(A36="","","lower(" &amp; B36 &amp; ")=lower(" &amp; C36 &amp; ")"),IF(A36="","","CAST(" &amp; B36 &amp; " as varchar("&amp;Options!$B$49&amp;")) = " &amp; C36 &amp; " "))</f>
        <v/>
      </c>
      <c r="F36" s="285" t="str">
        <f>IF(E36="","", DIMENSIONS!C28 &amp; "." &amp; DIMHELPER!E36)</f>
        <v/>
      </c>
      <c r="G36" t="str">
        <f>_xlfn.TEXTJOIN(",",TRUE,DIMENSIONS!D29:D177)</f>
        <v/>
      </c>
    </row>
    <row r="37" spans="1:7">
      <c r="A37" s="220" t="str">
        <f>IF(TRIM(DIMENSIONS!C15)="","", DIMENSIONS!C15)</f>
        <v/>
      </c>
      <c r="B37" s="220" t="str">
        <f>IF(A37="","", $A$25 &amp; "." &amp; DIMENSIONS!D15)</f>
        <v/>
      </c>
      <c r="C37" s="285" t="str">
        <f>IF(A37="","", "COALESCE(CAST(f." &amp; DIMHELPER!A37 &amp; " as varchar(" &amp;Options!$B$49 &amp; ")),'')" )</f>
        <v/>
      </c>
      <c r="D37" s="285" t="str">
        <f>IF(Options!$B$47=0,  IF(A37="","","lower(" &amp; B37 &amp; ")=lower(" &amp; C37 &amp; ")"),IF(A37="","","CAST(" &amp; B37 &amp; " as varchar("&amp;Options!$B$49&amp;")) = " &amp; C37 &amp; " "))</f>
        <v/>
      </c>
      <c r="F37" s="285" t="str">
        <f>IF(E37="","", DIMENSIONS!C29 &amp; "." &amp; DIMHELPER!E37)</f>
        <v/>
      </c>
      <c r="G37" t="str">
        <f>_xlfn.TEXTJOIN(",",TRUE,DIMENSIONS!D30:D178)</f>
        <v/>
      </c>
    </row>
    <row r="38" spans="1:7">
      <c r="A38" s="220" t="str">
        <f>IF(TRIM(DIMENSIONS!C16)="","", DIMENSIONS!C16)</f>
        <v/>
      </c>
      <c r="B38" s="220" t="str">
        <f>IF(A38="","", $A$25 &amp; "." &amp; DIMENSIONS!D16)</f>
        <v/>
      </c>
      <c r="C38" s="285" t="str">
        <f>IF(A38="","", "COALESCE(CAST(f." &amp; DIMHELPER!A38 &amp; " as varchar(" &amp;Options!$B$49 &amp; ")),'')" )</f>
        <v/>
      </c>
      <c r="D38" s="285" t="str">
        <f>IF(Options!$B$47=0,  IF(A38="","","lower(" &amp; B38 &amp; ")=lower(" &amp; C38 &amp; ")"),IF(A38="","","CAST(" &amp; B38 &amp; " as varchar("&amp;Options!$B$49&amp;")) = " &amp; C38 &amp; " "))</f>
        <v/>
      </c>
    </row>
    <row r="39" spans="1:7">
      <c r="A39" s="220" t="str">
        <f>IF(TRIM(DIMENSIONS!C17)="","", DIMENSIONS!C17)</f>
        <v/>
      </c>
      <c r="B39" s="220" t="str">
        <f>IF(A39="","", $A$25 &amp; "." &amp; DIMENSIONS!D17)</f>
        <v/>
      </c>
      <c r="C39" s="285" t="str">
        <f>IF(A39="","", "COALESCE(CAST(f." &amp; DIMHELPER!A39 &amp; " as varchar(" &amp;Options!$B$49 &amp; ")),'')" )</f>
        <v/>
      </c>
      <c r="D39" s="285" t="str">
        <f>IF(Options!$B$47=0,  IF(A39="","","lower(" &amp; B39 &amp; ")=lower(" &amp; C39 &amp; ")"),IF(A39="","","CAST(" &amp; B39 &amp; " as varchar("&amp;Options!$B$49&amp;")) = " &amp; C39 &amp; " "))</f>
        <v/>
      </c>
    </row>
    <row r="40" spans="1:7">
      <c r="A40" s="49" t="str">
        <f ca="1">A4</f>
        <v/>
      </c>
      <c r="B40" s="23"/>
      <c r="C40" s="106"/>
      <c r="D40" s="28"/>
      <c r="E40" s="24" t="s">
        <v>587</v>
      </c>
      <c r="F40" s="24" t="s">
        <v>588</v>
      </c>
    </row>
    <row r="41" spans="1:7">
      <c r="A41" t="str">
        <f>IF(TRIM(DIMENSIONS!E4)="","", DIMENSIONS!E4)</f>
        <v/>
      </c>
      <c r="B41" s="220" t="str">
        <f>IF(A41="","", $A$40 &amp; "." &amp; DIMENSIONS!F4)</f>
        <v/>
      </c>
      <c r="C41" s="285" t="str">
        <f>IF(A41="","", "COALESCE(CAST(f." &amp; DIMHELPER!A41 &amp; " as varchar(" &amp; Options!$B$49&amp; ")),'')" )</f>
        <v/>
      </c>
      <c r="D41" s="285" t="str">
        <f>IF(Options!$B$47=0,  IF(A41="","","lower(" &amp; B41 &amp; ")=lower(" &amp; C41 &amp; ")"),IF(A41="","","" &amp; B41 &amp; "=" &amp; C41 &amp; ""))</f>
        <v/>
      </c>
      <c r="E41" s="285" t="str">
        <f>_xlfn.TEXTJOIN(" AND ",TRUE,D41:D54)</f>
        <v/>
      </c>
      <c r="F41" s="25" t="str">
        <f>_xlfn.TEXTJOIN(",",TRUE,C41:C54)</f>
        <v/>
      </c>
    </row>
    <row r="42" spans="1:7">
      <c r="A42" t="str">
        <f>IF(TRIM(DIMENSIONS!E5)="","", DIMENSIONS!E5)</f>
        <v/>
      </c>
      <c r="B42" s="220" t="str">
        <f>IF(A42="","", $A$40 &amp; "." &amp; DIMENSIONS!F5)</f>
        <v/>
      </c>
      <c r="C42" s="285" t="str">
        <f>IF(A42="","", "COALESCE(CAST(f." &amp; DIMHELPER!A42 &amp; " as varchar(" &amp; Options!$B$49&amp; ")),'')" )</f>
        <v/>
      </c>
      <c r="D42" s="285" t="str">
        <f>IF(Options!$B$47=0,  IF(A42="","","lower(" &amp; B42 &amp; ")=lower(" &amp; C42 &amp; ")"),IF(A42="","","" &amp; B42 &amp; "=" &amp; C42 &amp; ""))</f>
        <v/>
      </c>
    </row>
    <row r="43" spans="1:7">
      <c r="A43" t="str">
        <f>IF(TRIM(DIMENSIONS!E6)="","", DIMENSIONS!E6)</f>
        <v/>
      </c>
      <c r="B43" s="220" t="str">
        <f>IF(A43="","", $A$40 &amp; "." &amp; DIMENSIONS!F6)</f>
        <v/>
      </c>
      <c r="C43" s="285" t="str">
        <f>IF(A43="","", "COALESCE(CAST(f." &amp; DIMHELPER!A43 &amp; " as varchar(" &amp; Options!$B$49&amp; ")),'')" )</f>
        <v/>
      </c>
      <c r="D43" s="285" t="str">
        <f>IF(Options!$B$47=0,  IF(A43="","","lower(" &amp; B43 &amp; ")=lower(" &amp; C43 &amp; ")"),IF(A43="","","" &amp; B43 &amp; "=" &amp; C43 &amp; ""))</f>
        <v/>
      </c>
    </row>
    <row r="44" spans="1:7">
      <c r="A44" t="str">
        <f>IF(TRIM(DIMENSIONS!E7)="","", DIMENSIONS!E7)</f>
        <v/>
      </c>
      <c r="B44" s="220" t="str">
        <f>IF(A44="","", $A$40 &amp; "." &amp; DIMENSIONS!F7)</f>
        <v/>
      </c>
      <c r="C44" s="285" t="str">
        <f>IF(A44="","", "COALESCE(CAST(f." &amp; DIMHELPER!A44 &amp; " as varchar(" &amp; Options!$B$49&amp; ")),'')" )</f>
        <v/>
      </c>
      <c r="D44" s="285" t="str">
        <f>IF(Options!$B$47=0,  IF(A44="","","lower(" &amp; B44 &amp; ")=lower(" &amp; C44 &amp; ")"),IF(A44="","","" &amp; B44 &amp; "=" &amp; C44 &amp; ""))</f>
        <v/>
      </c>
    </row>
    <row r="45" spans="1:7">
      <c r="A45" t="str">
        <f>IF(TRIM(DIMENSIONS!E8)="","", DIMENSIONS!E8)</f>
        <v/>
      </c>
      <c r="B45" s="220" t="str">
        <f>IF(A45="","", $A$40 &amp; "." &amp; DIMENSIONS!F8)</f>
        <v/>
      </c>
      <c r="C45" s="285" t="str">
        <f>IF(A45="","", "COALESCE(CAST(f." &amp; DIMHELPER!A45 &amp; " as varchar(" &amp; Options!$B$49&amp; ")),'')" )</f>
        <v/>
      </c>
      <c r="D45" s="285" t="str">
        <f>IF(Options!$B$47=0,  IF(A45="","","lower(" &amp; B45 &amp; ")=lower(" &amp; C45 &amp; ")"),IF(A45="","","" &amp; B45 &amp; "=" &amp; C45 &amp; ""))</f>
        <v/>
      </c>
    </row>
    <row r="46" spans="1:7">
      <c r="A46" t="str">
        <f>IF(TRIM(DIMENSIONS!E9)="","", DIMENSIONS!E9)</f>
        <v/>
      </c>
      <c r="B46" s="220" t="str">
        <f>IF(A46="","", $A$40 &amp; "." &amp; DIMENSIONS!F9)</f>
        <v/>
      </c>
      <c r="C46" s="285" t="str">
        <f>IF(A46="","", "COALESCE(CAST(f." &amp; DIMHELPER!A46 &amp; " as varchar(" &amp; Options!$B$49&amp; ")),'')" )</f>
        <v/>
      </c>
      <c r="D46" s="285" t="str">
        <f>IF(Options!$B$47=0,  IF(A46="","","lower(" &amp; B46 &amp; ")=lower(" &amp; C46 &amp; ")"),IF(A46="","","" &amp; B46 &amp; "=" &amp; C46 &amp; ""))</f>
        <v/>
      </c>
    </row>
    <row r="47" spans="1:7">
      <c r="A47" t="str">
        <f>IF(TRIM(DIMENSIONS!E10)="","", DIMENSIONS!E10)</f>
        <v/>
      </c>
      <c r="B47" s="220" t="str">
        <f>IF(A47="","", $A$40 &amp; "." &amp; DIMENSIONS!F10)</f>
        <v/>
      </c>
      <c r="C47" s="285" t="str">
        <f>IF(A47="","", "COALESCE(CAST(f." &amp; DIMHELPER!A47 &amp; " as varchar(" &amp; Options!$B$49&amp; ")),'')" )</f>
        <v/>
      </c>
      <c r="D47" s="285" t="str">
        <f>IF(Options!$B$47=0,  IF(A47="","","lower(" &amp; B47 &amp; ")=lower(" &amp; C47 &amp; ")"),IF(A47="","","" &amp; B47 &amp; "=" &amp; C47 &amp; ""))</f>
        <v/>
      </c>
    </row>
    <row r="48" spans="1:7">
      <c r="A48" t="str">
        <f>IF(TRIM(DIMENSIONS!E11)="","", DIMENSIONS!E11)</f>
        <v/>
      </c>
      <c r="B48" s="220" t="str">
        <f>IF(A48="","", $A$40 &amp; "." &amp; DIMENSIONS!F11)</f>
        <v/>
      </c>
      <c r="C48" s="285" t="str">
        <f>IF(A48="","", "COALESCE(CAST(f." &amp; DIMHELPER!A48 &amp; " as varchar(" &amp; Options!$B$49&amp; ")),'')" )</f>
        <v/>
      </c>
      <c r="D48" s="285" t="str">
        <f>IF(Options!$B$47=0,  IF(A48="","","lower(" &amp; B48 &amp; ")=lower(" &amp; C48 &amp; ")"),IF(A48="","","" &amp; B48 &amp; "=" &amp; C48 &amp; ""))</f>
        <v/>
      </c>
    </row>
    <row r="49" spans="1:6">
      <c r="A49" t="str">
        <f>IF(TRIM(DIMENSIONS!E12)="","", DIMENSIONS!E12)</f>
        <v/>
      </c>
      <c r="B49" s="220" t="str">
        <f>IF(A49="","", $A$40 &amp; "." &amp; DIMENSIONS!F12)</f>
        <v/>
      </c>
      <c r="C49" s="285" t="str">
        <f>IF(A49="","", "COALESCE(CAST(f." &amp; DIMHELPER!A49 &amp; " as varchar(" &amp; Options!$B$49&amp; ")),'')" )</f>
        <v/>
      </c>
      <c r="D49" s="285" t="str">
        <f>IF(Options!$B$47=0,  IF(A49="","","lower(" &amp; B49 &amp; ")=lower(" &amp; C49 &amp; ")"),IF(A49="","","" &amp; B49 &amp; "=" &amp; C49 &amp; ""))</f>
        <v/>
      </c>
    </row>
    <row r="50" spans="1:6">
      <c r="A50" t="str">
        <f>IF(TRIM(DIMENSIONS!E13)="","", DIMENSIONS!E13)</f>
        <v/>
      </c>
      <c r="B50" s="220" t="str">
        <f>IF(A50="","", $A$40 &amp; "." &amp; DIMENSIONS!F13)</f>
        <v/>
      </c>
      <c r="C50" s="285" t="str">
        <f>IF(A50="","", "COALESCE(CAST(f." &amp; DIMHELPER!A50 &amp; " as varchar(" &amp; Options!$B$49&amp; ")),'')" )</f>
        <v/>
      </c>
      <c r="D50" s="285" t="str">
        <f>IF(Options!$B$47=0,  IF(A50="","","lower(" &amp; B50 &amp; ")=lower(" &amp; C50 &amp; ")"),IF(A50="","","" &amp; B50 &amp; "=" &amp; C50 &amp; ""))</f>
        <v/>
      </c>
    </row>
    <row r="51" spans="1:6">
      <c r="A51" t="str">
        <f>IF(TRIM(DIMENSIONS!E14)="","", DIMENSIONS!E14)</f>
        <v/>
      </c>
      <c r="B51" s="220" t="str">
        <f>IF(A51="","", $A$40 &amp; "." &amp; DIMENSIONS!F14)</f>
        <v/>
      </c>
      <c r="C51" s="285" t="str">
        <f>IF(A51="","", "COALESCE(CAST(f." &amp; DIMHELPER!A51 &amp; " as varchar(" &amp; Options!$B$49&amp; ")),'')" )</f>
        <v/>
      </c>
      <c r="D51" s="285" t="str">
        <f>IF(Options!$B$47=0,  IF(A51="","","lower(" &amp; B51 &amp; ")=lower(" &amp; C51 &amp; ")"),IF(A51="","","" &amp; B51 &amp; "=" &amp; C51 &amp; ""))</f>
        <v/>
      </c>
    </row>
    <row r="52" spans="1:6">
      <c r="A52" t="str">
        <f>IF(TRIM(DIMENSIONS!E15)="","", DIMENSIONS!E15)</f>
        <v/>
      </c>
      <c r="B52" s="220" t="str">
        <f>IF(A52="","", $A$40 &amp; "." &amp; DIMENSIONS!F15)</f>
        <v/>
      </c>
      <c r="C52" s="285" t="str">
        <f>IF(A52="","", "COALESCE(CAST(f." &amp; DIMHELPER!A52 &amp; " as varchar(" &amp; Options!$B$49&amp; ")),'')" )</f>
        <v/>
      </c>
      <c r="D52" s="285" t="str">
        <f>IF(Options!$B$47=0,  IF(A52="","","lower(" &amp; B52 &amp; ")=lower(" &amp; C52 &amp; ")"),IF(A52="","","" &amp; B52 &amp; "=" &amp; C52 &amp; ""))</f>
        <v/>
      </c>
    </row>
    <row r="53" spans="1:6">
      <c r="A53" t="str">
        <f>IF(TRIM(DIMENSIONS!E16)="","", DIMENSIONS!E16)</f>
        <v/>
      </c>
      <c r="B53" s="220" t="str">
        <f>IF(A53="","", $A$40 &amp; "." &amp; DIMENSIONS!F16)</f>
        <v/>
      </c>
      <c r="C53" s="285" t="str">
        <f>IF(A53="","", "COALESCE(CAST(f." &amp; DIMHELPER!A53 &amp; " as varchar(" &amp; Options!$B$49&amp; ")),'')" )</f>
        <v/>
      </c>
      <c r="D53" s="285" t="str">
        <f>IF(Options!$B$47=0,  IF(A53="","","lower(" &amp; B53 &amp; ")=lower(" &amp; C53 &amp; ")"),IF(A53="","","" &amp; B53 &amp; "=" &amp; C53 &amp; ""))</f>
        <v/>
      </c>
    </row>
    <row r="54" spans="1:6">
      <c r="A54" t="str">
        <f>IF(TRIM(DIMENSIONS!E17)="","", DIMENSIONS!E17)</f>
        <v/>
      </c>
      <c r="B54" s="220" t="str">
        <f>IF(A54="","", $A$40 &amp; "." &amp; DIMENSIONS!F17)</f>
        <v/>
      </c>
      <c r="C54" s="285" t="str">
        <f>IF(A54="","", "COALESCE(CAST(f." &amp; DIMHELPER!A54 &amp; " as varchar(" &amp; Options!$B$49&amp; ")),'')" )</f>
        <v/>
      </c>
      <c r="D54" s="285" t="str">
        <f>IF(Options!$B$47=0,  IF(A54="","","lower(" &amp; B54 &amp; ")=lower(" &amp; C54 &amp; ")"),IF(A54="","","" &amp; B54 &amp; "=" &amp; C54 &amp; ""))</f>
        <v/>
      </c>
    </row>
    <row r="55" spans="1:6">
      <c r="A55" s="49" t="str">
        <f ca="1">A5</f>
        <v/>
      </c>
      <c r="B55" s="23"/>
      <c r="C55" s="106"/>
      <c r="D55" s="28"/>
      <c r="E55" s="24" t="s">
        <v>587</v>
      </c>
      <c r="F55" s="24" t="s">
        <v>588</v>
      </c>
    </row>
    <row r="56" spans="1:6" ht="23.25" customHeight="1">
      <c r="A56" t="str">
        <f>IF(TRIM(DIMENSIONS!G4)="","",DIMENSIONS!G4)</f>
        <v/>
      </c>
      <c r="B56" s="220" t="str">
        <f>IF(A56="","", $A$55 &amp; "." &amp; DIMENSIONS!H4)</f>
        <v/>
      </c>
      <c r="C56" s="285" t="str">
        <f>IF(A56="","", "COALESCE(CAST(f." &amp; DIMHELPER!A56 &amp; " as varchar(" &amp;Options!$B$49 &amp; ")),'')" )</f>
        <v/>
      </c>
      <c r="D56" s="285" t="str">
        <f>IF(Options!$B$47=0,  IF(A56="","","lower(" &amp; B56 &amp; ")=lower(" &amp; C56 &amp; ")"),IF(A56="","","" &amp; B56 &amp; "=" &amp; C56 &amp; ""))</f>
        <v/>
      </c>
      <c r="E56" s="285" t="str">
        <f>_xlfn.TEXTJOIN(" AND ",TRUE,D56:D69)</f>
        <v/>
      </c>
      <c r="F56" s="285" t="str">
        <f>_xlfn.TEXTJOIN(",",TRUE,C56:C69)</f>
        <v/>
      </c>
    </row>
    <row r="57" spans="1:6" ht="23.25" customHeight="1">
      <c r="A57" t="str">
        <f>IF(TRIM(DIMENSIONS!G5)="","",DIMENSIONS!G5)</f>
        <v/>
      </c>
      <c r="B57" s="220" t="str">
        <f>IF(A57="","", $A$55 &amp; "." &amp; DIMENSIONS!H5)</f>
        <v/>
      </c>
      <c r="C57" s="285" t="str">
        <f>IF(A57="","", "COALESCE(CAST(f." &amp; DIMHELPER!A57 &amp; " as varchar(" &amp;Options!$B$49 &amp; ")),'')" )</f>
        <v/>
      </c>
      <c r="D57" s="285" t="str">
        <f>IF(Options!$B$47=0,  IF(A57="","","lower(" &amp; B57 &amp; ")=lower(" &amp; C57 &amp; ")"),IF(A57="","","" &amp; B57 &amp; "=" &amp; C57 &amp; ""))</f>
        <v/>
      </c>
    </row>
    <row r="58" spans="1:6" ht="23.25" customHeight="1">
      <c r="A58" t="str">
        <f>IF(TRIM(DIMENSIONS!G6)="","",DIMENSIONS!G6)</f>
        <v/>
      </c>
      <c r="B58" s="220" t="str">
        <f>IF(A58="","", $A$55 &amp; "." &amp; DIMENSIONS!H6)</f>
        <v/>
      </c>
      <c r="C58" s="285" t="str">
        <f>IF(A58="","", "COALESCE(CAST(f." &amp; DIMHELPER!A58 &amp; " as varchar(" &amp;Options!$B$49 &amp; ")),'')" )</f>
        <v/>
      </c>
      <c r="D58" s="285" t="str">
        <f>IF(Options!$B$47=0,  IF(A58="","","lower(" &amp; B58 &amp; ")=lower(" &amp; C58 &amp; ")"),IF(A58="","","" &amp; B58 &amp; "=" &amp; C58 &amp; ""))</f>
        <v/>
      </c>
    </row>
    <row r="59" spans="1:6" ht="23.25" customHeight="1">
      <c r="A59" t="str">
        <f>IF(TRIM(DIMENSIONS!G7)="","",DIMENSIONS!G7)</f>
        <v/>
      </c>
      <c r="B59" s="220" t="str">
        <f>IF(A59="","", $A$55 &amp; "." &amp; DIMENSIONS!H7)</f>
        <v/>
      </c>
      <c r="C59" s="285" t="str">
        <f>IF(A59="","", "COALESCE(CAST(f." &amp; DIMHELPER!A59 &amp; " as varchar(" &amp;Options!$B$49 &amp; ")),'')" )</f>
        <v/>
      </c>
      <c r="D59" s="285" t="str">
        <f>IF(Options!$B$47=0,  IF(A59="","","lower(" &amp; B59 &amp; ")=lower(" &amp; C59 &amp; ")"),IF(A59="","","" &amp; B59 &amp; "=" &amp; C59 &amp; ""))</f>
        <v/>
      </c>
    </row>
    <row r="60" spans="1:6">
      <c r="A60" t="str">
        <f>IF(TRIM(DIMENSIONS!G8)="","",DIMENSIONS!G8)</f>
        <v/>
      </c>
      <c r="B60" s="220" t="str">
        <f>IF(A60="","", $A$55 &amp; "." &amp; DIMENSIONS!H8)</f>
        <v/>
      </c>
      <c r="C60" s="285" t="str">
        <f>IF(A60="","", "COALESCE(CAST(f." &amp; DIMHELPER!A60 &amp; " as varchar(" &amp;Options!$B$49 &amp; ")),'')" )</f>
        <v/>
      </c>
      <c r="D60" s="285" t="str">
        <f>IF(Options!$B$47=0,  IF(A60="","","lower(" &amp; B60 &amp; ")=lower(" &amp; C60 &amp; ")"),IF(A60="","","" &amp; B60 &amp; "=" &amp; C60 &amp; ""))</f>
        <v/>
      </c>
    </row>
    <row r="61" spans="1:6">
      <c r="A61" t="str">
        <f>IF(TRIM(DIMENSIONS!G9)="","",DIMENSIONS!G9)</f>
        <v/>
      </c>
      <c r="B61" s="220" t="str">
        <f>IF(A61="","", $A$55 &amp; "." &amp; DIMENSIONS!H9)</f>
        <v/>
      </c>
      <c r="C61" s="285" t="str">
        <f>IF(A61="","", "COALESCE(CAST(f." &amp; DIMHELPER!A61 &amp; " as varchar(" &amp;Options!$B$49 &amp; ")),'')" )</f>
        <v/>
      </c>
      <c r="D61" s="285" t="str">
        <f>IF(Options!$B$47=0,  IF(A61="","","lower(" &amp; B61 &amp; ")=lower(" &amp; C61 &amp; ")"),IF(A61="","","" &amp; B61 &amp; "=" &amp; C61 &amp; ""))</f>
        <v/>
      </c>
    </row>
    <row r="62" spans="1:6">
      <c r="A62" t="str">
        <f>IF(TRIM(DIMENSIONS!G10)="","",DIMENSIONS!G10)</f>
        <v/>
      </c>
      <c r="B62" s="220" t="str">
        <f>IF(A62="","", $A$55 &amp; "." &amp; DIMENSIONS!H10)</f>
        <v/>
      </c>
      <c r="C62" s="285" t="str">
        <f>IF(A62="","", "COALESCE(CAST(f." &amp; DIMHELPER!A62 &amp; " as varchar(" &amp;Options!$B$49 &amp; ")),'')" )</f>
        <v/>
      </c>
      <c r="D62" s="285" t="str">
        <f>IF(Options!$B$47=0,  IF(A62="","","lower(" &amp; B62 &amp; ")=lower(" &amp; C62 &amp; ")"),IF(A62="","","" &amp; B62 &amp; "=" &amp; C62 &amp; ""))</f>
        <v/>
      </c>
    </row>
    <row r="63" spans="1:6">
      <c r="A63" t="str">
        <f>IF(TRIM(DIMENSIONS!G11)="","",DIMENSIONS!G11)</f>
        <v/>
      </c>
      <c r="B63" s="220" t="str">
        <f>IF(A63="","", $A$55 &amp; "." &amp; DIMENSIONS!H11)</f>
        <v/>
      </c>
      <c r="C63" s="285" t="str">
        <f>IF(A63="","", "COALESCE(CAST(f." &amp; DIMHELPER!A63 &amp; " as varchar(" &amp;Options!$B$49 &amp; ")),'')" )</f>
        <v/>
      </c>
      <c r="D63" s="285" t="str">
        <f>IF(Options!$B$47=0,  IF(A63="","","lower(" &amp; B63 &amp; ")=lower(" &amp; C63 &amp; ")"),IF(A63="","","" &amp; B63 &amp; "=" &amp; C63 &amp; ""))</f>
        <v/>
      </c>
    </row>
    <row r="64" spans="1:6">
      <c r="A64" t="str">
        <f>IF(TRIM(DIMENSIONS!G12)="","",DIMENSIONS!G12)</f>
        <v/>
      </c>
      <c r="B64" s="220" t="str">
        <f>IF(A64="","", $A$55 &amp; "." &amp; DIMENSIONS!H12)</f>
        <v/>
      </c>
      <c r="C64" s="285" t="str">
        <f>IF(A64="","", "COALESCE(CAST(f." &amp; DIMHELPER!A64 &amp; " as varchar(" &amp;Options!$B$49 &amp; ")),'')" )</f>
        <v/>
      </c>
      <c r="D64" s="285" t="str">
        <f>IF(Options!$B$47=0,  IF(A64="","","lower(" &amp; B64 &amp; ")=lower(" &amp; C64 &amp; ")"),IF(A64="","","" &amp; B64 &amp; "=" &amp; C64 &amp; ""))</f>
        <v/>
      </c>
    </row>
    <row r="65" spans="1:6">
      <c r="A65" t="str">
        <f>IF(TRIM(DIMENSIONS!G13)="","",DIMENSIONS!G13)</f>
        <v/>
      </c>
      <c r="B65" s="220" t="str">
        <f>IF(A65="","", $A$55 &amp; "." &amp; DIMENSIONS!H13)</f>
        <v/>
      </c>
      <c r="C65" s="285" t="str">
        <f>IF(A65="","", "COALESCE(CAST(f." &amp; DIMHELPER!A65 &amp; " as varchar(" &amp;Options!$B$49 &amp; ")),'')" )</f>
        <v/>
      </c>
      <c r="D65" s="285" t="str">
        <f>IF(Options!$B$47=0,  IF(A65="","","lower(" &amp; B65 &amp; ")=lower(" &amp; C65 &amp; ")"),IF(A65="","","" &amp; B65 &amp; "=" &amp; C65 &amp; ""))</f>
        <v/>
      </c>
    </row>
    <row r="66" spans="1:6">
      <c r="A66" t="str">
        <f>IF(TRIM(DIMENSIONS!G14)="","",DIMENSIONS!G14)</f>
        <v/>
      </c>
      <c r="B66" s="220" t="str">
        <f>IF(A66="","", $A$55 &amp; "." &amp; DIMENSIONS!H14)</f>
        <v/>
      </c>
      <c r="C66" s="285" t="str">
        <f>IF(A66="","", "COALESCE(CAST(f." &amp; DIMHELPER!A66 &amp; " as varchar(" &amp;Options!$B$49 &amp; ")),'')" )</f>
        <v/>
      </c>
      <c r="D66" s="285" t="str">
        <f>IF(Options!$B$47=0,  IF(A66="","","lower(" &amp; B66 &amp; ")=lower(" &amp; C66 &amp; ")"),IF(A66="","","" &amp; B66 &amp; "=" &amp; C66 &amp; ""))</f>
        <v/>
      </c>
    </row>
    <row r="67" spans="1:6">
      <c r="A67" t="str">
        <f>IF(TRIM(DIMENSIONS!G15)="","",DIMENSIONS!G15)</f>
        <v/>
      </c>
      <c r="B67" s="220" t="str">
        <f>IF(A67="","", $A$55 &amp; "." &amp; DIMENSIONS!H15)</f>
        <v/>
      </c>
      <c r="C67" s="285" t="str">
        <f>IF(A67="","", "COALESCE(CAST(f." &amp; DIMHELPER!A67 &amp; " as varchar(" &amp;Options!$B$49 &amp; ")),'')" )</f>
        <v/>
      </c>
      <c r="D67" s="285" t="str">
        <f>IF(Options!$B$47=0,  IF(A67="","","lower(" &amp; B67 &amp; ")=lower(" &amp; C67 &amp; ")"),IF(A67="","","" &amp; B67 &amp; "=" &amp; C67 &amp; ""))</f>
        <v/>
      </c>
    </row>
    <row r="68" spans="1:6">
      <c r="A68" t="str">
        <f>IF(TRIM(DIMENSIONS!G16)="","",DIMENSIONS!G16)</f>
        <v/>
      </c>
      <c r="B68" s="220" t="str">
        <f>IF(A68="","", $A$55 &amp; "." &amp; DIMENSIONS!H16)</f>
        <v/>
      </c>
      <c r="C68" s="285" t="str">
        <f>IF(A68="","", "COALESCE(CAST(f." &amp; DIMHELPER!A68 &amp; " as varchar(" &amp;Options!$B$49 &amp; ")),'')" )</f>
        <v/>
      </c>
      <c r="D68" s="285" t="str">
        <f>IF(Options!$B$47=0,  IF(A68="","","lower(" &amp; B68 &amp; ")=lower(" &amp; C68 &amp; ")"),IF(A68="","","" &amp; B68 &amp; "=" &amp; C68 &amp; ""))</f>
        <v/>
      </c>
    </row>
    <row r="69" spans="1:6">
      <c r="A69" t="str">
        <f>IF(TRIM(DIMENSIONS!G17)="","",DIMENSIONS!G17)</f>
        <v/>
      </c>
      <c r="B69" s="220" t="str">
        <f>IF(A69="","", $A$55 &amp; "." &amp; DIMENSIONS!H17)</f>
        <v/>
      </c>
      <c r="C69" s="285" t="str">
        <f>IF(A69="","", "COALESCE(CAST(f." &amp; DIMHELPER!A69 &amp; " as varchar(" &amp;Options!$B$49 &amp; ")),'')" )</f>
        <v/>
      </c>
      <c r="D69" s="285" t="str">
        <f>IF(Options!$B$47=0,  IF(A69="","","lower(" &amp; B69 &amp; ")=lower(" &amp; C69 &amp; ")"),IF(A69="","","" &amp; B69 &amp; "=" &amp; C69 &amp; ""))</f>
        <v/>
      </c>
    </row>
    <row r="70" spans="1:6" s="221" customFormat="1">
      <c r="A70" s="30" t="str">
        <f ca="1">A6</f>
        <v/>
      </c>
      <c r="B70" s="72"/>
      <c r="C70" s="24" t="str">
        <f ca="1">IF(A70="","", "f." &amp; DIMHELPER!A70)</f>
        <v/>
      </c>
      <c r="D70" s="24"/>
      <c r="E70" s="24" t="s">
        <v>587</v>
      </c>
      <c r="F70" s="71"/>
    </row>
    <row r="71" spans="1:6">
      <c r="A71" t="str">
        <f>IF(TRIM(DIMENSIONS!I4)="","",DIMENSIONS!I4)</f>
        <v/>
      </c>
      <c r="B71" s="220" t="str">
        <f>IF(A71="","", $A$55 &amp; "." &amp; DIMHELPER!A71)</f>
        <v/>
      </c>
    </row>
    <row r="72" spans="1:6">
      <c r="A72" t="str">
        <f>IF(TRIM(DIMENSIONS!I5)="","",DIMENSIONS!I5)</f>
        <v/>
      </c>
      <c r="B72" s="220" t="str">
        <f>IF(A72="","", $A$55 &amp; "." &amp; DIMHELPER!A72)</f>
        <v/>
      </c>
    </row>
    <row r="73" spans="1:6">
      <c r="A73" t="str">
        <f>IF(TRIM(DIMENSIONS!I6)="","",DIMENSIONS!I6)</f>
        <v/>
      </c>
      <c r="B73" s="220" t="str">
        <f>IF(A73="","", $A$55 &amp; "." &amp; DIMHELPER!A73)</f>
        <v/>
      </c>
    </row>
    <row r="74" spans="1:6">
      <c r="A74" t="str">
        <f>IF(TRIM(DIMENSIONS!I7)="","",DIMENSIONS!I7)</f>
        <v/>
      </c>
    </row>
    <row r="75" spans="1:6">
      <c r="A75" t="str">
        <f>IF(TRIM(DIMENSIONS!I8)="","",DIMENSIONS!I8)</f>
        <v/>
      </c>
    </row>
    <row r="76" spans="1:6">
      <c r="A76" t="str">
        <f>IF(TRIM(DIMENSIONS!I9)="","",DIMENSIONS!I9)</f>
        <v/>
      </c>
    </row>
    <row r="77" spans="1:6">
      <c r="A77" t="str">
        <f>IF(TRIM(DIMENSIONS!I10)="","",DIMENSIONS!I10)</f>
        <v/>
      </c>
    </row>
    <row r="78" spans="1:6">
      <c r="A78" t="str">
        <f>IF(TRIM(DIMENSIONS!I11)="","",DIMENSIONS!I11)</f>
        <v/>
      </c>
    </row>
    <row r="79" spans="1:6">
      <c r="A79" t="str">
        <f>IF(TRIM(DIMENSIONS!I12)="","",DIMENSIONS!I12)</f>
        <v/>
      </c>
    </row>
    <row r="80" spans="1:6">
      <c r="A80" t="str">
        <f>IF(TRIM(DIMENSIONS!I13)="","",DIMENSIONS!I13)</f>
        <v/>
      </c>
    </row>
    <row r="81" spans="1:1">
      <c r="A81" t="str">
        <f>IF(TRIM(DIMENSIONS!I14)="","",DIMENSIONS!I14)</f>
        <v/>
      </c>
    </row>
    <row r="82" spans="1:1">
      <c r="A82" t="str">
        <f>IF(TRIM(DIMENSIONS!I15)="","",DIMENSIONS!I15)</f>
        <v/>
      </c>
    </row>
    <row r="83" spans="1:1">
      <c r="A83" t="str">
        <f>IF(TRIM(DIMENSIONS!I16)="","",DIMENSIONS!I16)</f>
        <v/>
      </c>
    </row>
    <row r="84" spans="1:1">
      <c r="A84" t="str">
        <f>IF(TRIM(DIMENSIONS!I17)="","",DIMENSIONS!I17)</f>
        <v/>
      </c>
    </row>
    <row r="85" spans="1:1">
      <c r="A85" t="str">
        <f>IF(TRIM(DIMENSIONS!I18)="","",DIMENSIONS!I18)</f>
        <v/>
      </c>
    </row>
    <row r="86" spans="1:1">
      <c r="A86" t="str">
        <f>IF(TRIM(DIMENSIONS!I19)="","",DIMENSIONS!I19)</f>
        <v/>
      </c>
    </row>
    <row r="87" spans="1:1">
      <c r="A87" t="str">
        <f>IF(TRIM(DIMENSIONS!I20)="","",DIMENSIONS!I20)</f>
        <v/>
      </c>
    </row>
    <row r="88" spans="1:1">
      <c r="A88" t="str">
        <f>IF(TRIM(DIMENSIONS!I21)="","",DIMENSIONS!I21)</f>
        <v/>
      </c>
    </row>
    <row r="89" spans="1:1">
      <c r="A89" t="str">
        <f>IF(TRIM(DIMENSIONS!I22)="","",DIMENSIONS!I22)</f>
        <v/>
      </c>
    </row>
    <row r="90" spans="1:1">
      <c r="A90" t="str">
        <f>IF(TRIM(DIMENSIONS!I23)="","",DIMENSIONS!I23)</f>
        <v/>
      </c>
    </row>
    <row r="91" spans="1:1">
      <c r="A91" t="str">
        <f>IF(TRIM(DIMENSIONS!I24)="","",DIMENSIONS!I24)</f>
        <v/>
      </c>
    </row>
    <row r="92" spans="1:1">
      <c r="A92" t="str">
        <f>IF(TRIM(DIMENSIONS!I25)="","",DIMENSIONS!I25)</f>
        <v/>
      </c>
    </row>
  </sheetData>
  <pageMargins left="0.7" right="0.7" top="0.75" bottom="0.75" header="0.3" footer="0.3"/>
  <pageSetup paperSize="9"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C00000"/>
  </sheetPr>
  <dimension ref="A1:C24"/>
  <sheetViews>
    <sheetView topLeftCell="B4" workbookViewId="0">
      <selection activeCell="C5" sqref="C5"/>
    </sheetView>
  </sheetViews>
  <sheetFormatPr defaultRowHeight="15"/>
  <cols>
    <col min="1" max="1" width="7" style="283" customWidth="1"/>
    <col min="2" max="2" width="202.85546875" style="283" customWidth="1"/>
    <col min="3" max="3" width="106.85546875" style="283" customWidth="1"/>
  </cols>
  <sheetData>
    <row r="1" spans="1:3" s="30" customFormat="1">
      <c r="B1" s="30" t="s">
        <v>589</v>
      </c>
      <c r="C1" s="11" t="s">
        <v>590</v>
      </c>
    </row>
    <row r="2" spans="1:3" ht="193.5" customHeight="1">
      <c r="A2" s="285"/>
      <c r="B2" s="10" t="str">
        <f ca="1">"SELECT  "  &amp;IF(Options!B17=1," DISTINCT ","")  &amp;HELPER!B123 &amp; " FROM "&amp;Options!B10&amp;"."&amp;Options!B11</f>
        <v>SELECT   DISTINCT wkVehicle AS wkVehicle, 1 AS has_communicated_last_90_days AS has_communicated_last_90_days, lake_arrival_date AS lake_arrival_date FROM .</v>
      </c>
      <c r="C2" s="285"/>
    </row>
    <row r="4" spans="1:3">
      <c r="B4" s="30" t="s">
        <v>591</v>
      </c>
    </row>
    <row r="5" spans="1:3" ht="368.25" customHeight="1">
      <c r="B5" s="195" t="str">
        <f ca="1">IF(Options!B31=1,"", "CREATE OR REPLACE VIEW " &amp; HELPER!B129 &amp; " AS WITH t1 as (SELECT " &amp; DIMHELPER!G8 &amp; "  FROM " &amp;HELPER!B124 &amp; " f " &amp; DIMHELPER!H8) &amp; ")  SELECT "&amp;HELPER!B11&amp;" FROM t1"</f>
        <v>CREATE OR REPLACE VIEW uc0039.source_factVCSSLast90_[:date_yyyymmdd]_v  AS WITH t1 as (SELECT f.wkVehicle AS wkVehicle, 1 AS has_communicated_last_90_days, f.lake_arrival_date AS lake_arrival_date, CAST(f.timestamp as timestamp)  AS last_modified_timestamp  FROM uc0039.source_factVCSSLast90_[:date_yyyymmdd]_v  f )  SELECT wkVehicle, has_communicated_last_90_days, lake_arrival_date,CAST( '' as varchar(1)) as hashkey, load_date, last_modified_timestamp FROM t1</v>
      </c>
      <c r="C5" s="285" t="str">
        <f ca="1">IF(Options!B31=1,"", "WITH t1 as (SELECT " &amp; DIMHELPER!G8 &amp; "  FROM " &amp;HELPER!B124 &amp; " f " &amp; DIMHELPER!H8) &amp; ")  SELECT "&amp;HELPER!B11&amp;" FROM t1"</f>
        <v>WITH t1 as (SELECT f.wkVehicle AS wkVehicle, 1 AS has_communicated_last_90_days, f.lake_arrival_date AS lake_arrival_date, CAST(f.timestamp as timestamp)  AS last_modified_timestamp  FROM uc0039.source_factVCSSLast90_[:date_yyyymmdd]_v  f )  SELECT wkVehicle, has_communicated_last_90_days, lake_arrival_date,CAST( '' as varchar(1)) as hashkey, load_date, last_modified_timestamp FROM t1</v>
      </c>
    </row>
    <row r="7" spans="1:3">
      <c r="B7" t="s">
        <v>592</v>
      </c>
    </row>
    <row r="8" spans="1:3" ht="387.75" customHeight="1">
      <c r="B8" s="195" t="str">
        <f>IF(Options!B31=0,"",  IF('Volvo DMA'!B2=1,'Volvo DMA'!A25 &amp; " ","") &amp;  HELPER!B115&amp; " SELECT " &amp; HELPER!B11 &amp; " FROM t2")</f>
        <v/>
      </c>
    </row>
    <row r="11" spans="1:3">
      <c r="B11" t="s">
        <v>573</v>
      </c>
    </row>
    <row r="12" spans="1:3" ht="213" customHeight="1">
      <c r="B12" s="285" t="str">
        <f>IF(Options!B31=0,"",IF('Volvo DMA'!B2=1,'Volvo DMA'!A25&amp;" ","")&amp;HELPER!C115)</f>
        <v/>
      </c>
    </row>
    <row r="14" spans="1:3">
      <c r="B14" t="str">
        <f>IF(B20="","",B20)</f>
        <v/>
      </c>
    </row>
    <row r="18" spans="2:2">
      <c r="B18" t="s">
        <v>593</v>
      </c>
    </row>
    <row r="20" spans="2:2" ht="157.5" customHeight="1">
      <c r="B20" s="195" t="str">
        <f>IF(Options!B7=1, "SELECT "&amp;IF(Options!B17=1,"Distinct "," ")&amp;COLHELPER!B152
&amp;IF(USERINPUT_LAST_MODIFIED_TIMESTAMP_COL_NAME="","",", max("&amp;USERINPUT_LAST_MODIFIED_TIMESTAMP_COL_NAME&amp;")" &amp; " as " &amp; USERINPUT_LAST_MODIFIED_TIMESTAMP_COL_NAME)
&amp;IF(USERINPUT_LOAD_DATE_COLUMN_NAME="","",", max("&amp;USERINPUT_LOAD_DATE_COLUMN_NAME&amp;")" &amp; " as " &amp; USERINPUT_LOAD_DATE_COLUMN_NAME)
&amp; " FROM " &amp; USERINPUT_CREATE_ATHENA_TABLE &amp; "." &amp; Options!B11 &amp; " GROUP BY " &amp; COLHELPER!B152,"")</f>
        <v/>
      </c>
    </row>
    <row r="23" spans="2:2">
      <c r="B23" t="s">
        <v>594</v>
      </c>
    </row>
    <row r="24" spans="2:2" ht="109.5" customHeight="1">
      <c r="B24" s="249" t="str">
        <f>IF(USERINPUT_USE_SOURCE_VIEW=1,"","SELECT "&amp;COLHELPER!B152&amp;" FROM "&amp;USERINPUT_CREATE_ATHENA_TABLE&amp;"."&amp;Options!B11&amp;IF(COLHELPER!BR152="",""," WHERE "&amp;COLHELPER!BR152))</f>
        <v/>
      </c>
    </row>
  </sheetData>
  <pageMargins left="0.7" right="0.7" top="0.75" bottom="0.75" header="0.3" footer="0.3"/>
  <pageSetup paperSize="9"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C00000"/>
  </sheetPr>
  <dimension ref="A1:A2"/>
  <sheetViews>
    <sheetView workbookViewId="0">
      <selection activeCell="A2" sqref="A2"/>
    </sheetView>
  </sheetViews>
  <sheetFormatPr defaultRowHeight="15"/>
  <cols>
    <col min="1" max="1" width="185.42578125" style="283" customWidth="1"/>
  </cols>
  <sheetData>
    <row r="1" spans="1:1">
      <c r="A1" s="30" t="s">
        <v>595</v>
      </c>
    </row>
    <row r="2" spans="1:1" ht="395.25" customHeight="1">
      <c r="A2" s="195" t="str">
        <f ca="1">HELPER!B3&amp;" "&amp;HELPER!B4&amp;"("&amp;HELPER!B58&amp;") " &amp;HELPER!B60  &amp; " "  &amp;  HELPER!B47 &amp;  " " &amp; " LOCATION '" &amp; HELPER!B34 &amp; "' " &amp; HELPER!B72</f>
        <v>CREATE TABLE IF NOT EXISTS  uc0039.factVCSSLast90(wkVehicle bigint, has_communicated_last_90_days bigint, lake_arrival_date string,hashkey string, load_date  Timestamp, last_modified_timestamp  TimestampFALSE) PARTITIONED BY (lake_arrival_date)   LOCATION 's3://uc0039-vgcs-odl-prod/db/factVCSSLast90' TBLPROPERTIES ( 'vacuum_max_snapshot_age_seconds' = '259200', 'optimize_rewrite_delete_file_threshold' = '50', 'write_target_data_file_size_bytes' = '536870912','table_type'='iceberg','format'='parquet')</v>
      </c>
    </row>
  </sheetData>
  <pageMargins left="0.7" right="0.7" top="0.75" bottom="0.75" header="0.3" footer="0.3"/>
  <pageSetup paperSize="9" orientation="portrai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B1:AK150"/>
  <sheetViews>
    <sheetView topLeftCell="G1" workbookViewId="0">
      <selection activeCell="H1" sqref="H1:H1048576"/>
    </sheetView>
  </sheetViews>
  <sheetFormatPr defaultRowHeight="15"/>
  <cols>
    <col min="3" max="3" width="91.42578125" style="283" customWidth="1"/>
    <col min="4" max="6" width="40.5703125" style="283" customWidth="1"/>
    <col min="7" max="7" width="75.42578125" style="283" bestFit="1" customWidth="1"/>
    <col min="8" max="8" width="71.7109375" style="190" customWidth="1"/>
    <col min="9" max="9" width="41.7109375" style="283" customWidth="1"/>
    <col min="10" max="11" width="71.7109375" style="283" customWidth="1"/>
    <col min="12" max="12" width="126.42578125" style="283" customWidth="1"/>
    <col min="13" max="13" width="97" style="283" bestFit="1" customWidth="1"/>
  </cols>
  <sheetData>
    <row r="1" spans="2:37">
      <c r="C1" t="s">
        <v>138</v>
      </c>
      <c r="F1" t="s">
        <v>596</v>
      </c>
      <c r="G1" t="s">
        <v>597</v>
      </c>
      <c r="I1" t="s">
        <v>598</v>
      </c>
      <c r="J1" t="s">
        <v>599</v>
      </c>
      <c r="K1" t="s">
        <v>600</v>
      </c>
      <c r="L1" t="s">
        <v>601</v>
      </c>
      <c r="M1" t="s">
        <v>602</v>
      </c>
      <c r="Q1" s="130" t="s">
        <v>603</v>
      </c>
    </row>
    <row r="2" spans="2:37">
      <c r="B2">
        <v>2</v>
      </c>
      <c r="C2" t="str">
        <f t="shared" ref="C2:C33" si="0">"=IF(" &amp; E2 &amp; " ="""";"""";" &amp; E2 &amp; ")"</f>
        <v>=IF(TRIM(INDIRECT("Columns!M2")) ="";"";TRIM(INDIRECT("Columns!M2")))</v>
      </c>
      <c r="D2" t="str">
        <f t="shared" ref="D2:D33" si="1">"TRIM(INDIRECT(""" &amp; $Q$2 &amp; "!" &amp; $Q$4 &amp; B2 &amp; """" &amp; "))"</f>
        <v>TRIM(INDIRECT("Columns!O2"))</v>
      </c>
      <c r="E2" t="str">
        <f t="shared" ref="E2:E33" si="2">"TRIM(INDIRECT(""" &amp; $Q$2 &amp; "!" &amp; $Q$7 &amp; B2 &amp; """" &amp; "))"</f>
        <v>TRIM(INDIRECT("Columns!M2"))</v>
      </c>
      <c r="F2" t="str">
        <f t="shared" ref="F2:F33" si="3">"TRIM(INDIRECT("""&amp;$Q$2&amp;"!"&amp;"D"&amp;B2&amp;""""&amp;"))"</f>
        <v>TRIM(INDIRECT("Columns!D2"))</v>
      </c>
      <c r="G2" t="str">
        <f t="shared" ref="G2:G33" si="4">"=IF(" &amp; F2 &amp; " ="""";C" &amp; B2 &amp; ";" &amp; F2 &amp; ")"</f>
        <v>=IF(TRIM(INDIRECT("Columns!D2")) ="";C2;TRIM(INDIRECT("Columns!D2")))</v>
      </c>
      <c r="H2" s="190" t="str">
        <f t="shared" ref="H2:H33" si="5">"=IF("&amp;D2&amp;"="""";"""";" &amp; D2 &amp; ")"</f>
        <v>=IF(TRIM(INDIRECT("Columns!O2"))="";"";TRIM(INDIRECT("Columns!O2")))</v>
      </c>
      <c r="I2" t="str">
        <f t="shared" ref="I2:I33" si="6">"=IF(INDIRECT(""" &amp; $Q$2 &amp; "!" &amp; "H" &amp; B2 &amp; """" &amp; ")=1;"</f>
        <v>=IF(INDIRECT("Columns!H2")=1;</v>
      </c>
      <c r="J2" t="str">
        <f t="shared" ref="J2:J33" si="7">I2&amp;"""bigint"";INDIRECT("""&amp;$Q$2&amp;"!C"&amp; B2 &amp; """))"</f>
        <v>=IF(INDIRECT("Columns!H2")=1;"bigint";INDIRECT("Columns!C2"))</v>
      </c>
      <c r="L2" t="str">
        <f t="shared" ref="L2:L33" si="8">"=IF(INDIRECT(""" &amp; $Q$2 &amp; "!" &amp; "H" &amp; B2 &amp; """" &amp; ")=1;"""";""A"";" &amp; M2 &amp; ")"</f>
        <v>=IF(INDIRECT("Columns!H2")=1;"";"A";IF(TRIM(INDIRECT("Columns!O2"))="";TRIM(INDIRECT("Columns!M2"));TRIM(INDIRECT("Columns!O2"))))</v>
      </c>
      <c r="M2" t="str">
        <f>"IF("&amp;D2&amp;"="""";" &amp;  E2 &amp; ";" &amp; D2 &amp; ")"</f>
        <v>IF(TRIM(INDIRECT("Columns!O2"))="";TRIM(INDIRECT("Columns!M2"));TRIM(INDIRECT("Columns!O2")))</v>
      </c>
      <c r="Q2" t="s">
        <v>604</v>
      </c>
    </row>
    <row r="3" spans="2:37">
      <c r="B3">
        <v>3</v>
      </c>
      <c r="C3" t="str">
        <f t="shared" si="0"/>
        <v>=IF(TRIM(INDIRECT("Columns!M3")) ="";"";TRIM(INDIRECT("Columns!M3")))</v>
      </c>
      <c r="D3" t="str">
        <f t="shared" si="1"/>
        <v>TRIM(INDIRECT("Columns!O3"))</v>
      </c>
      <c r="E3" t="str">
        <f t="shared" si="2"/>
        <v>TRIM(INDIRECT("Columns!M3"))</v>
      </c>
      <c r="F3" t="str">
        <f t="shared" si="3"/>
        <v>TRIM(INDIRECT("Columns!D3"))</v>
      </c>
      <c r="G3" t="str">
        <f t="shared" si="4"/>
        <v>=IF(TRIM(INDIRECT("Columns!D3")) ="";C3;TRIM(INDIRECT("Columns!D3")))</v>
      </c>
      <c r="H3" s="190" t="str">
        <f t="shared" si="5"/>
        <v>=IF(TRIM(INDIRECT("Columns!O3"))="";"";TRIM(INDIRECT("Columns!O3")))</v>
      </c>
      <c r="I3" t="str">
        <f t="shared" si="6"/>
        <v>=IF(INDIRECT("Columns!H3")=1;</v>
      </c>
      <c r="J3" t="str">
        <f t="shared" si="7"/>
        <v>=IF(INDIRECT("Columns!H3")=1;"bigint";INDIRECT("Columns!C3"))</v>
      </c>
      <c r="L3" t="str">
        <f t="shared" si="8"/>
        <v>=IF(INDIRECT("Columns!H3")=1;"";"A";IF(TRIM(INDIRECT("Columns!O3"))="";TRIM(INDIRECT("Columns!M3"));TRIM(INDIRECT("Columns!O3"))))</v>
      </c>
      <c r="M3" t="str">
        <f>"IF("&amp;D3&amp;"="""";" &amp;  E3 &amp; ";" &amp; D3 &amp; ")"</f>
        <v>IF(TRIM(INDIRECT("Columns!O3"))="";TRIM(INDIRECT("Columns!M3"));TRIM(INDIRECT("Columns!O3")))</v>
      </c>
      <c r="Q3" s="130" t="s">
        <v>605</v>
      </c>
    </row>
    <row r="4" spans="2:37">
      <c r="B4">
        <v>4</v>
      </c>
      <c r="C4" t="str">
        <f t="shared" si="0"/>
        <v>=IF(TRIM(INDIRECT("Columns!M4")) ="";"";TRIM(INDIRECT("Columns!M4")))</v>
      </c>
      <c r="D4" t="str">
        <f t="shared" si="1"/>
        <v>TRIM(INDIRECT("Columns!O4"))</v>
      </c>
      <c r="E4" t="str">
        <f t="shared" si="2"/>
        <v>TRIM(INDIRECT("Columns!M4"))</v>
      </c>
      <c r="F4" t="str">
        <f t="shared" si="3"/>
        <v>TRIM(INDIRECT("Columns!D4"))</v>
      </c>
      <c r="G4" t="str">
        <f t="shared" si="4"/>
        <v>=IF(TRIM(INDIRECT("Columns!D4")) ="";C4;TRIM(INDIRECT("Columns!D4")))</v>
      </c>
      <c r="H4" s="190" t="str">
        <f t="shared" si="5"/>
        <v>=IF(TRIM(INDIRECT("Columns!O4"))="";"";TRIM(INDIRECT("Columns!O4")))</v>
      </c>
      <c r="I4" t="str">
        <f t="shared" si="6"/>
        <v>=IF(INDIRECT("Columns!H4")=1;</v>
      </c>
      <c r="J4" t="str">
        <f t="shared" si="7"/>
        <v>=IF(INDIRECT("Columns!H4")=1;"bigint";INDIRECT("Columns!C4"))</v>
      </c>
      <c r="L4" t="str">
        <f t="shared" si="8"/>
        <v>=IF(INDIRECT("Columns!H4")=1;"";"A";IF(TRIM(INDIRECT("Columns!O4"))="";TRIM(INDIRECT("Columns!M4"));TRIM(INDIRECT("Columns!O4"))))</v>
      </c>
      <c r="M4" t="str">
        <f t="shared" ref="M4:M50" si="9">"IF("&amp;D4&amp;"="""";" &amp; E4 &amp; ";" &amp; D4 &amp; ")"</f>
        <v>IF(TRIM(INDIRECT("Columns!O4"))="";TRIM(INDIRECT("Columns!M4"));TRIM(INDIRECT("Columns!O4")))</v>
      </c>
      <c r="Q4" t="s">
        <v>606</v>
      </c>
      <c r="AK4">
        <f t="array" aca="1" ref="AK4" ca="1">IF(INDIRECT("Columns!G2")="1",1,2)</f>
        <v>2</v>
      </c>
    </row>
    <row r="5" spans="2:37">
      <c r="B5">
        <v>5</v>
      </c>
      <c r="C5" t="str">
        <f t="shared" si="0"/>
        <v>=IF(TRIM(INDIRECT("Columns!M5")) ="";"";TRIM(INDIRECT("Columns!M5")))</v>
      </c>
      <c r="D5" t="str">
        <f t="shared" si="1"/>
        <v>TRIM(INDIRECT("Columns!O5"))</v>
      </c>
      <c r="E5" t="str">
        <f t="shared" si="2"/>
        <v>TRIM(INDIRECT("Columns!M5"))</v>
      </c>
      <c r="F5" t="str">
        <f t="shared" si="3"/>
        <v>TRIM(INDIRECT("Columns!D5"))</v>
      </c>
      <c r="G5" t="str">
        <f t="shared" si="4"/>
        <v>=IF(TRIM(INDIRECT("Columns!D5")) ="";C5;TRIM(INDIRECT("Columns!D5")))</v>
      </c>
      <c r="H5" s="190" t="str">
        <f t="shared" si="5"/>
        <v>=IF(TRIM(INDIRECT("Columns!O5"))="";"";TRIM(INDIRECT("Columns!O5")))</v>
      </c>
      <c r="I5" t="str">
        <f t="shared" si="6"/>
        <v>=IF(INDIRECT("Columns!H5")=1;</v>
      </c>
      <c r="J5" t="str">
        <f t="shared" si="7"/>
        <v>=IF(INDIRECT("Columns!H5")=1;"bigint";INDIRECT("Columns!C5"))</v>
      </c>
      <c r="L5" t="str">
        <f t="shared" si="8"/>
        <v>=IF(INDIRECT("Columns!H5")=1;"";"A";IF(TRIM(INDIRECT("Columns!O5"))="";TRIM(INDIRECT("Columns!M5"));TRIM(INDIRECT("Columns!O5"))))</v>
      </c>
      <c r="M5" t="str">
        <f t="shared" si="9"/>
        <v>IF(TRIM(INDIRECT("Columns!O5"))="";TRIM(INDIRECT("Columns!M5"));TRIM(INDIRECT("Columns!O5")))</v>
      </c>
    </row>
    <row r="6" spans="2:37">
      <c r="B6">
        <v>6</v>
      </c>
      <c r="C6" t="str">
        <f t="shared" si="0"/>
        <v>=IF(TRIM(INDIRECT("Columns!M6")) ="";"";TRIM(INDIRECT("Columns!M6")))</v>
      </c>
      <c r="D6" t="str">
        <f t="shared" si="1"/>
        <v>TRIM(INDIRECT("Columns!O6"))</v>
      </c>
      <c r="E6" t="str">
        <f t="shared" si="2"/>
        <v>TRIM(INDIRECT("Columns!M6"))</v>
      </c>
      <c r="F6" t="str">
        <f t="shared" si="3"/>
        <v>TRIM(INDIRECT("Columns!D6"))</v>
      </c>
      <c r="G6" t="str">
        <f t="shared" si="4"/>
        <v>=IF(TRIM(INDIRECT("Columns!D6")) ="";C6;TRIM(INDIRECT("Columns!D6")))</v>
      </c>
      <c r="H6" s="190" t="str">
        <f t="shared" si="5"/>
        <v>=IF(TRIM(INDIRECT("Columns!O6"))="";"";TRIM(INDIRECT("Columns!O6")))</v>
      </c>
      <c r="I6" t="str">
        <f t="shared" si="6"/>
        <v>=IF(INDIRECT("Columns!H6")=1;</v>
      </c>
      <c r="J6" t="str">
        <f t="shared" si="7"/>
        <v>=IF(INDIRECT("Columns!H6")=1;"bigint";INDIRECT("Columns!C6"))</v>
      </c>
      <c r="L6" t="str">
        <f t="shared" si="8"/>
        <v>=IF(INDIRECT("Columns!H6")=1;"";"A";IF(TRIM(INDIRECT("Columns!O6"))="";TRIM(INDIRECT("Columns!M6"));TRIM(INDIRECT("Columns!O6"))))</v>
      </c>
      <c r="M6" t="str">
        <f t="shared" si="9"/>
        <v>IF(TRIM(INDIRECT("Columns!O6"))="";TRIM(INDIRECT("Columns!M6"));TRIM(INDIRECT("Columns!O6")))</v>
      </c>
      <c r="Q6" t="s">
        <v>605</v>
      </c>
      <c r="AK6">
        <f t="array" aca="1" ref="AK6" ca="1">IF(INDIRECT("Columns!G2")="1",1,2)</f>
        <v>2</v>
      </c>
    </row>
    <row r="7" spans="2:37">
      <c r="B7">
        <v>7</v>
      </c>
      <c r="C7" t="str">
        <f t="shared" si="0"/>
        <v>=IF(TRIM(INDIRECT("Columns!M7")) ="";"";TRIM(INDIRECT("Columns!M7")))</v>
      </c>
      <c r="D7" t="str">
        <f t="shared" si="1"/>
        <v>TRIM(INDIRECT("Columns!O7"))</v>
      </c>
      <c r="E7" t="str">
        <f t="shared" si="2"/>
        <v>TRIM(INDIRECT("Columns!M7"))</v>
      </c>
      <c r="F7" t="str">
        <f t="shared" si="3"/>
        <v>TRIM(INDIRECT("Columns!D7"))</v>
      </c>
      <c r="G7" t="str">
        <f t="shared" si="4"/>
        <v>=IF(TRIM(INDIRECT("Columns!D7")) ="";C7;TRIM(INDIRECT("Columns!D7")))</v>
      </c>
      <c r="H7" s="190" t="str">
        <f t="shared" si="5"/>
        <v>=IF(TRIM(INDIRECT("Columns!O7"))="";"";TRIM(INDIRECT("Columns!O7")))</v>
      </c>
      <c r="I7" t="str">
        <f t="shared" si="6"/>
        <v>=IF(INDIRECT("Columns!H7")=1;</v>
      </c>
      <c r="J7" t="str">
        <f t="shared" si="7"/>
        <v>=IF(INDIRECT("Columns!H7")=1;"bigint";INDIRECT("Columns!C7"))</v>
      </c>
      <c r="L7" t="str">
        <f t="shared" si="8"/>
        <v>=IF(INDIRECT("Columns!H7")=1;"";"A";IF(TRIM(INDIRECT("Columns!O7"))="";TRIM(INDIRECT("Columns!M7"));TRIM(INDIRECT("Columns!O7"))))</v>
      </c>
      <c r="M7" t="str">
        <f t="shared" si="9"/>
        <v>IF(TRIM(INDIRECT("Columns!O7"))="";TRIM(INDIRECT("Columns!M7"));TRIM(INDIRECT("Columns!O7")))</v>
      </c>
      <c r="Q7" t="s">
        <v>607</v>
      </c>
    </row>
    <row r="8" spans="2:37">
      <c r="B8">
        <v>8</v>
      </c>
      <c r="C8" t="str">
        <f t="shared" si="0"/>
        <v>=IF(TRIM(INDIRECT("Columns!M8")) ="";"";TRIM(INDIRECT("Columns!M8")))</v>
      </c>
      <c r="D8" t="str">
        <f t="shared" si="1"/>
        <v>TRIM(INDIRECT("Columns!O8"))</v>
      </c>
      <c r="E8" t="str">
        <f t="shared" si="2"/>
        <v>TRIM(INDIRECT("Columns!M8"))</v>
      </c>
      <c r="F8" t="str">
        <f t="shared" si="3"/>
        <v>TRIM(INDIRECT("Columns!D8"))</v>
      </c>
      <c r="G8" t="str">
        <f t="shared" si="4"/>
        <v>=IF(TRIM(INDIRECT("Columns!D8")) ="";C8;TRIM(INDIRECT("Columns!D8")))</v>
      </c>
      <c r="H8" s="190" t="str">
        <f t="shared" si="5"/>
        <v>=IF(TRIM(INDIRECT("Columns!O8"))="";"";TRIM(INDIRECT("Columns!O8")))</v>
      </c>
      <c r="I8" t="str">
        <f t="shared" si="6"/>
        <v>=IF(INDIRECT("Columns!H8")=1;</v>
      </c>
      <c r="J8" t="str">
        <f t="shared" si="7"/>
        <v>=IF(INDIRECT("Columns!H8")=1;"bigint";INDIRECT("Columns!C8"))</v>
      </c>
      <c r="L8" t="str">
        <f t="shared" si="8"/>
        <v>=IF(INDIRECT("Columns!H8")=1;"";"A";IF(TRIM(INDIRECT("Columns!O8"))="";TRIM(INDIRECT("Columns!M8"));TRIM(INDIRECT("Columns!O8"))))</v>
      </c>
      <c r="M8" t="str">
        <f t="shared" si="9"/>
        <v>IF(TRIM(INDIRECT("Columns!O8"))="";TRIM(INDIRECT("Columns!M8"));TRIM(INDIRECT("Columns!O8")))</v>
      </c>
    </row>
    <row r="9" spans="2:37">
      <c r="B9">
        <v>9</v>
      </c>
      <c r="C9" t="str">
        <f t="shared" si="0"/>
        <v>=IF(TRIM(INDIRECT("Columns!M9")) ="";"";TRIM(INDIRECT("Columns!M9")))</v>
      </c>
      <c r="D9" t="str">
        <f t="shared" si="1"/>
        <v>TRIM(INDIRECT("Columns!O9"))</v>
      </c>
      <c r="E9" t="str">
        <f t="shared" si="2"/>
        <v>TRIM(INDIRECT("Columns!M9"))</v>
      </c>
      <c r="F9" t="str">
        <f t="shared" si="3"/>
        <v>TRIM(INDIRECT("Columns!D9"))</v>
      </c>
      <c r="G9" t="str">
        <f t="shared" si="4"/>
        <v>=IF(TRIM(INDIRECT("Columns!D9")) ="";C9;TRIM(INDIRECT("Columns!D9")))</v>
      </c>
      <c r="H9" s="190" t="str">
        <f t="shared" si="5"/>
        <v>=IF(TRIM(INDIRECT("Columns!O9"))="";"";TRIM(INDIRECT("Columns!O9")))</v>
      </c>
      <c r="I9" t="str">
        <f t="shared" si="6"/>
        <v>=IF(INDIRECT("Columns!H9")=1;</v>
      </c>
      <c r="J9" t="str">
        <f t="shared" si="7"/>
        <v>=IF(INDIRECT("Columns!H9")=1;"bigint";INDIRECT("Columns!C9"))</v>
      </c>
      <c r="L9" t="str">
        <f t="shared" si="8"/>
        <v>=IF(INDIRECT("Columns!H9")=1;"";"A";IF(TRIM(INDIRECT("Columns!O9"))="";TRIM(INDIRECT("Columns!M9"));TRIM(INDIRECT("Columns!O9"))))</v>
      </c>
      <c r="M9" t="str">
        <f t="shared" si="9"/>
        <v>IF(TRIM(INDIRECT("Columns!O9"))="";TRIM(INDIRECT("Columns!M9"));TRIM(INDIRECT("Columns!O9")))</v>
      </c>
    </row>
    <row r="10" spans="2:37">
      <c r="B10">
        <v>10</v>
      </c>
      <c r="C10" t="str">
        <f t="shared" si="0"/>
        <v>=IF(TRIM(INDIRECT("Columns!M10")) ="";"";TRIM(INDIRECT("Columns!M10")))</v>
      </c>
      <c r="D10" t="str">
        <f t="shared" si="1"/>
        <v>TRIM(INDIRECT("Columns!O10"))</v>
      </c>
      <c r="E10" t="str">
        <f t="shared" si="2"/>
        <v>TRIM(INDIRECT("Columns!M10"))</v>
      </c>
      <c r="F10" t="str">
        <f t="shared" si="3"/>
        <v>TRIM(INDIRECT("Columns!D10"))</v>
      </c>
      <c r="G10" t="str">
        <f t="shared" si="4"/>
        <v>=IF(TRIM(INDIRECT("Columns!D10")) ="";C10;TRIM(INDIRECT("Columns!D10")))</v>
      </c>
      <c r="H10" s="190" t="str">
        <f t="shared" si="5"/>
        <v>=IF(TRIM(INDIRECT("Columns!O10"))="";"";TRIM(INDIRECT("Columns!O10")))</v>
      </c>
      <c r="I10" t="str">
        <f t="shared" si="6"/>
        <v>=IF(INDIRECT("Columns!H10")=1;</v>
      </c>
      <c r="J10" t="str">
        <f t="shared" si="7"/>
        <v>=IF(INDIRECT("Columns!H10")=1;"bigint";INDIRECT("Columns!C10"))</v>
      </c>
      <c r="L10" t="str">
        <f t="shared" si="8"/>
        <v>=IF(INDIRECT("Columns!H10")=1;"";"A";IF(TRIM(INDIRECT("Columns!O10"))="";TRIM(INDIRECT("Columns!M10"));TRIM(INDIRECT("Columns!O10"))))</v>
      </c>
      <c r="M10" t="str">
        <f t="shared" si="9"/>
        <v>IF(TRIM(INDIRECT("Columns!O10"))="";TRIM(INDIRECT("Columns!M10"));TRIM(INDIRECT("Columns!O10")))</v>
      </c>
    </row>
    <row r="11" spans="2:37">
      <c r="B11">
        <v>11</v>
      </c>
      <c r="C11" t="str">
        <f t="shared" si="0"/>
        <v>=IF(TRIM(INDIRECT("Columns!M11")) ="";"";TRIM(INDIRECT("Columns!M11")))</v>
      </c>
      <c r="D11" t="str">
        <f t="shared" si="1"/>
        <v>TRIM(INDIRECT("Columns!O11"))</v>
      </c>
      <c r="E11" t="str">
        <f t="shared" si="2"/>
        <v>TRIM(INDIRECT("Columns!M11"))</v>
      </c>
      <c r="F11" t="str">
        <f t="shared" si="3"/>
        <v>TRIM(INDIRECT("Columns!D11"))</v>
      </c>
      <c r="G11" t="str">
        <f t="shared" si="4"/>
        <v>=IF(TRIM(INDIRECT("Columns!D11")) ="";C11;TRIM(INDIRECT("Columns!D11")))</v>
      </c>
      <c r="H11" s="190" t="str">
        <f t="shared" si="5"/>
        <v>=IF(TRIM(INDIRECT("Columns!O11"))="";"";TRIM(INDIRECT("Columns!O11")))</v>
      </c>
      <c r="I11" t="str">
        <f t="shared" si="6"/>
        <v>=IF(INDIRECT("Columns!H11")=1;</v>
      </c>
      <c r="J11" t="str">
        <f t="shared" si="7"/>
        <v>=IF(INDIRECT("Columns!H11")=1;"bigint";INDIRECT("Columns!C11"))</v>
      </c>
      <c r="L11" t="str">
        <f t="shared" si="8"/>
        <v>=IF(INDIRECT("Columns!H11")=1;"";"A";IF(TRIM(INDIRECT("Columns!O11"))="";TRIM(INDIRECT("Columns!M11"));TRIM(INDIRECT("Columns!O11"))))</v>
      </c>
      <c r="M11" t="str">
        <f t="shared" si="9"/>
        <v>IF(TRIM(INDIRECT("Columns!O11"))="";TRIM(INDIRECT("Columns!M11"));TRIM(INDIRECT("Columns!O11")))</v>
      </c>
    </row>
    <row r="12" spans="2:37">
      <c r="B12">
        <v>12</v>
      </c>
      <c r="C12" t="str">
        <f t="shared" si="0"/>
        <v>=IF(TRIM(INDIRECT("Columns!M12")) ="";"";TRIM(INDIRECT("Columns!M12")))</v>
      </c>
      <c r="D12" t="str">
        <f t="shared" si="1"/>
        <v>TRIM(INDIRECT("Columns!O12"))</v>
      </c>
      <c r="E12" t="str">
        <f t="shared" si="2"/>
        <v>TRIM(INDIRECT("Columns!M12"))</v>
      </c>
      <c r="F12" t="str">
        <f t="shared" si="3"/>
        <v>TRIM(INDIRECT("Columns!D12"))</v>
      </c>
      <c r="G12" t="str">
        <f t="shared" si="4"/>
        <v>=IF(TRIM(INDIRECT("Columns!D12")) ="";C12;TRIM(INDIRECT("Columns!D12")))</v>
      </c>
      <c r="H12" s="190" t="str">
        <f t="shared" si="5"/>
        <v>=IF(TRIM(INDIRECT("Columns!O12"))="";"";TRIM(INDIRECT("Columns!O12")))</v>
      </c>
      <c r="I12" t="str">
        <f t="shared" si="6"/>
        <v>=IF(INDIRECT("Columns!H12")=1;</v>
      </c>
      <c r="J12" t="str">
        <f t="shared" si="7"/>
        <v>=IF(INDIRECT("Columns!H12")=1;"bigint";INDIRECT("Columns!C12"))</v>
      </c>
      <c r="L12" t="str">
        <f t="shared" si="8"/>
        <v>=IF(INDIRECT("Columns!H12")=1;"";"A";IF(TRIM(INDIRECT("Columns!O12"))="";TRIM(INDIRECT("Columns!M12"));TRIM(INDIRECT("Columns!O12"))))</v>
      </c>
      <c r="M12" t="str">
        <f t="shared" si="9"/>
        <v>IF(TRIM(INDIRECT("Columns!O12"))="";TRIM(INDIRECT("Columns!M12"));TRIM(INDIRECT("Columns!O12")))</v>
      </c>
    </row>
    <row r="13" spans="2:37">
      <c r="B13">
        <v>13</v>
      </c>
      <c r="C13" t="str">
        <f t="shared" si="0"/>
        <v>=IF(TRIM(INDIRECT("Columns!M13")) ="";"";TRIM(INDIRECT("Columns!M13")))</v>
      </c>
      <c r="D13" t="str">
        <f t="shared" si="1"/>
        <v>TRIM(INDIRECT("Columns!O13"))</v>
      </c>
      <c r="E13" t="str">
        <f t="shared" si="2"/>
        <v>TRIM(INDIRECT("Columns!M13"))</v>
      </c>
      <c r="F13" t="str">
        <f t="shared" si="3"/>
        <v>TRIM(INDIRECT("Columns!D13"))</v>
      </c>
      <c r="G13" t="str">
        <f t="shared" si="4"/>
        <v>=IF(TRIM(INDIRECT("Columns!D13")) ="";C13;TRIM(INDIRECT("Columns!D13")))</v>
      </c>
      <c r="H13" s="190" t="str">
        <f t="shared" si="5"/>
        <v>=IF(TRIM(INDIRECT("Columns!O13"))="";"";TRIM(INDIRECT("Columns!O13")))</v>
      </c>
      <c r="I13" t="str">
        <f t="shared" si="6"/>
        <v>=IF(INDIRECT("Columns!H13")=1;</v>
      </c>
      <c r="J13" t="str">
        <f t="shared" si="7"/>
        <v>=IF(INDIRECT("Columns!H13")=1;"bigint";INDIRECT("Columns!C13"))</v>
      </c>
      <c r="L13" t="str">
        <f t="shared" si="8"/>
        <v>=IF(INDIRECT("Columns!H13")=1;"";"A";IF(TRIM(INDIRECT("Columns!O13"))="";TRIM(INDIRECT("Columns!M13"));TRIM(INDIRECT("Columns!O13"))))</v>
      </c>
      <c r="M13" t="str">
        <f t="shared" si="9"/>
        <v>IF(TRIM(INDIRECT("Columns!O13"))="";TRIM(INDIRECT("Columns!M13"));TRIM(INDIRECT("Columns!O13")))</v>
      </c>
    </row>
    <row r="14" spans="2:37">
      <c r="B14">
        <v>14</v>
      </c>
      <c r="C14" t="str">
        <f t="shared" si="0"/>
        <v>=IF(TRIM(INDIRECT("Columns!M14")) ="";"";TRIM(INDIRECT("Columns!M14")))</v>
      </c>
      <c r="D14" t="str">
        <f t="shared" si="1"/>
        <v>TRIM(INDIRECT("Columns!O14"))</v>
      </c>
      <c r="E14" t="str">
        <f t="shared" si="2"/>
        <v>TRIM(INDIRECT("Columns!M14"))</v>
      </c>
      <c r="F14" t="str">
        <f t="shared" si="3"/>
        <v>TRIM(INDIRECT("Columns!D14"))</v>
      </c>
      <c r="G14" t="str">
        <f t="shared" si="4"/>
        <v>=IF(TRIM(INDIRECT("Columns!D14")) ="";C14;TRIM(INDIRECT("Columns!D14")))</v>
      </c>
      <c r="H14" s="190" t="str">
        <f t="shared" si="5"/>
        <v>=IF(TRIM(INDIRECT("Columns!O14"))="";"";TRIM(INDIRECT("Columns!O14")))</v>
      </c>
      <c r="I14" t="str">
        <f t="shared" si="6"/>
        <v>=IF(INDIRECT("Columns!H14")=1;</v>
      </c>
      <c r="J14" t="str">
        <f t="shared" si="7"/>
        <v>=IF(INDIRECT("Columns!H14")=1;"bigint";INDIRECT("Columns!C14"))</v>
      </c>
      <c r="L14" t="str">
        <f t="shared" si="8"/>
        <v>=IF(INDIRECT("Columns!H14")=1;"";"A";IF(TRIM(INDIRECT("Columns!O14"))="";TRIM(INDIRECT("Columns!M14"));TRIM(INDIRECT("Columns!O14"))))</v>
      </c>
      <c r="M14" t="str">
        <f t="shared" si="9"/>
        <v>IF(TRIM(INDIRECT("Columns!O14"))="";TRIM(INDIRECT("Columns!M14"));TRIM(INDIRECT("Columns!O14")))</v>
      </c>
    </row>
    <row r="15" spans="2:37">
      <c r="B15">
        <v>15</v>
      </c>
      <c r="C15" t="str">
        <f t="shared" si="0"/>
        <v>=IF(TRIM(INDIRECT("Columns!M15")) ="";"";TRIM(INDIRECT("Columns!M15")))</v>
      </c>
      <c r="D15" t="str">
        <f t="shared" si="1"/>
        <v>TRIM(INDIRECT("Columns!O15"))</v>
      </c>
      <c r="E15" t="str">
        <f t="shared" si="2"/>
        <v>TRIM(INDIRECT("Columns!M15"))</v>
      </c>
      <c r="F15" t="str">
        <f t="shared" si="3"/>
        <v>TRIM(INDIRECT("Columns!D15"))</v>
      </c>
      <c r="G15" t="str">
        <f t="shared" si="4"/>
        <v>=IF(TRIM(INDIRECT("Columns!D15")) ="";C15;TRIM(INDIRECT("Columns!D15")))</v>
      </c>
      <c r="H15" s="190" t="str">
        <f t="shared" si="5"/>
        <v>=IF(TRIM(INDIRECT("Columns!O15"))="";"";TRIM(INDIRECT("Columns!O15")))</v>
      </c>
      <c r="I15" t="str">
        <f t="shared" si="6"/>
        <v>=IF(INDIRECT("Columns!H15")=1;</v>
      </c>
      <c r="J15" t="str">
        <f t="shared" si="7"/>
        <v>=IF(INDIRECT("Columns!H15")=1;"bigint";INDIRECT("Columns!C15"))</v>
      </c>
      <c r="L15" t="str">
        <f t="shared" si="8"/>
        <v>=IF(INDIRECT("Columns!H15")=1;"";"A";IF(TRIM(INDIRECT("Columns!O15"))="";TRIM(INDIRECT("Columns!M15"));TRIM(INDIRECT("Columns!O15"))))</v>
      </c>
      <c r="M15" t="str">
        <f t="shared" si="9"/>
        <v>IF(TRIM(INDIRECT("Columns!O15"))="";TRIM(INDIRECT("Columns!M15"));TRIM(INDIRECT("Columns!O15")))</v>
      </c>
    </row>
    <row r="16" spans="2:37">
      <c r="B16">
        <v>16</v>
      </c>
      <c r="C16" t="str">
        <f t="shared" si="0"/>
        <v>=IF(TRIM(INDIRECT("Columns!M16")) ="";"";TRIM(INDIRECT("Columns!M16")))</v>
      </c>
      <c r="D16" t="str">
        <f t="shared" si="1"/>
        <v>TRIM(INDIRECT("Columns!O16"))</v>
      </c>
      <c r="E16" t="str">
        <f t="shared" si="2"/>
        <v>TRIM(INDIRECT("Columns!M16"))</v>
      </c>
      <c r="F16" t="str">
        <f t="shared" si="3"/>
        <v>TRIM(INDIRECT("Columns!D16"))</v>
      </c>
      <c r="G16" t="str">
        <f t="shared" si="4"/>
        <v>=IF(TRIM(INDIRECT("Columns!D16")) ="";C16;TRIM(INDIRECT("Columns!D16")))</v>
      </c>
      <c r="H16" s="190" t="str">
        <f t="shared" si="5"/>
        <v>=IF(TRIM(INDIRECT("Columns!O16"))="";"";TRIM(INDIRECT("Columns!O16")))</v>
      </c>
      <c r="I16" t="str">
        <f t="shared" si="6"/>
        <v>=IF(INDIRECT("Columns!H16")=1;</v>
      </c>
      <c r="J16" t="str">
        <f t="shared" si="7"/>
        <v>=IF(INDIRECT("Columns!H16")=1;"bigint";INDIRECT("Columns!C16"))</v>
      </c>
      <c r="L16" t="str">
        <f t="shared" si="8"/>
        <v>=IF(INDIRECT("Columns!H16")=1;"";"A";IF(TRIM(INDIRECT("Columns!O16"))="";TRIM(INDIRECT("Columns!M16"));TRIM(INDIRECT("Columns!O16"))))</v>
      </c>
      <c r="M16" t="str">
        <f t="shared" si="9"/>
        <v>IF(TRIM(INDIRECT("Columns!O16"))="";TRIM(INDIRECT("Columns!M16"));TRIM(INDIRECT("Columns!O16")))</v>
      </c>
    </row>
    <row r="17" spans="2:13">
      <c r="B17">
        <v>17</v>
      </c>
      <c r="C17" t="str">
        <f t="shared" si="0"/>
        <v>=IF(TRIM(INDIRECT("Columns!M17")) ="";"";TRIM(INDIRECT("Columns!M17")))</v>
      </c>
      <c r="D17" t="str">
        <f t="shared" si="1"/>
        <v>TRIM(INDIRECT("Columns!O17"))</v>
      </c>
      <c r="E17" t="str">
        <f t="shared" si="2"/>
        <v>TRIM(INDIRECT("Columns!M17"))</v>
      </c>
      <c r="F17" t="str">
        <f t="shared" si="3"/>
        <v>TRIM(INDIRECT("Columns!D17"))</v>
      </c>
      <c r="G17" t="str">
        <f t="shared" si="4"/>
        <v>=IF(TRIM(INDIRECT("Columns!D17")) ="";C17;TRIM(INDIRECT("Columns!D17")))</v>
      </c>
      <c r="H17" s="190" t="str">
        <f t="shared" si="5"/>
        <v>=IF(TRIM(INDIRECT("Columns!O17"))="";"";TRIM(INDIRECT("Columns!O17")))</v>
      </c>
      <c r="I17" t="str">
        <f t="shared" si="6"/>
        <v>=IF(INDIRECT("Columns!H17")=1;</v>
      </c>
      <c r="J17" t="str">
        <f t="shared" si="7"/>
        <v>=IF(INDIRECT("Columns!H17")=1;"bigint";INDIRECT("Columns!C17"))</v>
      </c>
      <c r="L17" t="str">
        <f t="shared" si="8"/>
        <v>=IF(INDIRECT("Columns!H17")=1;"";"A";IF(TRIM(INDIRECT("Columns!O17"))="";TRIM(INDIRECT("Columns!M17"));TRIM(INDIRECT("Columns!O17"))))</v>
      </c>
      <c r="M17" t="str">
        <f t="shared" si="9"/>
        <v>IF(TRIM(INDIRECT("Columns!O17"))="";TRIM(INDIRECT("Columns!M17"));TRIM(INDIRECT("Columns!O17")))</v>
      </c>
    </row>
    <row r="18" spans="2:13">
      <c r="B18">
        <v>18</v>
      </c>
      <c r="C18" t="str">
        <f t="shared" si="0"/>
        <v>=IF(TRIM(INDIRECT("Columns!M18")) ="";"";TRIM(INDIRECT("Columns!M18")))</v>
      </c>
      <c r="D18" t="str">
        <f t="shared" si="1"/>
        <v>TRIM(INDIRECT("Columns!O18"))</v>
      </c>
      <c r="E18" t="str">
        <f t="shared" si="2"/>
        <v>TRIM(INDIRECT("Columns!M18"))</v>
      </c>
      <c r="F18" t="str">
        <f t="shared" si="3"/>
        <v>TRIM(INDIRECT("Columns!D18"))</v>
      </c>
      <c r="G18" t="str">
        <f t="shared" si="4"/>
        <v>=IF(TRIM(INDIRECT("Columns!D18")) ="";C18;TRIM(INDIRECT("Columns!D18")))</v>
      </c>
      <c r="H18" s="190" t="str">
        <f t="shared" si="5"/>
        <v>=IF(TRIM(INDIRECT("Columns!O18"))="";"";TRIM(INDIRECT("Columns!O18")))</v>
      </c>
      <c r="I18" t="str">
        <f t="shared" si="6"/>
        <v>=IF(INDIRECT("Columns!H18")=1;</v>
      </c>
      <c r="J18" t="str">
        <f t="shared" si="7"/>
        <v>=IF(INDIRECT("Columns!H18")=1;"bigint";INDIRECT("Columns!C18"))</v>
      </c>
      <c r="L18" t="str">
        <f t="shared" si="8"/>
        <v>=IF(INDIRECT("Columns!H18")=1;"";"A";IF(TRIM(INDIRECT("Columns!O18"))="";TRIM(INDIRECT("Columns!M18"));TRIM(INDIRECT("Columns!O18"))))</v>
      </c>
      <c r="M18" t="str">
        <f t="shared" si="9"/>
        <v>IF(TRIM(INDIRECT("Columns!O18"))="";TRIM(INDIRECT("Columns!M18"));TRIM(INDIRECT("Columns!O18")))</v>
      </c>
    </row>
    <row r="19" spans="2:13">
      <c r="B19">
        <v>19</v>
      </c>
      <c r="C19" t="str">
        <f t="shared" si="0"/>
        <v>=IF(TRIM(INDIRECT("Columns!M19")) ="";"";TRIM(INDIRECT("Columns!M19")))</v>
      </c>
      <c r="D19" t="str">
        <f t="shared" si="1"/>
        <v>TRIM(INDIRECT("Columns!O19"))</v>
      </c>
      <c r="E19" t="str">
        <f t="shared" si="2"/>
        <v>TRIM(INDIRECT("Columns!M19"))</v>
      </c>
      <c r="F19" t="str">
        <f t="shared" si="3"/>
        <v>TRIM(INDIRECT("Columns!D19"))</v>
      </c>
      <c r="G19" t="str">
        <f t="shared" si="4"/>
        <v>=IF(TRIM(INDIRECT("Columns!D19")) ="";C19;TRIM(INDIRECT("Columns!D19")))</v>
      </c>
      <c r="H19" s="190" t="str">
        <f t="shared" si="5"/>
        <v>=IF(TRIM(INDIRECT("Columns!O19"))="";"";TRIM(INDIRECT("Columns!O19")))</v>
      </c>
      <c r="I19" t="str">
        <f t="shared" si="6"/>
        <v>=IF(INDIRECT("Columns!H19")=1;</v>
      </c>
      <c r="J19" t="str">
        <f t="shared" si="7"/>
        <v>=IF(INDIRECT("Columns!H19")=1;"bigint";INDIRECT("Columns!C19"))</v>
      </c>
      <c r="L19" t="str">
        <f t="shared" si="8"/>
        <v>=IF(INDIRECT("Columns!H19")=1;"";"A";IF(TRIM(INDIRECT("Columns!O19"))="";TRIM(INDIRECT("Columns!M19"));TRIM(INDIRECT("Columns!O19"))))</v>
      </c>
      <c r="M19" t="str">
        <f t="shared" si="9"/>
        <v>IF(TRIM(INDIRECT("Columns!O19"))="";TRIM(INDIRECT("Columns!M19"));TRIM(INDIRECT("Columns!O19")))</v>
      </c>
    </row>
    <row r="20" spans="2:13">
      <c r="B20">
        <v>20</v>
      </c>
      <c r="C20" t="str">
        <f t="shared" si="0"/>
        <v>=IF(TRIM(INDIRECT("Columns!M20")) ="";"";TRIM(INDIRECT("Columns!M20")))</v>
      </c>
      <c r="D20" t="str">
        <f t="shared" si="1"/>
        <v>TRIM(INDIRECT("Columns!O20"))</v>
      </c>
      <c r="E20" t="str">
        <f t="shared" si="2"/>
        <v>TRIM(INDIRECT("Columns!M20"))</v>
      </c>
      <c r="F20" t="str">
        <f t="shared" si="3"/>
        <v>TRIM(INDIRECT("Columns!D20"))</v>
      </c>
      <c r="G20" t="str">
        <f t="shared" si="4"/>
        <v>=IF(TRIM(INDIRECT("Columns!D20")) ="";C20;TRIM(INDIRECT("Columns!D20")))</v>
      </c>
      <c r="H20" s="190" t="str">
        <f t="shared" si="5"/>
        <v>=IF(TRIM(INDIRECT("Columns!O20"))="";"";TRIM(INDIRECT("Columns!O20")))</v>
      </c>
      <c r="I20" t="str">
        <f t="shared" si="6"/>
        <v>=IF(INDIRECT("Columns!H20")=1;</v>
      </c>
      <c r="J20" t="str">
        <f t="shared" si="7"/>
        <v>=IF(INDIRECT("Columns!H20")=1;"bigint";INDIRECT("Columns!C20"))</v>
      </c>
      <c r="L20" t="str">
        <f t="shared" si="8"/>
        <v>=IF(INDIRECT("Columns!H20")=1;"";"A";IF(TRIM(INDIRECT("Columns!O20"))="";TRIM(INDIRECT("Columns!M20"));TRIM(INDIRECT("Columns!O20"))))</v>
      </c>
      <c r="M20" t="str">
        <f t="shared" si="9"/>
        <v>IF(TRIM(INDIRECT("Columns!O20"))="";TRIM(INDIRECT("Columns!M20"));TRIM(INDIRECT("Columns!O20")))</v>
      </c>
    </row>
    <row r="21" spans="2:13">
      <c r="B21">
        <v>21</v>
      </c>
      <c r="C21" t="str">
        <f t="shared" si="0"/>
        <v>=IF(TRIM(INDIRECT("Columns!M21")) ="";"";TRIM(INDIRECT("Columns!M21")))</v>
      </c>
      <c r="D21" t="str">
        <f t="shared" si="1"/>
        <v>TRIM(INDIRECT("Columns!O21"))</v>
      </c>
      <c r="E21" t="str">
        <f t="shared" si="2"/>
        <v>TRIM(INDIRECT("Columns!M21"))</v>
      </c>
      <c r="F21" t="str">
        <f t="shared" si="3"/>
        <v>TRIM(INDIRECT("Columns!D21"))</v>
      </c>
      <c r="G21" t="str">
        <f t="shared" si="4"/>
        <v>=IF(TRIM(INDIRECT("Columns!D21")) ="";C21;TRIM(INDIRECT("Columns!D21")))</v>
      </c>
      <c r="H21" s="190" t="str">
        <f t="shared" si="5"/>
        <v>=IF(TRIM(INDIRECT("Columns!O21"))="";"";TRIM(INDIRECT("Columns!O21")))</v>
      </c>
      <c r="I21" t="str">
        <f t="shared" si="6"/>
        <v>=IF(INDIRECT("Columns!H21")=1;</v>
      </c>
      <c r="J21" t="str">
        <f t="shared" si="7"/>
        <v>=IF(INDIRECT("Columns!H21")=1;"bigint";INDIRECT("Columns!C21"))</v>
      </c>
      <c r="L21" t="str">
        <f t="shared" si="8"/>
        <v>=IF(INDIRECT("Columns!H21")=1;"";"A";IF(TRIM(INDIRECT("Columns!O21"))="";TRIM(INDIRECT("Columns!M21"));TRIM(INDIRECT("Columns!O21"))))</v>
      </c>
      <c r="M21" t="str">
        <f t="shared" si="9"/>
        <v>IF(TRIM(INDIRECT("Columns!O21"))="";TRIM(INDIRECT("Columns!M21"));TRIM(INDIRECT("Columns!O21")))</v>
      </c>
    </row>
    <row r="22" spans="2:13">
      <c r="B22">
        <v>22</v>
      </c>
      <c r="C22" t="str">
        <f t="shared" si="0"/>
        <v>=IF(TRIM(INDIRECT("Columns!M22")) ="";"";TRIM(INDIRECT("Columns!M22")))</v>
      </c>
      <c r="D22" t="str">
        <f t="shared" si="1"/>
        <v>TRIM(INDIRECT("Columns!O22"))</v>
      </c>
      <c r="E22" t="str">
        <f t="shared" si="2"/>
        <v>TRIM(INDIRECT("Columns!M22"))</v>
      </c>
      <c r="F22" t="str">
        <f t="shared" si="3"/>
        <v>TRIM(INDIRECT("Columns!D22"))</v>
      </c>
      <c r="G22" t="str">
        <f t="shared" si="4"/>
        <v>=IF(TRIM(INDIRECT("Columns!D22")) ="";C22;TRIM(INDIRECT("Columns!D22")))</v>
      </c>
      <c r="H22" s="190" t="str">
        <f t="shared" si="5"/>
        <v>=IF(TRIM(INDIRECT("Columns!O22"))="";"";TRIM(INDIRECT("Columns!O22")))</v>
      </c>
      <c r="I22" t="str">
        <f t="shared" si="6"/>
        <v>=IF(INDIRECT("Columns!H22")=1;</v>
      </c>
      <c r="J22" t="str">
        <f t="shared" si="7"/>
        <v>=IF(INDIRECT("Columns!H22")=1;"bigint";INDIRECT("Columns!C22"))</v>
      </c>
      <c r="L22" t="str">
        <f t="shared" si="8"/>
        <v>=IF(INDIRECT("Columns!H22")=1;"";"A";IF(TRIM(INDIRECT("Columns!O22"))="";TRIM(INDIRECT("Columns!M22"));TRIM(INDIRECT("Columns!O22"))))</v>
      </c>
      <c r="M22" t="str">
        <f t="shared" si="9"/>
        <v>IF(TRIM(INDIRECT("Columns!O22"))="";TRIM(INDIRECT("Columns!M22"));TRIM(INDIRECT("Columns!O22")))</v>
      </c>
    </row>
    <row r="23" spans="2:13">
      <c r="B23">
        <v>23</v>
      </c>
      <c r="C23" t="str">
        <f t="shared" si="0"/>
        <v>=IF(TRIM(INDIRECT("Columns!M23")) ="";"";TRIM(INDIRECT("Columns!M23")))</v>
      </c>
      <c r="D23" t="str">
        <f t="shared" si="1"/>
        <v>TRIM(INDIRECT("Columns!O23"))</v>
      </c>
      <c r="E23" t="str">
        <f t="shared" si="2"/>
        <v>TRIM(INDIRECT("Columns!M23"))</v>
      </c>
      <c r="F23" t="str">
        <f t="shared" si="3"/>
        <v>TRIM(INDIRECT("Columns!D23"))</v>
      </c>
      <c r="G23" t="str">
        <f t="shared" si="4"/>
        <v>=IF(TRIM(INDIRECT("Columns!D23")) ="";C23;TRIM(INDIRECT("Columns!D23")))</v>
      </c>
      <c r="H23" s="190" t="str">
        <f t="shared" si="5"/>
        <v>=IF(TRIM(INDIRECT("Columns!O23"))="";"";TRIM(INDIRECT("Columns!O23")))</v>
      </c>
      <c r="I23" t="str">
        <f t="shared" si="6"/>
        <v>=IF(INDIRECT("Columns!H23")=1;</v>
      </c>
      <c r="J23" t="str">
        <f t="shared" si="7"/>
        <v>=IF(INDIRECT("Columns!H23")=1;"bigint";INDIRECT("Columns!C23"))</v>
      </c>
      <c r="L23" t="str">
        <f t="shared" si="8"/>
        <v>=IF(INDIRECT("Columns!H23")=1;"";"A";IF(TRIM(INDIRECT("Columns!O23"))="";TRIM(INDIRECT("Columns!M23"));TRIM(INDIRECT("Columns!O23"))))</v>
      </c>
      <c r="M23" t="str">
        <f t="shared" si="9"/>
        <v>IF(TRIM(INDIRECT("Columns!O23"))="";TRIM(INDIRECT("Columns!M23"));TRIM(INDIRECT("Columns!O23")))</v>
      </c>
    </row>
    <row r="24" spans="2:13">
      <c r="B24">
        <v>24</v>
      </c>
      <c r="C24" t="str">
        <f t="shared" si="0"/>
        <v>=IF(TRIM(INDIRECT("Columns!M24")) ="";"";TRIM(INDIRECT("Columns!M24")))</v>
      </c>
      <c r="D24" t="str">
        <f t="shared" si="1"/>
        <v>TRIM(INDIRECT("Columns!O24"))</v>
      </c>
      <c r="E24" t="str">
        <f t="shared" si="2"/>
        <v>TRIM(INDIRECT("Columns!M24"))</v>
      </c>
      <c r="F24" t="str">
        <f t="shared" si="3"/>
        <v>TRIM(INDIRECT("Columns!D24"))</v>
      </c>
      <c r="G24" t="str">
        <f t="shared" si="4"/>
        <v>=IF(TRIM(INDIRECT("Columns!D24")) ="";C24;TRIM(INDIRECT("Columns!D24")))</v>
      </c>
      <c r="H24" s="190" t="str">
        <f t="shared" si="5"/>
        <v>=IF(TRIM(INDIRECT("Columns!O24"))="";"";TRIM(INDIRECT("Columns!O24")))</v>
      </c>
      <c r="I24" t="str">
        <f t="shared" si="6"/>
        <v>=IF(INDIRECT("Columns!H24")=1;</v>
      </c>
      <c r="J24" t="str">
        <f t="shared" si="7"/>
        <v>=IF(INDIRECT("Columns!H24")=1;"bigint";INDIRECT("Columns!C24"))</v>
      </c>
      <c r="L24" t="str">
        <f t="shared" si="8"/>
        <v>=IF(INDIRECT("Columns!H24")=1;"";"A";IF(TRIM(INDIRECT("Columns!O24"))="";TRIM(INDIRECT("Columns!M24"));TRIM(INDIRECT("Columns!O24"))))</v>
      </c>
      <c r="M24" t="str">
        <f t="shared" si="9"/>
        <v>IF(TRIM(INDIRECT("Columns!O24"))="";TRIM(INDIRECT("Columns!M24"));TRIM(INDIRECT("Columns!O24")))</v>
      </c>
    </row>
    <row r="25" spans="2:13">
      <c r="B25">
        <v>25</v>
      </c>
      <c r="C25" t="str">
        <f t="shared" si="0"/>
        <v>=IF(TRIM(INDIRECT("Columns!M25")) ="";"";TRIM(INDIRECT("Columns!M25")))</v>
      </c>
      <c r="D25" t="str">
        <f t="shared" si="1"/>
        <v>TRIM(INDIRECT("Columns!O25"))</v>
      </c>
      <c r="E25" t="str">
        <f t="shared" si="2"/>
        <v>TRIM(INDIRECT("Columns!M25"))</v>
      </c>
      <c r="F25" t="str">
        <f t="shared" si="3"/>
        <v>TRIM(INDIRECT("Columns!D25"))</v>
      </c>
      <c r="G25" t="str">
        <f t="shared" si="4"/>
        <v>=IF(TRIM(INDIRECT("Columns!D25")) ="";C25;TRIM(INDIRECT("Columns!D25")))</v>
      </c>
      <c r="H25" s="190" t="str">
        <f t="shared" si="5"/>
        <v>=IF(TRIM(INDIRECT("Columns!O25"))="";"";TRIM(INDIRECT("Columns!O25")))</v>
      </c>
      <c r="I25" t="str">
        <f t="shared" si="6"/>
        <v>=IF(INDIRECT("Columns!H25")=1;</v>
      </c>
      <c r="J25" t="str">
        <f t="shared" si="7"/>
        <v>=IF(INDIRECT("Columns!H25")=1;"bigint";INDIRECT("Columns!C25"))</v>
      </c>
      <c r="L25" t="str">
        <f t="shared" si="8"/>
        <v>=IF(INDIRECT("Columns!H25")=1;"";"A";IF(TRIM(INDIRECT("Columns!O25"))="";TRIM(INDIRECT("Columns!M25"));TRIM(INDIRECT("Columns!O25"))))</v>
      </c>
      <c r="M25" t="str">
        <f t="shared" si="9"/>
        <v>IF(TRIM(INDIRECT("Columns!O25"))="";TRIM(INDIRECT("Columns!M25"));TRIM(INDIRECT("Columns!O25")))</v>
      </c>
    </row>
    <row r="26" spans="2:13">
      <c r="B26">
        <v>26</v>
      </c>
      <c r="C26" t="str">
        <f t="shared" si="0"/>
        <v>=IF(TRIM(INDIRECT("Columns!M26")) ="";"";TRIM(INDIRECT("Columns!M26")))</v>
      </c>
      <c r="D26" t="str">
        <f t="shared" si="1"/>
        <v>TRIM(INDIRECT("Columns!O26"))</v>
      </c>
      <c r="E26" t="str">
        <f t="shared" si="2"/>
        <v>TRIM(INDIRECT("Columns!M26"))</v>
      </c>
      <c r="F26" t="str">
        <f t="shared" si="3"/>
        <v>TRIM(INDIRECT("Columns!D26"))</v>
      </c>
      <c r="G26" t="str">
        <f t="shared" si="4"/>
        <v>=IF(TRIM(INDIRECT("Columns!D26")) ="";C26;TRIM(INDIRECT("Columns!D26")))</v>
      </c>
      <c r="H26" s="190" t="str">
        <f t="shared" si="5"/>
        <v>=IF(TRIM(INDIRECT("Columns!O26"))="";"";TRIM(INDIRECT("Columns!O26")))</v>
      </c>
      <c r="I26" t="str">
        <f t="shared" si="6"/>
        <v>=IF(INDIRECT("Columns!H26")=1;</v>
      </c>
      <c r="J26" t="str">
        <f t="shared" si="7"/>
        <v>=IF(INDIRECT("Columns!H26")=1;"bigint";INDIRECT("Columns!C26"))</v>
      </c>
      <c r="L26" t="str">
        <f t="shared" si="8"/>
        <v>=IF(INDIRECT("Columns!H26")=1;"";"A";IF(TRIM(INDIRECT("Columns!O26"))="";TRIM(INDIRECT("Columns!M26"));TRIM(INDIRECT("Columns!O26"))))</v>
      </c>
      <c r="M26" t="str">
        <f t="shared" si="9"/>
        <v>IF(TRIM(INDIRECT("Columns!O26"))="";TRIM(INDIRECT("Columns!M26"));TRIM(INDIRECT("Columns!O26")))</v>
      </c>
    </row>
    <row r="27" spans="2:13">
      <c r="B27">
        <v>27</v>
      </c>
      <c r="C27" t="str">
        <f t="shared" si="0"/>
        <v>=IF(TRIM(INDIRECT("Columns!M27")) ="";"";TRIM(INDIRECT("Columns!M27")))</v>
      </c>
      <c r="D27" t="str">
        <f t="shared" si="1"/>
        <v>TRIM(INDIRECT("Columns!O27"))</v>
      </c>
      <c r="E27" t="str">
        <f t="shared" si="2"/>
        <v>TRIM(INDIRECT("Columns!M27"))</v>
      </c>
      <c r="F27" t="str">
        <f t="shared" si="3"/>
        <v>TRIM(INDIRECT("Columns!D27"))</v>
      </c>
      <c r="G27" t="str">
        <f t="shared" si="4"/>
        <v>=IF(TRIM(INDIRECT("Columns!D27")) ="";C27;TRIM(INDIRECT("Columns!D27")))</v>
      </c>
      <c r="H27" s="190" t="str">
        <f t="shared" si="5"/>
        <v>=IF(TRIM(INDIRECT("Columns!O27"))="";"";TRIM(INDIRECT("Columns!O27")))</v>
      </c>
      <c r="I27" t="str">
        <f t="shared" si="6"/>
        <v>=IF(INDIRECT("Columns!H27")=1;</v>
      </c>
      <c r="J27" t="str">
        <f t="shared" si="7"/>
        <v>=IF(INDIRECT("Columns!H27")=1;"bigint";INDIRECT("Columns!C27"))</v>
      </c>
      <c r="L27" t="str">
        <f t="shared" si="8"/>
        <v>=IF(INDIRECT("Columns!H27")=1;"";"A";IF(TRIM(INDIRECT("Columns!O27"))="";TRIM(INDIRECT("Columns!M27"));TRIM(INDIRECT("Columns!O27"))))</v>
      </c>
      <c r="M27" t="str">
        <f t="shared" si="9"/>
        <v>IF(TRIM(INDIRECT("Columns!O27"))="";TRIM(INDIRECT("Columns!M27"));TRIM(INDIRECT("Columns!O27")))</v>
      </c>
    </row>
    <row r="28" spans="2:13">
      <c r="B28">
        <v>28</v>
      </c>
      <c r="C28" t="str">
        <f t="shared" si="0"/>
        <v>=IF(TRIM(INDIRECT("Columns!M28")) ="";"";TRIM(INDIRECT("Columns!M28")))</v>
      </c>
      <c r="D28" t="str">
        <f t="shared" si="1"/>
        <v>TRIM(INDIRECT("Columns!O28"))</v>
      </c>
      <c r="E28" t="str">
        <f t="shared" si="2"/>
        <v>TRIM(INDIRECT("Columns!M28"))</v>
      </c>
      <c r="F28" t="str">
        <f t="shared" si="3"/>
        <v>TRIM(INDIRECT("Columns!D28"))</v>
      </c>
      <c r="G28" t="str">
        <f t="shared" si="4"/>
        <v>=IF(TRIM(INDIRECT("Columns!D28")) ="";C28;TRIM(INDIRECT("Columns!D28")))</v>
      </c>
      <c r="H28" s="190" t="str">
        <f t="shared" si="5"/>
        <v>=IF(TRIM(INDIRECT("Columns!O28"))="";"";TRIM(INDIRECT("Columns!O28")))</v>
      </c>
      <c r="I28" t="str">
        <f t="shared" si="6"/>
        <v>=IF(INDIRECT("Columns!H28")=1;</v>
      </c>
      <c r="J28" t="str">
        <f t="shared" si="7"/>
        <v>=IF(INDIRECT("Columns!H28")=1;"bigint";INDIRECT("Columns!C28"))</v>
      </c>
      <c r="L28" t="str">
        <f t="shared" si="8"/>
        <v>=IF(INDIRECT("Columns!H28")=1;"";"A";IF(TRIM(INDIRECT("Columns!O28"))="";TRIM(INDIRECT("Columns!M28"));TRIM(INDIRECT("Columns!O28"))))</v>
      </c>
      <c r="M28" t="str">
        <f t="shared" si="9"/>
        <v>IF(TRIM(INDIRECT("Columns!O28"))="";TRIM(INDIRECT("Columns!M28"));TRIM(INDIRECT("Columns!O28")))</v>
      </c>
    </row>
    <row r="29" spans="2:13">
      <c r="B29">
        <v>29</v>
      </c>
      <c r="C29" t="str">
        <f t="shared" si="0"/>
        <v>=IF(TRIM(INDIRECT("Columns!M29")) ="";"";TRIM(INDIRECT("Columns!M29")))</v>
      </c>
      <c r="D29" t="str">
        <f t="shared" si="1"/>
        <v>TRIM(INDIRECT("Columns!O29"))</v>
      </c>
      <c r="E29" t="str">
        <f t="shared" si="2"/>
        <v>TRIM(INDIRECT("Columns!M29"))</v>
      </c>
      <c r="F29" t="str">
        <f t="shared" si="3"/>
        <v>TRIM(INDIRECT("Columns!D29"))</v>
      </c>
      <c r="G29" t="str">
        <f t="shared" si="4"/>
        <v>=IF(TRIM(INDIRECT("Columns!D29")) ="";C29;TRIM(INDIRECT("Columns!D29")))</v>
      </c>
      <c r="H29" s="190" t="str">
        <f t="shared" si="5"/>
        <v>=IF(TRIM(INDIRECT("Columns!O29"))="";"";TRIM(INDIRECT("Columns!O29")))</v>
      </c>
      <c r="I29" t="str">
        <f t="shared" si="6"/>
        <v>=IF(INDIRECT("Columns!H29")=1;</v>
      </c>
      <c r="J29" t="str">
        <f t="shared" si="7"/>
        <v>=IF(INDIRECT("Columns!H29")=1;"bigint";INDIRECT("Columns!C29"))</v>
      </c>
      <c r="L29" t="str">
        <f t="shared" si="8"/>
        <v>=IF(INDIRECT("Columns!H29")=1;"";"A";IF(TRIM(INDIRECT("Columns!O29"))="";TRIM(INDIRECT("Columns!M29"));TRIM(INDIRECT("Columns!O29"))))</v>
      </c>
      <c r="M29" t="str">
        <f t="shared" si="9"/>
        <v>IF(TRIM(INDIRECT("Columns!O29"))="";TRIM(INDIRECT("Columns!M29"));TRIM(INDIRECT("Columns!O29")))</v>
      </c>
    </row>
    <row r="30" spans="2:13">
      <c r="B30">
        <v>30</v>
      </c>
      <c r="C30" t="str">
        <f t="shared" si="0"/>
        <v>=IF(TRIM(INDIRECT("Columns!M30")) ="";"";TRIM(INDIRECT("Columns!M30")))</v>
      </c>
      <c r="D30" t="str">
        <f t="shared" si="1"/>
        <v>TRIM(INDIRECT("Columns!O30"))</v>
      </c>
      <c r="E30" t="str">
        <f t="shared" si="2"/>
        <v>TRIM(INDIRECT("Columns!M30"))</v>
      </c>
      <c r="F30" t="str">
        <f t="shared" si="3"/>
        <v>TRIM(INDIRECT("Columns!D30"))</v>
      </c>
      <c r="G30" t="str">
        <f t="shared" si="4"/>
        <v>=IF(TRIM(INDIRECT("Columns!D30")) ="";C30;TRIM(INDIRECT("Columns!D30")))</v>
      </c>
      <c r="H30" s="190" t="str">
        <f t="shared" si="5"/>
        <v>=IF(TRIM(INDIRECT("Columns!O30"))="";"";TRIM(INDIRECT("Columns!O30")))</v>
      </c>
      <c r="I30" t="str">
        <f t="shared" si="6"/>
        <v>=IF(INDIRECT("Columns!H30")=1;</v>
      </c>
      <c r="J30" t="str">
        <f t="shared" si="7"/>
        <v>=IF(INDIRECT("Columns!H30")=1;"bigint";INDIRECT("Columns!C30"))</v>
      </c>
      <c r="L30" t="str">
        <f t="shared" si="8"/>
        <v>=IF(INDIRECT("Columns!H30")=1;"";"A";IF(TRIM(INDIRECT("Columns!O30"))="";TRIM(INDIRECT("Columns!M30"));TRIM(INDIRECT("Columns!O30"))))</v>
      </c>
      <c r="M30" t="str">
        <f t="shared" si="9"/>
        <v>IF(TRIM(INDIRECT("Columns!O30"))="";TRIM(INDIRECT("Columns!M30"));TRIM(INDIRECT("Columns!O30")))</v>
      </c>
    </row>
    <row r="31" spans="2:13">
      <c r="B31">
        <v>31</v>
      </c>
      <c r="C31" t="str">
        <f t="shared" si="0"/>
        <v>=IF(TRIM(INDIRECT("Columns!M31")) ="";"";TRIM(INDIRECT("Columns!M31")))</v>
      </c>
      <c r="D31" t="str">
        <f t="shared" si="1"/>
        <v>TRIM(INDIRECT("Columns!O31"))</v>
      </c>
      <c r="E31" t="str">
        <f t="shared" si="2"/>
        <v>TRIM(INDIRECT("Columns!M31"))</v>
      </c>
      <c r="F31" t="str">
        <f t="shared" si="3"/>
        <v>TRIM(INDIRECT("Columns!D31"))</v>
      </c>
      <c r="G31" t="str">
        <f t="shared" si="4"/>
        <v>=IF(TRIM(INDIRECT("Columns!D31")) ="";C31;TRIM(INDIRECT("Columns!D31")))</v>
      </c>
      <c r="H31" s="190" t="str">
        <f t="shared" si="5"/>
        <v>=IF(TRIM(INDIRECT("Columns!O31"))="";"";TRIM(INDIRECT("Columns!O31")))</v>
      </c>
      <c r="I31" t="str">
        <f t="shared" si="6"/>
        <v>=IF(INDIRECT("Columns!H31")=1;</v>
      </c>
      <c r="J31" t="str">
        <f t="shared" si="7"/>
        <v>=IF(INDIRECT("Columns!H31")=1;"bigint";INDIRECT("Columns!C31"))</v>
      </c>
      <c r="L31" t="str">
        <f t="shared" si="8"/>
        <v>=IF(INDIRECT("Columns!H31")=1;"";"A";IF(TRIM(INDIRECT("Columns!O31"))="";TRIM(INDIRECT("Columns!M31"));TRIM(INDIRECT("Columns!O31"))))</v>
      </c>
      <c r="M31" t="str">
        <f t="shared" si="9"/>
        <v>IF(TRIM(INDIRECT("Columns!O31"))="";TRIM(INDIRECT("Columns!M31"));TRIM(INDIRECT("Columns!O31")))</v>
      </c>
    </row>
    <row r="32" spans="2:13">
      <c r="B32">
        <v>32</v>
      </c>
      <c r="C32" t="str">
        <f t="shared" si="0"/>
        <v>=IF(TRIM(INDIRECT("Columns!M32")) ="";"";TRIM(INDIRECT("Columns!M32")))</v>
      </c>
      <c r="D32" t="str">
        <f t="shared" si="1"/>
        <v>TRIM(INDIRECT("Columns!O32"))</v>
      </c>
      <c r="E32" t="str">
        <f t="shared" si="2"/>
        <v>TRIM(INDIRECT("Columns!M32"))</v>
      </c>
      <c r="F32" t="str">
        <f t="shared" si="3"/>
        <v>TRIM(INDIRECT("Columns!D32"))</v>
      </c>
      <c r="G32" t="str">
        <f t="shared" si="4"/>
        <v>=IF(TRIM(INDIRECT("Columns!D32")) ="";C32;TRIM(INDIRECT("Columns!D32")))</v>
      </c>
      <c r="H32" s="190" t="str">
        <f t="shared" si="5"/>
        <v>=IF(TRIM(INDIRECT("Columns!O32"))="";"";TRIM(INDIRECT("Columns!O32")))</v>
      </c>
      <c r="I32" t="str">
        <f t="shared" si="6"/>
        <v>=IF(INDIRECT("Columns!H32")=1;</v>
      </c>
      <c r="J32" t="str">
        <f t="shared" si="7"/>
        <v>=IF(INDIRECT("Columns!H32")=1;"bigint";INDIRECT("Columns!C32"))</v>
      </c>
      <c r="L32" t="str">
        <f t="shared" si="8"/>
        <v>=IF(INDIRECT("Columns!H32")=1;"";"A";IF(TRIM(INDIRECT("Columns!O32"))="";TRIM(INDIRECT("Columns!M32"));TRIM(INDIRECT("Columns!O32"))))</v>
      </c>
      <c r="M32" t="str">
        <f t="shared" si="9"/>
        <v>IF(TRIM(INDIRECT("Columns!O32"))="";TRIM(INDIRECT("Columns!M32"));TRIM(INDIRECT("Columns!O32")))</v>
      </c>
    </row>
    <row r="33" spans="2:13">
      <c r="B33">
        <v>33</v>
      </c>
      <c r="C33" t="str">
        <f t="shared" si="0"/>
        <v>=IF(TRIM(INDIRECT("Columns!M33")) ="";"";TRIM(INDIRECT("Columns!M33")))</v>
      </c>
      <c r="D33" t="str">
        <f t="shared" si="1"/>
        <v>TRIM(INDIRECT("Columns!O33"))</v>
      </c>
      <c r="E33" t="str">
        <f t="shared" si="2"/>
        <v>TRIM(INDIRECT("Columns!M33"))</v>
      </c>
      <c r="F33" t="str">
        <f t="shared" si="3"/>
        <v>TRIM(INDIRECT("Columns!D33"))</v>
      </c>
      <c r="G33" t="str">
        <f t="shared" si="4"/>
        <v>=IF(TRIM(INDIRECT("Columns!D33")) ="";C33;TRIM(INDIRECT("Columns!D33")))</v>
      </c>
      <c r="H33" s="190" t="str">
        <f t="shared" si="5"/>
        <v>=IF(TRIM(INDIRECT("Columns!O33"))="";"";TRIM(INDIRECT("Columns!O33")))</v>
      </c>
      <c r="I33" t="str">
        <f t="shared" si="6"/>
        <v>=IF(INDIRECT("Columns!H33")=1;</v>
      </c>
      <c r="J33" t="str">
        <f t="shared" si="7"/>
        <v>=IF(INDIRECT("Columns!H33")=1;"bigint";INDIRECT("Columns!C33"))</v>
      </c>
      <c r="L33" t="str">
        <f t="shared" si="8"/>
        <v>=IF(INDIRECT("Columns!H33")=1;"";"A";IF(TRIM(INDIRECT("Columns!O33"))="";TRIM(INDIRECT("Columns!M33"));TRIM(INDIRECT("Columns!O33"))))</v>
      </c>
      <c r="M33" t="str">
        <f t="shared" si="9"/>
        <v>IF(TRIM(INDIRECT("Columns!O33"))="";TRIM(INDIRECT("Columns!M33"));TRIM(INDIRECT("Columns!O33")))</v>
      </c>
    </row>
    <row r="34" spans="2:13">
      <c r="B34">
        <v>34</v>
      </c>
      <c r="C34" t="str">
        <f t="shared" ref="C34:C65" si="10">"=IF(" &amp; E34 &amp; " ="""";"""";" &amp; E34 &amp; ")"</f>
        <v>=IF(TRIM(INDIRECT("Columns!M34")) ="";"";TRIM(INDIRECT("Columns!M34")))</v>
      </c>
      <c r="D34" t="str">
        <f t="shared" ref="D34:D65" si="11">"TRIM(INDIRECT(""" &amp; $Q$2 &amp; "!" &amp; $Q$4 &amp; B34 &amp; """" &amp; "))"</f>
        <v>TRIM(INDIRECT("Columns!O34"))</v>
      </c>
      <c r="E34" t="str">
        <f t="shared" ref="E34:E65" si="12">"TRIM(INDIRECT(""" &amp; $Q$2 &amp; "!" &amp; $Q$7 &amp; B34 &amp; """" &amp; "))"</f>
        <v>TRIM(INDIRECT("Columns!M34"))</v>
      </c>
      <c r="F34" t="str">
        <f t="shared" ref="F34:F65" si="13">"TRIM(INDIRECT("""&amp;$Q$2&amp;"!"&amp;"D"&amp;B34&amp;""""&amp;"))"</f>
        <v>TRIM(INDIRECT("Columns!D34"))</v>
      </c>
      <c r="G34" t="str">
        <f t="shared" ref="G34:G65" si="14">"=IF(" &amp; F34 &amp; " ="""";C" &amp; B34 &amp; ";" &amp; F34 &amp; ")"</f>
        <v>=IF(TRIM(INDIRECT("Columns!D34")) ="";C34;TRIM(INDIRECT("Columns!D34")))</v>
      </c>
      <c r="H34" s="190" t="str">
        <f t="shared" ref="H34:H65" si="15">"=IF("&amp;D34&amp;"="""";"""";" &amp; D34 &amp; ")"</f>
        <v>=IF(TRIM(INDIRECT("Columns!O34"))="";"";TRIM(INDIRECT("Columns!O34")))</v>
      </c>
      <c r="I34" t="str">
        <f t="shared" ref="I34:I65" si="16">"=IF(INDIRECT(""" &amp; $Q$2 &amp; "!" &amp; "H" &amp; B34 &amp; """" &amp; ")=1;"</f>
        <v>=IF(INDIRECT("Columns!H34")=1;</v>
      </c>
      <c r="J34" t="str">
        <f t="shared" ref="J34:J65" si="17">I34&amp;"""bigint"";INDIRECT("""&amp;$Q$2&amp;"!C"&amp; B34 &amp; """))"</f>
        <v>=IF(INDIRECT("Columns!H34")=1;"bigint";INDIRECT("Columns!C34"))</v>
      </c>
      <c r="L34" t="str">
        <f t="shared" ref="L34:L65" si="18">"=IF(INDIRECT(""" &amp; $Q$2 &amp; "!" &amp; "H" &amp; B34 &amp; """" &amp; ")=1;"""";""A"";" &amp; M34 &amp; ")"</f>
        <v>=IF(INDIRECT("Columns!H34")=1;"";"A";IF(TRIM(INDIRECT("Columns!O34"))="";TRIM(INDIRECT("Columns!M34"));TRIM(INDIRECT("Columns!O34"))))</v>
      </c>
      <c r="M34" t="str">
        <f t="shared" si="9"/>
        <v>IF(TRIM(INDIRECT("Columns!O34"))="";TRIM(INDIRECT("Columns!M34"));TRIM(INDIRECT("Columns!O34")))</v>
      </c>
    </row>
    <row r="35" spans="2:13">
      <c r="B35">
        <v>35</v>
      </c>
      <c r="C35" t="str">
        <f t="shared" si="10"/>
        <v>=IF(TRIM(INDIRECT("Columns!M35")) ="";"";TRIM(INDIRECT("Columns!M35")))</v>
      </c>
      <c r="D35" t="str">
        <f t="shared" si="11"/>
        <v>TRIM(INDIRECT("Columns!O35"))</v>
      </c>
      <c r="E35" t="str">
        <f t="shared" si="12"/>
        <v>TRIM(INDIRECT("Columns!M35"))</v>
      </c>
      <c r="F35" t="str">
        <f t="shared" si="13"/>
        <v>TRIM(INDIRECT("Columns!D35"))</v>
      </c>
      <c r="G35" t="str">
        <f t="shared" si="14"/>
        <v>=IF(TRIM(INDIRECT("Columns!D35")) ="";C35;TRIM(INDIRECT("Columns!D35")))</v>
      </c>
      <c r="H35" s="190" t="str">
        <f t="shared" si="15"/>
        <v>=IF(TRIM(INDIRECT("Columns!O35"))="";"";TRIM(INDIRECT("Columns!O35")))</v>
      </c>
      <c r="I35" t="str">
        <f t="shared" si="16"/>
        <v>=IF(INDIRECT("Columns!H35")=1;</v>
      </c>
      <c r="J35" t="str">
        <f t="shared" si="17"/>
        <v>=IF(INDIRECT("Columns!H35")=1;"bigint";INDIRECT("Columns!C35"))</v>
      </c>
      <c r="L35" t="str">
        <f t="shared" si="18"/>
        <v>=IF(INDIRECT("Columns!H35")=1;"";"A";IF(TRIM(INDIRECT("Columns!O35"))="";TRIM(INDIRECT("Columns!M35"));TRIM(INDIRECT("Columns!O35"))))</v>
      </c>
      <c r="M35" t="str">
        <f t="shared" si="9"/>
        <v>IF(TRIM(INDIRECT("Columns!O35"))="";TRIM(INDIRECT("Columns!M35"));TRIM(INDIRECT("Columns!O35")))</v>
      </c>
    </row>
    <row r="36" spans="2:13">
      <c r="B36">
        <v>36</v>
      </c>
      <c r="C36" t="str">
        <f t="shared" si="10"/>
        <v>=IF(TRIM(INDIRECT("Columns!M36")) ="";"";TRIM(INDIRECT("Columns!M36")))</v>
      </c>
      <c r="D36" t="str">
        <f t="shared" si="11"/>
        <v>TRIM(INDIRECT("Columns!O36"))</v>
      </c>
      <c r="E36" t="str">
        <f t="shared" si="12"/>
        <v>TRIM(INDIRECT("Columns!M36"))</v>
      </c>
      <c r="F36" t="str">
        <f t="shared" si="13"/>
        <v>TRIM(INDIRECT("Columns!D36"))</v>
      </c>
      <c r="G36" t="str">
        <f t="shared" si="14"/>
        <v>=IF(TRIM(INDIRECT("Columns!D36")) ="";C36;TRIM(INDIRECT("Columns!D36")))</v>
      </c>
      <c r="H36" s="190" t="str">
        <f t="shared" si="15"/>
        <v>=IF(TRIM(INDIRECT("Columns!O36"))="";"";TRIM(INDIRECT("Columns!O36")))</v>
      </c>
      <c r="I36" t="str">
        <f t="shared" si="16"/>
        <v>=IF(INDIRECT("Columns!H36")=1;</v>
      </c>
      <c r="J36" t="str">
        <f t="shared" si="17"/>
        <v>=IF(INDIRECT("Columns!H36")=1;"bigint";INDIRECT("Columns!C36"))</v>
      </c>
      <c r="L36" t="str">
        <f t="shared" si="18"/>
        <v>=IF(INDIRECT("Columns!H36")=1;"";"A";IF(TRIM(INDIRECT("Columns!O36"))="";TRIM(INDIRECT("Columns!M36"));TRIM(INDIRECT("Columns!O36"))))</v>
      </c>
      <c r="M36" t="str">
        <f t="shared" si="9"/>
        <v>IF(TRIM(INDIRECT("Columns!O36"))="";TRIM(INDIRECT("Columns!M36"));TRIM(INDIRECT("Columns!O36")))</v>
      </c>
    </row>
    <row r="37" spans="2:13">
      <c r="B37">
        <v>37</v>
      </c>
      <c r="C37" t="str">
        <f t="shared" si="10"/>
        <v>=IF(TRIM(INDIRECT("Columns!M37")) ="";"";TRIM(INDIRECT("Columns!M37")))</v>
      </c>
      <c r="D37" t="str">
        <f t="shared" si="11"/>
        <v>TRIM(INDIRECT("Columns!O37"))</v>
      </c>
      <c r="E37" t="str">
        <f t="shared" si="12"/>
        <v>TRIM(INDIRECT("Columns!M37"))</v>
      </c>
      <c r="F37" t="str">
        <f t="shared" si="13"/>
        <v>TRIM(INDIRECT("Columns!D37"))</v>
      </c>
      <c r="G37" t="str">
        <f t="shared" si="14"/>
        <v>=IF(TRIM(INDIRECT("Columns!D37")) ="";C37;TRIM(INDIRECT("Columns!D37")))</v>
      </c>
      <c r="H37" s="190" t="str">
        <f t="shared" si="15"/>
        <v>=IF(TRIM(INDIRECT("Columns!O37"))="";"";TRIM(INDIRECT("Columns!O37")))</v>
      </c>
      <c r="I37" t="str">
        <f t="shared" si="16"/>
        <v>=IF(INDIRECT("Columns!H37")=1;</v>
      </c>
      <c r="J37" t="str">
        <f t="shared" si="17"/>
        <v>=IF(INDIRECT("Columns!H37")=1;"bigint";INDIRECT("Columns!C37"))</v>
      </c>
      <c r="L37" t="str">
        <f t="shared" si="18"/>
        <v>=IF(INDIRECT("Columns!H37")=1;"";"A";IF(TRIM(INDIRECT("Columns!O37"))="";TRIM(INDIRECT("Columns!M37"));TRIM(INDIRECT("Columns!O37"))))</v>
      </c>
      <c r="M37" t="str">
        <f t="shared" si="9"/>
        <v>IF(TRIM(INDIRECT("Columns!O37"))="";TRIM(INDIRECT("Columns!M37"));TRIM(INDIRECT("Columns!O37")))</v>
      </c>
    </row>
    <row r="38" spans="2:13">
      <c r="B38">
        <v>38</v>
      </c>
      <c r="C38" t="str">
        <f t="shared" si="10"/>
        <v>=IF(TRIM(INDIRECT("Columns!M38")) ="";"";TRIM(INDIRECT("Columns!M38")))</v>
      </c>
      <c r="D38" t="str">
        <f t="shared" si="11"/>
        <v>TRIM(INDIRECT("Columns!O38"))</v>
      </c>
      <c r="E38" t="str">
        <f t="shared" si="12"/>
        <v>TRIM(INDIRECT("Columns!M38"))</v>
      </c>
      <c r="F38" t="str">
        <f t="shared" si="13"/>
        <v>TRIM(INDIRECT("Columns!D38"))</v>
      </c>
      <c r="G38" t="str">
        <f t="shared" si="14"/>
        <v>=IF(TRIM(INDIRECT("Columns!D38")) ="";C38;TRIM(INDIRECT("Columns!D38")))</v>
      </c>
      <c r="H38" s="190" t="str">
        <f t="shared" si="15"/>
        <v>=IF(TRIM(INDIRECT("Columns!O38"))="";"";TRIM(INDIRECT("Columns!O38")))</v>
      </c>
      <c r="I38" t="str">
        <f t="shared" si="16"/>
        <v>=IF(INDIRECT("Columns!H38")=1;</v>
      </c>
      <c r="J38" t="str">
        <f t="shared" si="17"/>
        <v>=IF(INDIRECT("Columns!H38")=1;"bigint";INDIRECT("Columns!C38"))</v>
      </c>
      <c r="L38" t="str">
        <f t="shared" si="18"/>
        <v>=IF(INDIRECT("Columns!H38")=1;"";"A";IF(TRIM(INDIRECT("Columns!O38"))="";TRIM(INDIRECT("Columns!M38"));TRIM(INDIRECT("Columns!O38"))))</v>
      </c>
      <c r="M38" t="str">
        <f t="shared" si="9"/>
        <v>IF(TRIM(INDIRECT("Columns!O38"))="";TRIM(INDIRECT("Columns!M38"));TRIM(INDIRECT("Columns!O38")))</v>
      </c>
    </row>
    <row r="39" spans="2:13">
      <c r="B39">
        <v>39</v>
      </c>
      <c r="C39" t="str">
        <f t="shared" si="10"/>
        <v>=IF(TRIM(INDIRECT("Columns!M39")) ="";"";TRIM(INDIRECT("Columns!M39")))</v>
      </c>
      <c r="D39" t="str">
        <f t="shared" si="11"/>
        <v>TRIM(INDIRECT("Columns!O39"))</v>
      </c>
      <c r="E39" t="str">
        <f t="shared" si="12"/>
        <v>TRIM(INDIRECT("Columns!M39"))</v>
      </c>
      <c r="F39" t="str">
        <f t="shared" si="13"/>
        <v>TRIM(INDIRECT("Columns!D39"))</v>
      </c>
      <c r="G39" t="str">
        <f t="shared" si="14"/>
        <v>=IF(TRIM(INDIRECT("Columns!D39")) ="";C39;TRIM(INDIRECT("Columns!D39")))</v>
      </c>
      <c r="H39" s="190" t="str">
        <f t="shared" si="15"/>
        <v>=IF(TRIM(INDIRECT("Columns!O39"))="";"";TRIM(INDIRECT("Columns!O39")))</v>
      </c>
      <c r="I39" t="str">
        <f t="shared" si="16"/>
        <v>=IF(INDIRECT("Columns!H39")=1;</v>
      </c>
      <c r="J39" t="str">
        <f t="shared" si="17"/>
        <v>=IF(INDIRECT("Columns!H39")=1;"bigint";INDIRECT("Columns!C39"))</v>
      </c>
      <c r="L39" t="str">
        <f t="shared" si="18"/>
        <v>=IF(INDIRECT("Columns!H39")=1;"";"A";IF(TRIM(INDIRECT("Columns!O39"))="";TRIM(INDIRECT("Columns!M39"));TRIM(INDIRECT("Columns!O39"))))</v>
      </c>
      <c r="M39" t="str">
        <f t="shared" si="9"/>
        <v>IF(TRIM(INDIRECT("Columns!O39"))="";TRIM(INDIRECT("Columns!M39"));TRIM(INDIRECT("Columns!O39")))</v>
      </c>
    </row>
    <row r="40" spans="2:13">
      <c r="B40">
        <v>40</v>
      </c>
      <c r="C40" t="str">
        <f t="shared" si="10"/>
        <v>=IF(TRIM(INDIRECT("Columns!M40")) ="";"";TRIM(INDIRECT("Columns!M40")))</v>
      </c>
      <c r="D40" t="str">
        <f t="shared" si="11"/>
        <v>TRIM(INDIRECT("Columns!O40"))</v>
      </c>
      <c r="E40" t="str">
        <f t="shared" si="12"/>
        <v>TRIM(INDIRECT("Columns!M40"))</v>
      </c>
      <c r="F40" t="str">
        <f t="shared" si="13"/>
        <v>TRIM(INDIRECT("Columns!D40"))</v>
      </c>
      <c r="G40" t="str">
        <f t="shared" si="14"/>
        <v>=IF(TRIM(INDIRECT("Columns!D40")) ="";C40;TRIM(INDIRECT("Columns!D40")))</v>
      </c>
      <c r="H40" s="190" t="str">
        <f t="shared" si="15"/>
        <v>=IF(TRIM(INDIRECT("Columns!O40"))="";"";TRIM(INDIRECT("Columns!O40")))</v>
      </c>
      <c r="I40" t="str">
        <f t="shared" si="16"/>
        <v>=IF(INDIRECT("Columns!H40")=1;</v>
      </c>
      <c r="J40" t="str">
        <f t="shared" si="17"/>
        <v>=IF(INDIRECT("Columns!H40")=1;"bigint";INDIRECT("Columns!C40"))</v>
      </c>
      <c r="L40" t="str">
        <f t="shared" si="18"/>
        <v>=IF(INDIRECT("Columns!H40")=1;"";"A";IF(TRIM(INDIRECT("Columns!O40"))="";TRIM(INDIRECT("Columns!M40"));TRIM(INDIRECT("Columns!O40"))))</v>
      </c>
      <c r="M40" t="str">
        <f t="shared" si="9"/>
        <v>IF(TRIM(INDIRECT("Columns!O40"))="";TRIM(INDIRECT("Columns!M40"));TRIM(INDIRECT("Columns!O40")))</v>
      </c>
    </row>
    <row r="41" spans="2:13">
      <c r="B41">
        <v>41</v>
      </c>
      <c r="C41" t="str">
        <f t="shared" si="10"/>
        <v>=IF(TRIM(INDIRECT("Columns!M41")) ="";"";TRIM(INDIRECT("Columns!M41")))</v>
      </c>
      <c r="D41" t="str">
        <f t="shared" si="11"/>
        <v>TRIM(INDIRECT("Columns!O41"))</v>
      </c>
      <c r="E41" t="str">
        <f t="shared" si="12"/>
        <v>TRIM(INDIRECT("Columns!M41"))</v>
      </c>
      <c r="F41" t="str">
        <f t="shared" si="13"/>
        <v>TRIM(INDIRECT("Columns!D41"))</v>
      </c>
      <c r="G41" t="str">
        <f t="shared" si="14"/>
        <v>=IF(TRIM(INDIRECT("Columns!D41")) ="";C41;TRIM(INDIRECT("Columns!D41")))</v>
      </c>
      <c r="H41" s="190" t="str">
        <f t="shared" si="15"/>
        <v>=IF(TRIM(INDIRECT("Columns!O41"))="";"";TRIM(INDIRECT("Columns!O41")))</v>
      </c>
      <c r="I41" t="str">
        <f t="shared" si="16"/>
        <v>=IF(INDIRECT("Columns!H41")=1;</v>
      </c>
      <c r="J41" t="str">
        <f t="shared" si="17"/>
        <v>=IF(INDIRECT("Columns!H41")=1;"bigint";INDIRECT("Columns!C41"))</v>
      </c>
      <c r="L41" t="str">
        <f t="shared" si="18"/>
        <v>=IF(INDIRECT("Columns!H41")=1;"";"A";IF(TRIM(INDIRECT("Columns!O41"))="";TRIM(INDIRECT("Columns!M41"));TRIM(INDIRECT("Columns!O41"))))</v>
      </c>
      <c r="M41" t="str">
        <f t="shared" si="9"/>
        <v>IF(TRIM(INDIRECT("Columns!O41"))="";TRIM(INDIRECT("Columns!M41"));TRIM(INDIRECT("Columns!O41")))</v>
      </c>
    </row>
    <row r="42" spans="2:13">
      <c r="B42">
        <v>42</v>
      </c>
      <c r="C42" t="str">
        <f t="shared" si="10"/>
        <v>=IF(TRIM(INDIRECT("Columns!M42")) ="";"";TRIM(INDIRECT("Columns!M42")))</v>
      </c>
      <c r="D42" t="str">
        <f t="shared" si="11"/>
        <v>TRIM(INDIRECT("Columns!O42"))</v>
      </c>
      <c r="E42" t="str">
        <f t="shared" si="12"/>
        <v>TRIM(INDIRECT("Columns!M42"))</v>
      </c>
      <c r="F42" t="str">
        <f t="shared" si="13"/>
        <v>TRIM(INDIRECT("Columns!D42"))</v>
      </c>
      <c r="G42" t="str">
        <f t="shared" si="14"/>
        <v>=IF(TRIM(INDIRECT("Columns!D42")) ="";C42;TRIM(INDIRECT("Columns!D42")))</v>
      </c>
      <c r="H42" s="190" t="str">
        <f t="shared" si="15"/>
        <v>=IF(TRIM(INDIRECT("Columns!O42"))="";"";TRIM(INDIRECT("Columns!O42")))</v>
      </c>
      <c r="I42" t="str">
        <f t="shared" si="16"/>
        <v>=IF(INDIRECT("Columns!H42")=1;</v>
      </c>
      <c r="J42" t="str">
        <f t="shared" si="17"/>
        <v>=IF(INDIRECT("Columns!H42")=1;"bigint";INDIRECT("Columns!C42"))</v>
      </c>
      <c r="L42" t="str">
        <f t="shared" si="18"/>
        <v>=IF(INDIRECT("Columns!H42")=1;"";"A";IF(TRIM(INDIRECT("Columns!O42"))="";TRIM(INDIRECT("Columns!M42"));TRIM(INDIRECT("Columns!O42"))))</v>
      </c>
      <c r="M42" t="str">
        <f t="shared" si="9"/>
        <v>IF(TRIM(INDIRECT("Columns!O42"))="";TRIM(INDIRECT("Columns!M42"));TRIM(INDIRECT("Columns!O42")))</v>
      </c>
    </row>
    <row r="43" spans="2:13">
      <c r="B43">
        <v>43</v>
      </c>
      <c r="C43" t="str">
        <f t="shared" si="10"/>
        <v>=IF(TRIM(INDIRECT("Columns!M43")) ="";"";TRIM(INDIRECT("Columns!M43")))</v>
      </c>
      <c r="D43" t="str">
        <f t="shared" si="11"/>
        <v>TRIM(INDIRECT("Columns!O43"))</v>
      </c>
      <c r="E43" t="str">
        <f t="shared" si="12"/>
        <v>TRIM(INDIRECT("Columns!M43"))</v>
      </c>
      <c r="F43" t="str">
        <f t="shared" si="13"/>
        <v>TRIM(INDIRECT("Columns!D43"))</v>
      </c>
      <c r="G43" t="str">
        <f t="shared" si="14"/>
        <v>=IF(TRIM(INDIRECT("Columns!D43")) ="";C43;TRIM(INDIRECT("Columns!D43")))</v>
      </c>
      <c r="H43" s="190" t="str">
        <f t="shared" si="15"/>
        <v>=IF(TRIM(INDIRECT("Columns!O43"))="";"";TRIM(INDIRECT("Columns!O43")))</v>
      </c>
      <c r="I43" t="str">
        <f t="shared" si="16"/>
        <v>=IF(INDIRECT("Columns!H43")=1;</v>
      </c>
      <c r="J43" t="str">
        <f t="shared" si="17"/>
        <v>=IF(INDIRECT("Columns!H43")=1;"bigint";INDIRECT("Columns!C43"))</v>
      </c>
      <c r="L43" t="str">
        <f t="shared" si="18"/>
        <v>=IF(INDIRECT("Columns!H43")=1;"";"A";IF(TRIM(INDIRECT("Columns!O43"))="";TRIM(INDIRECT("Columns!M43"));TRIM(INDIRECT("Columns!O43"))))</v>
      </c>
      <c r="M43" t="str">
        <f t="shared" si="9"/>
        <v>IF(TRIM(INDIRECT("Columns!O43"))="";TRIM(INDIRECT("Columns!M43"));TRIM(INDIRECT("Columns!O43")))</v>
      </c>
    </row>
    <row r="44" spans="2:13">
      <c r="B44">
        <v>44</v>
      </c>
      <c r="C44" t="str">
        <f t="shared" si="10"/>
        <v>=IF(TRIM(INDIRECT("Columns!M44")) ="";"";TRIM(INDIRECT("Columns!M44")))</v>
      </c>
      <c r="D44" t="str">
        <f t="shared" si="11"/>
        <v>TRIM(INDIRECT("Columns!O44"))</v>
      </c>
      <c r="E44" t="str">
        <f t="shared" si="12"/>
        <v>TRIM(INDIRECT("Columns!M44"))</v>
      </c>
      <c r="F44" t="str">
        <f t="shared" si="13"/>
        <v>TRIM(INDIRECT("Columns!D44"))</v>
      </c>
      <c r="G44" t="str">
        <f t="shared" si="14"/>
        <v>=IF(TRIM(INDIRECT("Columns!D44")) ="";C44;TRIM(INDIRECT("Columns!D44")))</v>
      </c>
      <c r="H44" s="190" t="str">
        <f t="shared" si="15"/>
        <v>=IF(TRIM(INDIRECT("Columns!O44"))="";"";TRIM(INDIRECT("Columns!O44")))</v>
      </c>
      <c r="I44" t="str">
        <f t="shared" si="16"/>
        <v>=IF(INDIRECT("Columns!H44")=1;</v>
      </c>
      <c r="J44" t="str">
        <f t="shared" si="17"/>
        <v>=IF(INDIRECT("Columns!H44")=1;"bigint";INDIRECT("Columns!C44"))</v>
      </c>
      <c r="L44" t="str">
        <f t="shared" si="18"/>
        <v>=IF(INDIRECT("Columns!H44")=1;"";"A";IF(TRIM(INDIRECT("Columns!O44"))="";TRIM(INDIRECT("Columns!M44"));TRIM(INDIRECT("Columns!O44"))))</v>
      </c>
      <c r="M44" t="str">
        <f t="shared" si="9"/>
        <v>IF(TRIM(INDIRECT("Columns!O44"))="";TRIM(INDIRECT("Columns!M44"));TRIM(INDIRECT("Columns!O44")))</v>
      </c>
    </row>
    <row r="45" spans="2:13">
      <c r="B45">
        <v>45</v>
      </c>
      <c r="C45" t="str">
        <f t="shared" si="10"/>
        <v>=IF(TRIM(INDIRECT("Columns!M45")) ="";"";TRIM(INDIRECT("Columns!M45")))</v>
      </c>
      <c r="D45" t="str">
        <f t="shared" si="11"/>
        <v>TRIM(INDIRECT("Columns!O45"))</v>
      </c>
      <c r="E45" t="str">
        <f t="shared" si="12"/>
        <v>TRIM(INDIRECT("Columns!M45"))</v>
      </c>
      <c r="F45" t="str">
        <f t="shared" si="13"/>
        <v>TRIM(INDIRECT("Columns!D45"))</v>
      </c>
      <c r="G45" t="str">
        <f t="shared" si="14"/>
        <v>=IF(TRIM(INDIRECT("Columns!D45")) ="";C45;TRIM(INDIRECT("Columns!D45")))</v>
      </c>
      <c r="H45" s="190" t="str">
        <f t="shared" si="15"/>
        <v>=IF(TRIM(INDIRECT("Columns!O45"))="";"";TRIM(INDIRECT("Columns!O45")))</v>
      </c>
      <c r="I45" t="str">
        <f t="shared" si="16"/>
        <v>=IF(INDIRECT("Columns!H45")=1;</v>
      </c>
      <c r="J45" t="str">
        <f t="shared" si="17"/>
        <v>=IF(INDIRECT("Columns!H45")=1;"bigint";INDIRECT("Columns!C45"))</v>
      </c>
      <c r="L45" t="str">
        <f t="shared" si="18"/>
        <v>=IF(INDIRECT("Columns!H45")=1;"";"A";IF(TRIM(INDIRECT("Columns!O45"))="";TRIM(INDIRECT("Columns!M45"));TRIM(INDIRECT("Columns!O45"))))</v>
      </c>
      <c r="M45" t="str">
        <f t="shared" si="9"/>
        <v>IF(TRIM(INDIRECT("Columns!O45"))="";TRIM(INDIRECT("Columns!M45"));TRIM(INDIRECT("Columns!O45")))</v>
      </c>
    </row>
    <row r="46" spans="2:13">
      <c r="B46">
        <v>46</v>
      </c>
      <c r="C46" t="str">
        <f t="shared" si="10"/>
        <v>=IF(TRIM(INDIRECT("Columns!M46")) ="";"";TRIM(INDIRECT("Columns!M46")))</v>
      </c>
      <c r="D46" t="str">
        <f t="shared" si="11"/>
        <v>TRIM(INDIRECT("Columns!O46"))</v>
      </c>
      <c r="E46" t="str">
        <f t="shared" si="12"/>
        <v>TRIM(INDIRECT("Columns!M46"))</v>
      </c>
      <c r="F46" t="str">
        <f t="shared" si="13"/>
        <v>TRIM(INDIRECT("Columns!D46"))</v>
      </c>
      <c r="G46" t="str">
        <f t="shared" si="14"/>
        <v>=IF(TRIM(INDIRECT("Columns!D46")) ="";C46;TRIM(INDIRECT("Columns!D46")))</v>
      </c>
      <c r="H46" s="190" t="str">
        <f t="shared" si="15"/>
        <v>=IF(TRIM(INDIRECT("Columns!O46"))="";"";TRIM(INDIRECT("Columns!O46")))</v>
      </c>
      <c r="I46" t="str">
        <f t="shared" si="16"/>
        <v>=IF(INDIRECT("Columns!H46")=1;</v>
      </c>
      <c r="J46" t="str">
        <f t="shared" si="17"/>
        <v>=IF(INDIRECT("Columns!H46")=1;"bigint";INDIRECT("Columns!C46"))</v>
      </c>
      <c r="L46" t="str">
        <f t="shared" si="18"/>
        <v>=IF(INDIRECT("Columns!H46")=1;"";"A";IF(TRIM(INDIRECT("Columns!O46"))="";TRIM(INDIRECT("Columns!M46"));TRIM(INDIRECT("Columns!O46"))))</v>
      </c>
      <c r="M46" t="str">
        <f t="shared" si="9"/>
        <v>IF(TRIM(INDIRECT("Columns!O46"))="";TRIM(INDIRECT("Columns!M46"));TRIM(INDIRECT("Columns!O46")))</v>
      </c>
    </row>
    <row r="47" spans="2:13">
      <c r="B47">
        <v>47</v>
      </c>
      <c r="C47" t="str">
        <f t="shared" si="10"/>
        <v>=IF(TRIM(INDIRECT("Columns!M47")) ="";"";TRIM(INDIRECT("Columns!M47")))</v>
      </c>
      <c r="D47" t="str">
        <f t="shared" si="11"/>
        <v>TRIM(INDIRECT("Columns!O47"))</v>
      </c>
      <c r="E47" t="str">
        <f t="shared" si="12"/>
        <v>TRIM(INDIRECT("Columns!M47"))</v>
      </c>
      <c r="F47" t="str">
        <f t="shared" si="13"/>
        <v>TRIM(INDIRECT("Columns!D47"))</v>
      </c>
      <c r="G47" t="str">
        <f t="shared" si="14"/>
        <v>=IF(TRIM(INDIRECT("Columns!D47")) ="";C47;TRIM(INDIRECT("Columns!D47")))</v>
      </c>
      <c r="H47" s="190" t="str">
        <f t="shared" si="15"/>
        <v>=IF(TRIM(INDIRECT("Columns!O47"))="";"";TRIM(INDIRECT("Columns!O47")))</v>
      </c>
      <c r="I47" t="str">
        <f t="shared" si="16"/>
        <v>=IF(INDIRECT("Columns!H47")=1;</v>
      </c>
      <c r="J47" t="str">
        <f t="shared" si="17"/>
        <v>=IF(INDIRECT("Columns!H47")=1;"bigint";INDIRECT("Columns!C47"))</v>
      </c>
      <c r="L47" t="str">
        <f t="shared" si="18"/>
        <v>=IF(INDIRECT("Columns!H47")=1;"";"A";IF(TRIM(INDIRECT("Columns!O47"))="";TRIM(INDIRECT("Columns!M47"));TRIM(INDIRECT("Columns!O47"))))</v>
      </c>
      <c r="M47" t="str">
        <f t="shared" si="9"/>
        <v>IF(TRIM(INDIRECT("Columns!O47"))="";TRIM(INDIRECT("Columns!M47"));TRIM(INDIRECT("Columns!O47")))</v>
      </c>
    </row>
    <row r="48" spans="2:13">
      <c r="B48">
        <v>48</v>
      </c>
      <c r="C48" t="str">
        <f t="shared" si="10"/>
        <v>=IF(TRIM(INDIRECT("Columns!M48")) ="";"";TRIM(INDIRECT("Columns!M48")))</v>
      </c>
      <c r="D48" t="str">
        <f t="shared" si="11"/>
        <v>TRIM(INDIRECT("Columns!O48"))</v>
      </c>
      <c r="E48" t="str">
        <f t="shared" si="12"/>
        <v>TRIM(INDIRECT("Columns!M48"))</v>
      </c>
      <c r="F48" t="str">
        <f t="shared" si="13"/>
        <v>TRIM(INDIRECT("Columns!D48"))</v>
      </c>
      <c r="G48" t="str">
        <f t="shared" si="14"/>
        <v>=IF(TRIM(INDIRECT("Columns!D48")) ="";C48;TRIM(INDIRECT("Columns!D48")))</v>
      </c>
      <c r="H48" s="190" t="str">
        <f t="shared" si="15"/>
        <v>=IF(TRIM(INDIRECT("Columns!O48"))="";"";TRIM(INDIRECT("Columns!O48")))</v>
      </c>
      <c r="I48" t="str">
        <f t="shared" si="16"/>
        <v>=IF(INDIRECT("Columns!H48")=1;</v>
      </c>
      <c r="J48" t="str">
        <f t="shared" si="17"/>
        <v>=IF(INDIRECT("Columns!H48")=1;"bigint";INDIRECT("Columns!C48"))</v>
      </c>
      <c r="L48" t="str">
        <f t="shared" si="18"/>
        <v>=IF(INDIRECT("Columns!H48")=1;"";"A";IF(TRIM(INDIRECT("Columns!O48"))="";TRIM(INDIRECT("Columns!M48"));TRIM(INDIRECT("Columns!O48"))))</v>
      </c>
      <c r="M48" t="str">
        <f t="shared" si="9"/>
        <v>IF(TRIM(INDIRECT("Columns!O48"))="";TRIM(INDIRECT("Columns!M48"));TRIM(INDIRECT("Columns!O48")))</v>
      </c>
    </row>
    <row r="49" spans="2:13">
      <c r="B49">
        <v>49</v>
      </c>
      <c r="C49" t="str">
        <f t="shared" si="10"/>
        <v>=IF(TRIM(INDIRECT("Columns!M49")) ="";"";TRIM(INDIRECT("Columns!M49")))</v>
      </c>
      <c r="D49" t="str">
        <f t="shared" si="11"/>
        <v>TRIM(INDIRECT("Columns!O49"))</v>
      </c>
      <c r="E49" t="str">
        <f t="shared" si="12"/>
        <v>TRIM(INDIRECT("Columns!M49"))</v>
      </c>
      <c r="F49" t="str">
        <f t="shared" si="13"/>
        <v>TRIM(INDIRECT("Columns!D49"))</v>
      </c>
      <c r="G49" t="str">
        <f t="shared" si="14"/>
        <v>=IF(TRIM(INDIRECT("Columns!D49")) ="";C49;TRIM(INDIRECT("Columns!D49")))</v>
      </c>
      <c r="H49" s="190" t="str">
        <f t="shared" si="15"/>
        <v>=IF(TRIM(INDIRECT("Columns!O49"))="";"";TRIM(INDIRECT("Columns!O49")))</v>
      </c>
      <c r="I49" t="str">
        <f t="shared" si="16"/>
        <v>=IF(INDIRECT("Columns!H49")=1;</v>
      </c>
      <c r="J49" t="str">
        <f t="shared" si="17"/>
        <v>=IF(INDIRECT("Columns!H49")=1;"bigint";INDIRECT("Columns!C49"))</v>
      </c>
      <c r="L49" t="str">
        <f t="shared" si="18"/>
        <v>=IF(INDIRECT("Columns!H49")=1;"";"A";IF(TRIM(INDIRECT("Columns!O49"))="";TRIM(INDIRECT("Columns!M49"));TRIM(INDIRECT("Columns!O49"))))</v>
      </c>
      <c r="M49" t="str">
        <f t="shared" si="9"/>
        <v>IF(TRIM(INDIRECT("Columns!O49"))="";TRIM(INDIRECT("Columns!M49"));TRIM(INDIRECT("Columns!O49")))</v>
      </c>
    </row>
    <row r="50" spans="2:13">
      <c r="B50">
        <v>50</v>
      </c>
      <c r="C50" t="str">
        <f t="shared" si="10"/>
        <v>=IF(TRIM(INDIRECT("Columns!M50")) ="";"";TRIM(INDIRECT("Columns!M50")))</v>
      </c>
      <c r="D50" t="str">
        <f t="shared" si="11"/>
        <v>TRIM(INDIRECT("Columns!O50"))</v>
      </c>
      <c r="E50" t="str">
        <f t="shared" si="12"/>
        <v>TRIM(INDIRECT("Columns!M50"))</v>
      </c>
      <c r="F50" t="str">
        <f t="shared" si="13"/>
        <v>TRIM(INDIRECT("Columns!D50"))</v>
      </c>
      <c r="G50" t="str">
        <f t="shared" si="14"/>
        <v>=IF(TRIM(INDIRECT("Columns!D50")) ="";C50;TRIM(INDIRECT("Columns!D50")))</v>
      </c>
      <c r="H50" s="190" t="str">
        <f t="shared" si="15"/>
        <v>=IF(TRIM(INDIRECT("Columns!O50"))="";"";TRIM(INDIRECT("Columns!O50")))</v>
      </c>
      <c r="I50" t="str">
        <f t="shared" si="16"/>
        <v>=IF(INDIRECT("Columns!H50")=1;</v>
      </c>
      <c r="J50" t="str">
        <f t="shared" si="17"/>
        <v>=IF(INDIRECT("Columns!H50")=1;"bigint";INDIRECT("Columns!C50"))</v>
      </c>
      <c r="L50" t="str">
        <f t="shared" si="18"/>
        <v>=IF(INDIRECT("Columns!H50")=1;"";"A";IF(TRIM(INDIRECT("Columns!O50"))="";TRIM(INDIRECT("Columns!M50"));TRIM(INDIRECT("Columns!O50"))))</v>
      </c>
      <c r="M50" t="str">
        <f t="shared" si="9"/>
        <v>IF(TRIM(INDIRECT("Columns!O50"))="";TRIM(INDIRECT("Columns!M50"));TRIM(INDIRECT("Columns!O50")))</v>
      </c>
    </row>
    <row r="51" spans="2:13">
      <c r="B51">
        <v>51</v>
      </c>
      <c r="C51" t="str">
        <f t="shared" si="10"/>
        <v>=IF(TRIM(INDIRECT("Columns!M51")) ="";"";TRIM(INDIRECT("Columns!M51")))</v>
      </c>
      <c r="D51" t="str">
        <f t="shared" si="11"/>
        <v>TRIM(INDIRECT("Columns!O51"))</v>
      </c>
      <c r="E51" t="str">
        <f t="shared" si="12"/>
        <v>TRIM(INDIRECT("Columns!M51"))</v>
      </c>
      <c r="F51" t="str">
        <f t="shared" si="13"/>
        <v>TRIM(INDIRECT("Columns!D51"))</v>
      </c>
      <c r="G51" t="str">
        <f t="shared" si="14"/>
        <v>=IF(TRIM(INDIRECT("Columns!D51")) ="";C51;TRIM(INDIRECT("Columns!D51")))</v>
      </c>
      <c r="H51" s="190" t="str">
        <f t="shared" si="15"/>
        <v>=IF(TRIM(INDIRECT("Columns!O51"))="";"";TRIM(INDIRECT("Columns!O51")))</v>
      </c>
      <c r="I51" t="str">
        <f t="shared" si="16"/>
        <v>=IF(INDIRECT("Columns!H51")=1;</v>
      </c>
      <c r="J51" t="str">
        <f t="shared" si="17"/>
        <v>=IF(INDIRECT("Columns!H51")=1;"bigint";INDIRECT("Columns!C51"))</v>
      </c>
      <c r="L51" t="str">
        <f t="shared" si="18"/>
        <v>=IF(INDIRECT("Columns!H51")=1;"";"A";IF(TRIM(INDIRECT("Columns!O51"))="";TRIM(INDIRECT("Columns!M51"));TRIM(INDIRECT("Columns!O51"))))</v>
      </c>
      <c r="M51" t="str">
        <f>"IF("&amp;D51&amp;"="""";" &amp;  E51 &amp; ";" &amp; D51 &amp; ")"</f>
        <v>IF(TRIM(INDIRECT("Columns!O51"))="";TRIM(INDIRECT("Columns!M51"));TRIM(INDIRECT("Columns!O51")))</v>
      </c>
    </row>
    <row r="52" spans="2:13">
      <c r="B52">
        <v>52</v>
      </c>
      <c r="C52" t="str">
        <f t="shared" si="10"/>
        <v>=IF(TRIM(INDIRECT("Columns!M52")) ="";"";TRIM(INDIRECT("Columns!M52")))</v>
      </c>
      <c r="D52" t="str">
        <f t="shared" si="11"/>
        <v>TRIM(INDIRECT("Columns!O52"))</v>
      </c>
      <c r="E52" t="str">
        <f t="shared" si="12"/>
        <v>TRIM(INDIRECT("Columns!M52"))</v>
      </c>
      <c r="F52" t="str">
        <f t="shared" si="13"/>
        <v>TRIM(INDIRECT("Columns!D52"))</v>
      </c>
      <c r="G52" t="str">
        <f t="shared" si="14"/>
        <v>=IF(TRIM(INDIRECT("Columns!D52")) ="";C52;TRIM(INDIRECT("Columns!D52")))</v>
      </c>
      <c r="H52" s="190" t="str">
        <f t="shared" si="15"/>
        <v>=IF(TRIM(INDIRECT("Columns!O52"))="";"";TRIM(INDIRECT("Columns!O52")))</v>
      </c>
      <c r="I52" t="str">
        <f t="shared" si="16"/>
        <v>=IF(INDIRECT("Columns!H52")=1;</v>
      </c>
      <c r="J52" t="str">
        <f t="shared" si="17"/>
        <v>=IF(INDIRECT("Columns!H52")=1;"bigint";INDIRECT("Columns!C52"))</v>
      </c>
      <c r="L52" t="str">
        <f t="shared" si="18"/>
        <v>=IF(INDIRECT("Columns!H52")=1;"";"A";IF(TRIM(INDIRECT("Columns!O52"))="";TRIM(INDIRECT("Columns!M52"));TRIM(INDIRECT("Columns!O52"))))</v>
      </c>
      <c r="M52" t="str">
        <f t="shared" ref="M52:M83" si="19">"IF("&amp;D52&amp;"="""";" &amp; E52 &amp; ";" &amp; D52 &amp; ")"</f>
        <v>IF(TRIM(INDIRECT("Columns!O52"))="";TRIM(INDIRECT("Columns!M52"));TRIM(INDIRECT("Columns!O52")))</v>
      </c>
    </row>
    <row r="53" spans="2:13">
      <c r="B53">
        <v>53</v>
      </c>
      <c r="C53" t="str">
        <f t="shared" si="10"/>
        <v>=IF(TRIM(INDIRECT("Columns!M53")) ="";"";TRIM(INDIRECT("Columns!M53")))</v>
      </c>
      <c r="D53" t="str">
        <f t="shared" si="11"/>
        <v>TRIM(INDIRECT("Columns!O53"))</v>
      </c>
      <c r="E53" t="str">
        <f t="shared" si="12"/>
        <v>TRIM(INDIRECT("Columns!M53"))</v>
      </c>
      <c r="F53" t="str">
        <f t="shared" si="13"/>
        <v>TRIM(INDIRECT("Columns!D53"))</v>
      </c>
      <c r="G53" t="str">
        <f t="shared" si="14"/>
        <v>=IF(TRIM(INDIRECT("Columns!D53")) ="";C53;TRIM(INDIRECT("Columns!D53")))</v>
      </c>
      <c r="H53" s="190" t="str">
        <f t="shared" si="15"/>
        <v>=IF(TRIM(INDIRECT("Columns!O53"))="";"";TRIM(INDIRECT("Columns!O53")))</v>
      </c>
      <c r="I53" t="str">
        <f t="shared" si="16"/>
        <v>=IF(INDIRECT("Columns!H53")=1;</v>
      </c>
      <c r="J53" t="str">
        <f t="shared" si="17"/>
        <v>=IF(INDIRECT("Columns!H53")=1;"bigint";INDIRECT("Columns!C53"))</v>
      </c>
      <c r="L53" t="str">
        <f t="shared" si="18"/>
        <v>=IF(INDIRECT("Columns!H53")=1;"";"A";IF(TRIM(INDIRECT("Columns!O53"))="";TRIM(INDIRECT("Columns!M53"));TRIM(INDIRECT("Columns!O53"))))</v>
      </c>
      <c r="M53" t="str">
        <f t="shared" si="19"/>
        <v>IF(TRIM(INDIRECT("Columns!O53"))="";TRIM(INDIRECT("Columns!M53"));TRIM(INDIRECT("Columns!O53")))</v>
      </c>
    </row>
    <row r="54" spans="2:13">
      <c r="B54">
        <v>54</v>
      </c>
      <c r="C54" t="str">
        <f t="shared" si="10"/>
        <v>=IF(TRIM(INDIRECT("Columns!M54")) ="";"";TRIM(INDIRECT("Columns!M54")))</v>
      </c>
      <c r="D54" t="str">
        <f t="shared" si="11"/>
        <v>TRIM(INDIRECT("Columns!O54"))</v>
      </c>
      <c r="E54" t="str">
        <f t="shared" si="12"/>
        <v>TRIM(INDIRECT("Columns!M54"))</v>
      </c>
      <c r="F54" t="str">
        <f t="shared" si="13"/>
        <v>TRIM(INDIRECT("Columns!D54"))</v>
      </c>
      <c r="G54" t="str">
        <f t="shared" si="14"/>
        <v>=IF(TRIM(INDIRECT("Columns!D54")) ="";C54;TRIM(INDIRECT("Columns!D54")))</v>
      </c>
      <c r="H54" s="190" t="str">
        <f t="shared" si="15"/>
        <v>=IF(TRIM(INDIRECT("Columns!O54"))="";"";TRIM(INDIRECT("Columns!O54")))</v>
      </c>
      <c r="I54" t="str">
        <f t="shared" si="16"/>
        <v>=IF(INDIRECT("Columns!H54")=1;</v>
      </c>
      <c r="J54" t="str">
        <f t="shared" si="17"/>
        <v>=IF(INDIRECT("Columns!H54")=1;"bigint";INDIRECT("Columns!C54"))</v>
      </c>
      <c r="L54" t="str">
        <f t="shared" si="18"/>
        <v>=IF(INDIRECT("Columns!H54")=1;"";"A";IF(TRIM(INDIRECT("Columns!O54"))="";TRIM(INDIRECT("Columns!M54"));TRIM(INDIRECT("Columns!O54"))))</v>
      </c>
      <c r="M54" t="str">
        <f t="shared" si="19"/>
        <v>IF(TRIM(INDIRECT("Columns!O54"))="";TRIM(INDIRECT("Columns!M54"));TRIM(INDIRECT("Columns!O54")))</v>
      </c>
    </row>
    <row r="55" spans="2:13">
      <c r="B55">
        <v>55</v>
      </c>
      <c r="C55" t="str">
        <f t="shared" si="10"/>
        <v>=IF(TRIM(INDIRECT("Columns!M55")) ="";"";TRIM(INDIRECT("Columns!M55")))</v>
      </c>
      <c r="D55" t="str">
        <f t="shared" si="11"/>
        <v>TRIM(INDIRECT("Columns!O55"))</v>
      </c>
      <c r="E55" t="str">
        <f t="shared" si="12"/>
        <v>TRIM(INDIRECT("Columns!M55"))</v>
      </c>
      <c r="F55" t="str">
        <f t="shared" si="13"/>
        <v>TRIM(INDIRECT("Columns!D55"))</v>
      </c>
      <c r="G55" t="str">
        <f t="shared" si="14"/>
        <v>=IF(TRIM(INDIRECT("Columns!D55")) ="";C55;TRIM(INDIRECT("Columns!D55")))</v>
      </c>
      <c r="H55" s="190" t="str">
        <f t="shared" si="15"/>
        <v>=IF(TRIM(INDIRECT("Columns!O55"))="";"";TRIM(INDIRECT("Columns!O55")))</v>
      </c>
      <c r="I55" t="str">
        <f t="shared" si="16"/>
        <v>=IF(INDIRECT("Columns!H55")=1;</v>
      </c>
      <c r="J55" t="str">
        <f t="shared" si="17"/>
        <v>=IF(INDIRECT("Columns!H55")=1;"bigint";INDIRECT("Columns!C55"))</v>
      </c>
      <c r="L55" t="str">
        <f t="shared" si="18"/>
        <v>=IF(INDIRECT("Columns!H55")=1;"";"A";IF(TRIM(INDIRECT("Columns!O55"))="";TRIM(INDIRECT("Columns!M55"));TRIM(INDIRECT("Columns!O55"))))</v>
      </c>
      <c r="M55" t="str">
        <f t="shared" si="19"/>
        <v>IF(TRIM(INDIRECT("Columns!O55"))="";TRIM(INDIRECT("Columns!M55"));TRIM(INDIRECT("Columns!O55")))</v>
      </c>
    </row>
    <row r="56" spans="2:13">
      <c r="B56">
        <v>56</v>
      </c>
      <c r="C56" t="str">
        <f t="shared" si="10"/>
        <v>=IF(TRIM(INDIRECT("Columns!M56")) ="";"";TRIM(INDIRECT("Columns!M56")))</v>
      </c>
      <c r="D56" t="str">
        <f t="shared" si="11"/>
        <v>TRIM(INDIRECT("Columns!O56"))</v>
      </c>
      <c r="E56" t="str">
        <f t="shared" si="12"/>
        <v>TRIM(INDIRECT("Columns!M56"))</v>
      </c>
      <c r="F56" t="str">
        <f t="shared" si="13"/>
        <v>TRIM(INDIRECT("Columns!D56"))</v>
      </c>
      <c r="G56" t="str">
        <f t="shared" si="14"/>
        <v>=IF(TRIM(INDIRECT("Columns!D56")) ="";C56;TRIM(INDIRECT("Columns!D56")))</v>
      </c>
      <c r="H56" s="190" t="str">
        <f t="shared" si="15"/>
        <v>=IF(TRIM(INDIRECT("Columns!O56"))="";"";TRIM(INDIRECT("Columns!O56")))</v>
      </c>
      <c r="I56" t="str">
        <f t="shared" si="16"/>
        <v>=IF(INDIRECT("Columns!H56")=1;</v>
      </c>
      <c r="J56" t="str">
        <f t="shared" si="17"/>
        <v>=IF(INDIRECT("Columns!H56")=1;"bigint";INDIRECT("Columns!C56"))</v>
      </c>
      <c r="L56" t="str">
        <f t="shared" si="18"/>
        <v>=IF(INDIRECT("Columns!H56")=1;"";"A";IF(TRIM(INDIRECT("Columns!O56"))="";TRIM(INDIRECT("Columns!M56"));TRIM(INDIRECT("Columns!O56"))))</v>
      </c>
      <c r="M56" t="str">
        <f t="shared" si="19"/>
        <v>IF(TRIM(INDIRECT("Columns!O56"))="";TRIM(INDIRECT("Columns!M56"));TRIM(INDIRECT("Columns!O56")))</v>
      </c>
    </row>
    <row r="57" spans="2:13">
      <c r="B57">
        <v>57</v>
      </c>
      <c r="C57" t="str">
        <f t="shared" si="10"/>
        <v>=IF(TRIM(INDIRECT("Columns!M57")) ="";"";TRIM(INDIRECT("Columns!M57")))</v>
      </c>
      <c r="D57" t="str">
        <f t="shared" si="11"/>
        <v>TRIM(INDIRECT("Columns!O57"))</v>
      </c>
      <c r="E57" t="str">
        <f t="shared" si="12"/>
        <v>TRIM(INDIRECT("Columns!M57"))</v>
      </c>
      <c r="F57" t="str">
        <f t="shared" si="13"/>
        <v>TRIM(INDIRECT("Columns!D57"))</v>
      </c>
      <c r="G57" t="str">
        <f t="shared" si="14"/>
        <v>=IF(TRIM(INDIRECT("Columns!D57")) ="";C57;TRIM(INDIRECT("Columns!D57")))</v>
      </c>
      <c r="H57" s="190" t="str">
        <f t="shared" si="15"/>
        <v>=IF(TRIM(INDIRECT("Columns!O57"))="";"";TRIM(INDIRECT("Columns!O57")))</v>
      </c>
      <c r="I57" t="str">
        <f t="shared" si="16"/>
        <v>=IF(INDIRECT("Columns!H57")=1;</v>
      </c>
      <c r="J57" t="str">
        <f t="shared" si="17"/>
        <v>=IF(INDIRECT("Columns!H57")=1;"bigint";INDIRECT("Columns!C57"))</v>
      </c>
      <c r="L57" t="str">
        <f t="shared" si="18"/>
        <v>=IF(INDIRECT("Columns!H57")=1;"";"A";IF(TRIM(INDIRECT("Columns!O57"))="";TRIM(INDIRECT("Columns!M57"));TRIM(INDIRECT("Columns!O57"))))</v>
      </c>
      <c r="M57" t="str">
        <f t="shared" si="19"/>
        <v>IF(TRIM(INDIRECT("Columns!O57"))="";TRIM(INDIRECT("Columns!M57"));TRIM(INDIRECT("Columns!O57")))</v>
      </c>
    </row>
    <row r="58" spans="2:13">
      <c r="B58">
        <v>58</v>
      </c>
      <c r="C58" t="str">
        <f t="shared" si="10"/>
        <v>=IF(TRIM(INDIRECT("Columns!M58")) ="";"";TRIM(INDIRECT("Columns!M58")))</v>
      </c>
      <c r="D58" t="str">
        <f t="shared" si="11"/>
        <v>TRIM(INDIRECT("Columns!O58"))</v>
      </c>
      <c r="E58" t="str">
        <f t="shared" si="12"/>
        <v>TRIM(INDIRECT("Columns!M58"))</v>
      </c>
      <c r="F58" t="str">
        <f t="shared" si="13"/>
        <v>TRIM(INDIRECT("Columns!D58"))</v>
      </c>
      <c r="G58" t="str">
        <f t="shared" si="14"/>
        <v>=IF(TRIM(INDIRECT("Columns!D58")) ="";C58;TRIM(INDIRECT("Columns!D58")))</v>
      </c>
      <c r="H58" s="190" t="str">
        <f t="shared" si="15"/>
        <v>=IF(TRIM(INDIRECT("Columns!O58"))="";"";TRIM(INDIRECT("Columns!O58")))</v>
      </c>
      <c r="I58" t="str">
        <f t="shared" si="16"/>
        <v>=IF(INDIRECT("Columns!H58")=1;</v>
      </c>
      <c r="J58" t="str">
        <f t="shared" si="17"/>
        <v>=IF(INDIRECT("Columns!H58")=1;"bigint";INDIRECT("Columns!C58"))</v>
      </c>
      <c r="L58" t="str">
        <f t="shared" si="18"/>
        <v>=IF(INDIRECT("Columns!H58")=1;"";"A";IF(TRIM(INDIRECT("Columns!O58"))="";TRIM(INDIRECT("Columns!M58"));TRIM(INDIRECT("Columns!O58"))))</v>
      </c>
      <c r="M58" t="str">
        <f t="shared" si="19"/>
        <v>IF(TRIM(INDIRECT("Columns!O58"))="";TRIM(INDIRECT("Columns!M58"));TRIM(INDIRECT("Columns!O58")))</v>
      </c>
    </row>
    <row r="59" spans="2:13">
      <c r="B59">
        <v>59</v>
      </c>
      <c r="C59" t="str">
        <f t="shared" si="10"/>
        <v>=IF(TRIM(INDIRECT("Columns!M59")) ="";"";TRIM(INDIRECT("Columns!M59")))</v>
      </c>
      <c r="D59" t="str">
        <f t="shared" si="11"/>
        <v>TRIM(INDIRECT("Columns!O59"))</v>
      </c>
      <c r="E59" t="str">
        <f t="shared" si="12"/>
        <v>TRIM(INDIRECT("Columns!M59"))</v>
      </c>
      <c r="F59" t="str">
        <f t="shared" si="13"/>
        <v>TRIM(INDIRECT("Columns!D59"))</v>
      </c>
      <c r="G59" t="str">
        <f t="shared" si="14"/>
        <v>=IF(TRIM(INDIRECT("Columns!D59")) ="";C59;TRIM(INDIRECT("Columns!D59")))</v>
      </c>
      <c r="H59" s="190" t="str">
        <f t="shared" si="15"/>
        <v>=IF(TRIM(INDIRECT("Columns!O59"))="";"";TRIM(INDIRECT("Columns!O59")))</v>
      </c>
      <c r="I59" t="str">
        <f t="shared" si="16"/>
        <v>=IF(INDIRECT("Columns!H59")=1;</v>
      </c>
      <c r="J59" t="str">
        <f t="shared" si="17"/>
        <v>=IF(INDIRECT("Columns!H59")=1;"bigint";INDIRECT("Columns!C59"))</v>
      </c>
      <c r="L59" t="str">
        <f t="shared" si="18"/>
        <v>=IF(INDIRECT("Columns!H59")=1;"";"A";IF(TRIM(INDIRECT("Columns!O59"))="";TRIM(INDIRECT("Columns!M59"));TRIM(INDIRECT("Columns!O59"))))</v>
      </c>
      <c r="M59" t="str">
        <f t="shared" si="19"/>
        <v>IF(TRIM(INDIRECT("Columns!O59"))="";TRIM(INDIRECT("Columns!M59"));TRIM(INDIRECT("Columns!O59")))</v>
      </c>
    </row>
    <row r="60" spans="2:13">
      <c r="B60">
        <v>60</v>
      </c>
      <c r="C60" t="str">
        <f t="shared" si="10"/>
        <v>=IF(TRIM(INDIRECT("Columns!M60")) ="";"";TRIM(INDIRECT("Columns!M60")))</v>
      </c>
      <c r="D60" t="str">
        <f t="shared" si="11"/>
        <v>TRIM(INDIRECT("Columns!O60"))</v>
      </c>
      <c r="E60" t="str">
        <f t="shared" si="12"/>
        <v>TRIM(INDIRECT("Columns!M60"))</v>
      </c>
      <c r="F60" t="str">
        <f t="shared" si="13"/>
        <v>TRIM(INDIRECT("Columns!D60"))</v>
      </c>
      <c r="G60" t="str">
        <f t="shared" si="14"/>
        <v>=IF(TRIM(INDIRECT("Columns!D60")) ="";C60;TRIM(INDIRECT("Columns!D60")))</v>
      </c>
      <c r="H60" s="190" t="str">
        <f t="shared" si="15"/>
        <v>=IF(TRIM(INDIRECT("Columns!O60"))="";"";TRIM(INDIRECT("Columns!O60")))</v>
      </c>
      <c r="I60" t="str">
        <f t="shared" si="16"/>
        <v>=IF(INDIRECT("Columns!H60")=1;</v>
      </c>
      <c r="J60" t="str">
        <f t="shared" si="17"/>
        <v>=IF(INDIRECT("Columns!H60")=1;"bigint";INDIRECT("Columns!C60"))</v>
      </c>
      <c r="L60" t="str">
        <f t="shared" si="18"/>
        <v>=IF(INDIRECT("Columns!H60")=1;"";"A";IF(TRIM(INDIRECT("Columns!O60"))="";TRIM(INDIRECT("Columns!M60"));TRIM(INDIRECT("Columns!O60"))))</v>
      </c>
      <c r="M60" t="str">
        <f t="shared" si="19"/>
        <v>IF(TRIM(INDIRECT("Columns!O60"))="";TRIM(INDIRECT("Columns!M60"));TRIM(INDIRECT("Columns!O60")))</v>
      </c>
    </row>
    <row r="61" spans="2:13">
      <c r="B61">
        <v>61</v>
      </c>
      <c r="C61" t="str">
        <f t="shared" si="10"/>
        <v>=IF(TRIM(INDIRECT("Columns!M61")) ="";"";TRIM(INDIRECT("Columns!M61")))</v>
      </c>
      <c r="D61" t="str">
        <f t="shared" si="11"/>
        <v>TRIM(INDIRECT("Columns!O61"))</v>
      </c>
      <c r="E61" t="str">
        <f t="shared" si="12"/>
        <v>TRIM(INDIRECT("Columns!M61"))</v>
      </c>
      <c r="F61" t="str">
        <f t="shared" si="13"/>
        <v>TRIM(INDIRECT("Columns!D61"))</v>
      </c>
      <c r="G61" t="str">
        <f t="shared" si="14"/>
        <v>=IF(TRIM(INDIRECT("Columns!D61")) ="";C61;TRIM(INDIRECT("Columns!D61")))</v>
      </c>
      <c r="H61" s="190" t="str">
        <f t="shared" si="15"/>
        <v>=IF(TRIM(INDIRECT("Columns!O61"))="";"";TRIM(INDIRECT("Columns!O61")))</v>
      </c>
      <c r="I61" t="str">
        <f t="shared" si="16"/>
        <v>=IF(INDIRECT("Columns!H61")=1;</v>
      </c>
      <c r="J61" t="str">
        <f t="shared" si="17"/>
        <v>=IF(INDIRECT("Columns!H61")=1;"bigint";INDIRECT("Columns!C61"))</v>
      </c>
      <c r="L61" t="str">
        <f t="shared" si="18"/>
        <v>=IF(INDIRECT("Columns!H61")=1;"";"A";IF(TRIM(INDIRECT("Columns!O61"))="";TRIM(INDIRECT("Columns!M61"));TRIM(INDIRECT("Columns!O61"))))</v>
      </c>
      <c r="M61" t="str">
        <f t="shared" si="19"/>
        <v>IF(TRIM(INDIRECT("Columns!O61"))="";TRIM(INDIRECT("Columns!M61"));TRIM(INDIRECT("Columns!O61")))</v>
      </c>
    </row>
    <row r="62" spans="2:13">
      <c r="B62">
        <v>62</v>
      </c>
      <c r="C62" t="str">
        <f t="shared" si="10"/>
        <v>=IF(TRIM(INDIRECT("Columns!M62")) ="";"";TRIM(INDIRECT("Columns!M62")))</v>
      </c>
      <c r="D62" t="str">
        <f t="shared" si="11"/>
        <v>TRIM(INDIRECT("Columns!O62"))</v>
      </c>
      <c r="E62" t="str">
        <f t="shared" si="12"/>
        <v>TRIM(INDIRECT("Columns!M62"))</v>
      </c>
      <c r="F62" t="str">
        <f t="shared" si="13"/>
        <v>TRIM(INDIRECT("Columns!D62"))</v>
      </c>
      <c r="G62" t="str">
        <f t="shared" si="14"/>
        <v>=IF(TRIM(INDIRECT("Columns!D62")) ="";C62;TRIM(INDIRECT("Columns!D62")))</v>
      </c>
      <c r="H62" s="190" t="str">
        <f t="shared" si="15"/>
        <v>=IF(TRIM(INDIRECT("Columns!O62"))="";"";TRIM(INDIRECT("Columns!O62")))</v>
      </c>
      <c r="I62" t="str">
        <f t="shared" si="16"/>
        <v>=IF(INDIRECT("Columns!H62")=1;</v>
      </c>
      <c r="J62" t="str">
        <f t="shared" si="17"/>
        <v>=IF(INDIRECT("Columns!H62")=1;"bigint";INDIRECT("Columns!C62"))</v>
      </c>
      <c r="L62" t="str">
        <f t="shared" si="18"/>
        <v>=IF(INDIRECT("Columns!H62")=1;"";"A";IF(TRIM(INDIRECT("Columns!O62"))="";TRIM(INDIRECT("Columns!M62"));TRIM(INDIRECT("Columns!O62"))))</v>
      </c>
      <c r="M62" t="str">
        <f t="shared" si="19"/>
        <v>IF(TRIM(INDIRECT("Columns!O62"))="";TRIM(INDIRECT("Columns!M62"));TRIM(INDIRECT("Columns!O62")))</v>
      </c>
    </row>
    <row r="63" spans="2:13">
      <c r="B63">
        <v>63</v>
      </c>
      <c r="C63" t="str">
        <f t="shared" si="10"/>
        <v>=IF(TRIM(INDIRECT("Columns!M63")) ="";"";TRIM(INDIRECT("Columns!M63")))</v>
      </c>
      <c r="D63" t="str">
        <f t="shared" si="11"/>
        <v>TRIM(INDIRECT("Columns!O63"))</v>
      </c>
      <c r="E63" t="str">
        <f t="shared" si="12"/>
        <v>TRIM(INDIRECT("Columns!M63"))</v>
      </c>
      <c r="F63" t="str">
        <f t="shared" si="13"/>
        <v>TRIM(INDIRECT("Columns!D63"))</v>
      </c>
      <c r="G63" t="str">
        <f t="shared" si="14"/>
        <v>=IF(TRIM(INDIRECT("Columns!D63")) ="";C63;TRIM(INDIRECT("Columns!D63")))</v>
      </c>
      <c r="H63" s="190" t="str">
        <f t="shared" si="15"/>
        <v>=IF(TRIM(INDIRECT("Columns!O63"))="";"";TRIM(INDIRECT("Columns!O63")))</v>
      </c>
      <c r="I63" t="str">
        <f t="shared" si="16"/>
        <v>=IF(INDIRECT("Columns!H63")=1;</v>
      </c>
      <c r="J63" t="str">
        <f t="shared" si="17"/>
        <v>=IF(INDIRECT("Columns!H63")=1;"bigint";INDIRECT("Columns!C63"))</v>
      </c>
      <c r="L63" t="str">
        <f t="shared" si="18"/>
        <v>=IF(INDIRECT("Columns!H63")=1;"";"A";IF(TRIM(INDIRECT("Columns!O63"))="";TRIM(INDIRECT("Columns!M63"));TRIM(INDIRECT("Columns!O63"))))</v>
      </c>
      <c r="M63" t="str">
        <f t="shared" si="19"/>
        <v>IF(TRIM(INDIRECT("Columns!O63"))="";TRIM(INDIRECT("Columns!M63"));TRIM(INDIRECT("Columns!O63")))</v>
      </c>
    </row>
    <row r="64" spans="2:13">
      <c r="B64">
        <v>64</v>
      </c>
      <c r="C64" t="str">
        <f t="shared" si="10"/>
        <v>=IF(TRIM(INDIRECT("Columns!M64")) ="";"";TRIM(INDIRECT("Columns!M64")))</v>
      </c>
      <c r="D64" t="str">
        <f t="shared" si="11"/>
        <v>TRIM(INDIRECT("Columns!O64"))</v>
      </c>
      <c r="E64" t="str">
        <f t="shared" si="12"/>
        <v>TRIM(INDIRECT("Columns!M64"))</v>
      </c>
      <c r="F64" t="str">
        <f t="shared" si="13"/>
        <v>TRIM(INDIRECT("Columns!D64"))</v>
      </c>
      <c r="G64" t="str">
        <f t="shared" si="14"/>
        <v>=IF(TRIM(INDIRECT("Columns!D64")) ="";C64;TRIM(INDIRECT("Columns!D64")))</v>
      </c>
      <c r="H64" s="190" t="str">
        <f t="shared" si="15"/>
        <v>=IF(TRIM(INDIRECT("Columns!O64"))="";"";TRIM(INDIRECT("Columns!O64")))</v>
      </c>
      <c r="I64" t="str">
        <f t="shared" si="16"/>
        <v>=IF(INDIRECT("Columns!H64")=1;</v>
      </c>
      <c r="J64" t="str">
        <f t="shared" si="17"/>
        <v>=IF(INDIRECT("Columns!H64")=1;"bigint";INDIRECT("Columns!C64"))</v>
      </c>
      <c r="L64" t="str">
        <f t="shared" si="18"/>
        <v>=IF(INDIRECT("Columns!H64")=1;"";"A";IF(TRIM(INDIRECT("Columns!O64"))="";TRIM(INDIRECT("Columns!M64"));TRIM(INDIRECT("Columns!O64"))))</v>
      </c>
      <c r="M64" t="str">
        <f t="shared" si="19"/>
        <v>IF(TRIM(INDIRECT("Columns!O64"))="";TRIM(INDIRECT("Columns!M64"));TRIM(INDIRECT("Columns!O64")))</v>
      </c>
    </row>
    <row r="65" spans="2:13">
      <c r="B65">
        <v>65</v>
      </c>
      <c r="C65" t="str">
        <f t="shared" si="10"/>
        <v>=IF(TRIM(INDIRECT("Columns!M65")) ="";"";TRIM(INDIRECT("Columns!M65")))</v>
      </c>
      <c r="D65" t="str">
        <f t="shared" si="11"/>
        <v>TRIM(INDIRECT("Columns!O65"))</v>
      </c>
      <c r="E65" t="str">
        <f t="shared" si="12"/>
        <v>TRIM(INDIRECT("Columns!M65"))</v>
      </c>
      <c r="F65" t="str">
        <f t="shared" si="13"/>
        <v>TRIM(INDIRECT("Columns!D65"))</v>
      </c>
      <c r="G65" t="str">
        <f t="shared" si="14"/>
        <v>=IF(TRIM(INDIRECT("Columns!D65")) ="";C65;TRIM(INDIRECT("Columns!D65")))</v>
      </c>
      <c r="H65" s="190" t="str">
        <f t="shared" si="15"/>
        <v>=IF(TRIM(INDIRECT("Columns!O65"))="";"";TRIM(INDIRECT("Columns!O65")))</v>
      </c>
      <c r="I65" t="str">
        <f t="shared" si="16"/>
        <v>=IF(INDIRECT("Columns!H65")=1;</v>
      </c>
      <c r="J65" t="str">
        <f t="shared" si="17"/>
        <v>=IF(INDIRECT("Columns!H65")=1;"bigint";INDIRECT("Columns!C65"))</v>
      </c>
      <c r="L65" t="str">
        <f t="shared" si="18"/>
        <v>=IF(INDIRECT("Columns!H65")=1;"";"A";IF(TRIM(INDIRECT("Columns!O65"))="";TRIM(INDIRECT("Columns!M65"));TRIM(INDIRECT("Columns!O65"))))</v>
      </c>
      <c r="M65" t="str">
        <f t="shared" si="19"/>
        <v>IF(TRIM(INDIRECT("Columns!O65"))="";TRIM(INDIRECT("Columns!M65"));TRIM(INDIRECT("Columns!O65")))</v>
      </c>
    </row>
    <row r="66" spans="2:13">
      <c r="B66">
        <v>66</v>
      </c>
      <c r="C66" t="str">
        <f t="shared" ref="C66:C97" si="20">"=IF(" &amp; E66 &amp; " ="""";"""";" &amp; E66 &amp; ")"</f>
        <v>=IF(TRIM(INDIRECT("Columns!M66")) ="";"";TRIM(INDIRECT("Columns!M66")))</v>
      </c>
      <c r="D66" t="str">
        <f t="shared" ref="D66:D97" si="21">"TRIM(INDIRECT(""" &amp; $Q$2 &amp; "!" &amp; $Q$4 &amp; B66 &amp; """" &amp; "))"</f>
        <v>TRIM(INDIRECT("Columns!O66"))</v>
      </c>
      <c r="E66" t="str">
        <f t="shared" ref="E66:E97" si="22">"TRIM(INDIRECT(""" &amp; $Q$2 &amp; "!" &amp; $Q$7 &amp; B66 &amp; """" &amp; "))"</f>
        <v>TRIM(INDIRECT("Columns!M66"))</v>
      </c>
      <c r="F66" t="str">
        <f t="shared" ref="F66:F97" si="23">"TRIM(INDIRECT("""&amp;$Q$2&amp;"!"&amp;"D"&amp;B66&amp;""""&amp;"))"</f>
        <v>TRIM(INDIRECT("Columns!D66"))</v>
      </c>
      <c r="G66" t="str">
        <f t="shared" ref="G66:G97" si="24">"=IF(" &amp; F66 &amp; " ="""";C" &amp; B66 &amp; ";" &amp; F66 &amp; ")"</f>
        <v>=IF(TRIM(INDIRECT("Columns!D66")) ="";C66;TRIM(INDIRECT("Columns!D66")))</v>
      </c>
      <c r="H66" s="190" t="str">
        <f t="shared" ref="H66:H97" si="25">"=IF("&amp;D66&amp;"="""";"""";" &amp; D66 &amp; ")"</f>
        <v>=IF(TRIM(INDIRECT("Columns!O66"))="";"";TRIM(INDIRECT("Columns!O66")))</v>
      </c>
      <c r="I66" t="str">
        <f t="shared" ref="I66:I97" si="26">"=IF(INDIRECT(""" &amp; $Q$2 &amp; "!" &amp; "H" &amp; B66 &amp; """" &amp; ")=1;"</f>
        <v>=IF(INDIRECT("Columns!H66")=1;</v>
      </c>
      <c r="J66" t="str">
        <f t="shared" ref="J66:J97" si="27">I66&amp;"""bigint"";INDIRECT("""&amp;$Q$2&amp;"!C"&amp; B66 &amp; """))"</f>
        <v>=IF(INDIRECT("Columns!H66")=1;"bigint";INDIRECT("Columns!C66"))</v>
      </c>
      <c r="L66" t="str">
        <f t="shared" ref="L66:L97" si="28">"=IF(INDIRECT(""" &amp; $Q$2 &amp; "!" &amp; "H" &amp; B66 &amp; """" &amp; ")=1;"""";""A"";" &amp; M66 &amp; ")"</f>
        <v>=IF(INDIRECT("Columns!H66")=1;"";"A";IF(TRIM(INDIRECT("Columns!O66"))="";TRIM(INDIRECT("Columns!M66"));TRIM(INDIRECT("Columns!O66"))))</v>
      </c>
      <c r="M66" t="str">
        <f t="shared" si="19"/>
        <v>IF(TRIM(INDIRECT("Columns!O66"))="";TRIM(INDIRECT("Columns!M66"));TRIM(INDIRECT("Columns!O66")))</v>
      </c>
    </row>
    <row r="67" spans="2:13">
      <c r="B67">
        <v>67</v>
      </c>
      <c r="C67" t="str">
        <f t="shared" si="20"/>
        <v>=IF(TRIM(INDIRECT("Columns!M67")) ="";"";TRIM(INDIRECT("Columns!M67")))</v>
      </c>
      <c r="D67" t="str">
        <f t="shared" si="21"/>
        <v>TRIM(INDIRECT("Columns!O67"))</v>
      </c>
      <c r="E67" t="str">
        <f t="shared" si="22"/>
        <v>TRIM(INDIRECT("Columns!M67"))</v>
      </c>
      <c r="F67" t="str">
        <f t="shared" si="23"/>
        <v>TRIM(INDIRECT("Columns!D67"))</v>
      </c>
      <c r="G67" t="str">
        <f t="shared" si="24"/>
        <v>=IF(TRIM(INDIRECT("Columns!D67")) ="";C67;TRIM(INDIRECT("Columns!D67")))</v>
      </c>
      <c r="H67" s="190" t="str">
        <f t="shared" si="25"/>
        <v>=IF(TRIM(INDIRECT("Columns!O67"))="";"";TRIM(INDIRECT("Columns!O67")))</v>
      </c>
      <c r="I67" t="str">
        <f t="shared" si="26"/>
        <v>=IF(INDIRECT("Columns!H67")=1;</v>
      </c>
      <c r="J67" t="str">
        <f t="shared" si="27"/>
        <v>=IF(INDIRECT("Columns!H67")=1;"bigint";INDIRECT("Columns!C67"))</v>
      </c>
      <c r="L67" t="str">
        <f t="shared" si="28"/>
        <v>=IF(INDIRECT("Columns!H67")=1;"";"A";IF(TRIM(INDIRECT("Columns!O67"))="";TRIM(INDIRECT("Columns!M67"));TRIM(INDIRECT("Columns!O67"))))</v>
      </c>
      <c r="M67" t="str">
        <f t="shared" si="19"/>
        <v>IF(TRIM(INDIRECT("Columns!O67"))="";TRIM(INDIRECT("Columns!M67"));TRIM(INDIRECT("Columns!O67")))</v>
      </c>
    </row>
    <row r="68" spans="2:13">
      <c r="B68">
        <v>68</v>
      </c>
      <c r="C68" t="str">
        <f t="shared" si="20"/>
        <v>=IF(TRIM(INDIRECT("Columns!M68")) ="";"";TRIM(INDIRECT("Columns!M68")))</v>
      </c>
      <c r="D68" t="str">
        <f t="shared" si="21"/>
        <v>TRIM(INDIRECT("Columns!O68"))</v>
      </c>
      <c r="E68" t="str">
        <f t="shared" si="22"/>
        <v>TRIM(INDIRECT("Columns!M68"))</v>
      </c>
      <c r="F68" t="str">
        <f t="shared" si="23"/>
        <v>TRIM(INDIRECT("Columns!D68"))</v>
      </c>
      <c r="G68" t="str">
        <f t="shared" si="24"/>
        <v>=IF(TRIM(INDIRECT("Columns!D68")) ="";C68;TRIM(INDIRECT("Columns!D68")))</v>
      </c>
      <c r="H68" s="190" t="str">
        <f t="shared" si="25"/>
        <v>=IF(TRIM(INDIRECT("Columns!O68"))="";"";TRIM(INDIRECT("Columns!O68")))</v>
      </c>
      <c r="I68" t="str">
        <f t="shared" si="26"/>
        <v>=IF(INDIRECT("Columns!H68")=1;</v>
      </c>
      <c r="J68" t="str">
        <f t="shared" si="27"/>
        <v>=IF(INDIRECT("Columns!H68")=1;"bigint";INDIRECT("Columns!C68"))</v>
      </c>
      <c r="L68" t="str">
        <f t="shared" si="28"/>
        <v>=IF(INDIRECT("Columns!H68")=1;"";"A";IF(TRIM(INDIRECT("Columns!O68"))="";TRIM(INDIRECT("Columns!M68"));TRIM(INDIRECT("Columns!O68"))))</v>
      </c>
      <c r="M68" t="str">
        <f t="shared" si="19"/>
        <v>IF(TRIM(INDIRECT("Columns!O68"))="";TRIM(INDIRECT("Columns!M68"));TRIM(INDIRECT("Columns!O68")))</v>
      </c>
    </row>
    <row r="69" spans="2:13">
      <c r="B69">
        <v>69</v>
      </c>
      <c r="C69" t="str">
        <f t="shared" si="20"/>
        <v>=IF(TRIM(INDIRECT("Columns!M69")) ="";"";TRIM(INDIRECT("Columns!M69")))</v>
      </c>
      <c r="D69" t="str">
        <f t="shared" si="21"/>
        <v>TRIM(INDIRECT("Columns!O69"))</v>
      </c>
      <c r="E69" t="str">
        <f t="shared" si="22"/>
        <v>TRIM(INDIRECT("Columns!M69"))</v>
      </c>
      <c r="F69" t="str">
        <f t="shared" si="23"/>
        <v>TRIM(INDIRECT("Columns!D69"))</v>
      </c>
      <c r="G69" t="str">
        <f t="shared" si="24"/>
        <v>=IF(TRIM(INDIRECT("Columns!D69")) ="";C69;TRIM(INDIRECT("Columns!D69")))</v>
      </c>
      <c r="H69" s="190" t="str">
        <f t="shared" si="25"/>
        <v>=IF(TRIM(INDIRECT("Columns!O69"))="";"";TRIM(INDIRECT("Columns!O69")))</v>
      </c>
      <c r="I69" t="str">
        <f t="shared" si="26"/>
        <v>=IF(INDIRECT("Columns!H69")=1;</v>
      </c>
      <c r="J69" t="str">
        <f t="shared" si="27"/>
        <v>=IF(INDIRECT("Columns!H69")=1;"bigint";INDIRECT("Columns!C69"))</v>
      </c>
      <c r="L69" t="str">
        <f t="shared" si="28"/>
        <v>=IF(INDIRECT("Columns!H69")=1;"";"A";IF(TRIM(INDIRECT("Columns!O69"))="";TRIM(INDIRECT("Columns!M69"));TRIM(INDIRECT("Columns!O69"))))</v>
      </c>
      <c r="M69" t="str">
        <f t="shared" si="19"/>
        <v>IF(TRIM(INDIRECT("Columns!O69"))="";TRIM(INDIRECT("Columns!M69"));TRIM(INDIRECT("Columns!O69")))</v>
      </c>
    </row>
    <row r="70" spans="2:13">
      <c r="B70">
        <v>70</v>
      </c>
      <c r="C70" t="str">
        <f t="shared" si="20"/>
        <v>=IF(TRIM(INDIRECT("Columns!M70")) ="";"";TRIM(INDIRECT("Columns!M70")))</v>
      </c>
      <c r="D70" t="str">
        <f t="shared" si="21"/>
        <v>TRIM(INDIRECT("Columns!O70"))</v>
      </c>
      <c r="E70" t="str">
        <f t="shared" si="22"/>
        <v>TRIM(INDIRECT("Columns!M70"))</v>
      </c>
      <c r="F70" t="str">
        <f t="shared" si="23"/>
        <v>TRIM(INDIRECT("Columns!D70"))</v>
      </c>
      <c r="G70" t="str">
        <f t="shared" si="24"/>
        <v>=IF(TRIM(INDIRECT("Columns!D70")) ="";C70;TRIM(INDIRECT("Columns!D70")))</v>
      </c>
      <c r="H70" s="190" t="str">
        <f t="shared" si="25"/>
        <v>=IF(TRIM(INDIRECT("Columns!O70"))="";"";TRIM(INDIRECT("Columns!O70")))</v>
      </c>
      <c r="I70" t="str">
        <f t="shared" si="26"/>
        <v>=IF(INDIRECT("Columns!H70")=1;</v>
      </c>
      <c r="J70" t="str">
        <f t="shared" si="27"/>
        <v>=IF(INDIRECT("Columns!H70")=1;"bigint";INDIRECT("Columns!C70"))</v>
      </c>
      <c r="L70" t="str">
        <f t="shared" si="28"/>
        <v>=IF(INDIRECT("Columns!H70")=1;"";"A";IF(TRIM(INDIRECT("Columns!O70"))="";TRIM(INDIRECT("Columns!M70"));TRIM(INDIRECT("Columns!O70"))))</v>
      </c>
      <c r="M70" t="str">
        <f t="shared" si="19"/>
        <v>IF(TRIM(INDIRECT("Columns!O70"))="";TRIM(INDIRECT("Columns!M70"));TRIM(INDIRECT("Columns!O70")))</v>
      </c>
    </row>
    <row r="71" spans="2:13">
      <c r="B71">
        <v>71</v>
      </c>
      <c r="C71" t="str">
        <f t="shared" si="20"/>
        <v>=IF(TRIM(INDIRECT("Columns!M71")) ="";"";TRIM(INDIRECT("Columns!M71")))</v>
      </c>
      <c r="D71" t="str">
        <f t="shared" si="21"/>
        <v>TRIM(INDIRECT("Columns!O71"))</v>
      </c>
      <c r="E71" t="str">
        <f t="shared" si="22"/>
        <v>TRIM(INDIRECT("Columns!M71"))</v>
      </c>
      <c r="F71" t="str">
        <f t="shared" si="23"/>
        <v>TRIM(INDIRECT("Columns!D71"))</v>
      </c>
      <c r="G71" t="str">
        <f t="shared" si="24"/>
        <v>=IF(TRIM(INDIRECT("Columns!D71")) ="";C71;TRIM(INDIRECT("Columns!D71")))</v>
      </c>
      <c r="H71" s="190" t="str">
        <f t="shared" si="25"/>
        <v>=IF(TRIM(INDIRECT("Columns!O71"))="";"";TRIM(INDIRECT("Columns!O71")))</v>
      </c>
      <c r="I71" t="str">
        <f t="shared" si="26"/>
        <v>=IF(INDIRECT("Columns!H71")=1;</v>
      </c>
      <c r="J71" t="str">
        <f t="shared" si="27"/>
        <v>=IF(INDIRECT("Columns!H71")=1;"bigint";INDIRECT("Columns!C71"))</v>
      </c>
      <c r="L71" t="str">
        <f t="shared" si="28"/>
        <v>=IF(INDIRECT("Columns!H71")=1;"";"A";IF(TRIM(INDIRECT("Columns!O71"))="";TRIM(INDIRECT("Columns!M71"));TRIM(INDIRECT("Columns!O71"))))</v>
      </c>
      <c r="M71" t="str">
        <f t="shared" si="19"/>
        <v>IF(TRIM(INDIRECT("Columns!O71"))="";TRIM(INDIRECT("Columns!M71"));TRIM(INDIRECT("Columns!O71")))</v>
      </c>
    </row>
    <row r="72" spans="2:13">
      <c r="B72">
        <v>72</v>
      </c>
      <c r="C72" t="str">
        <f t="shared" si="20"/>
        <v>=IF(TRIM(INDIRECT("Columns!M72")) ="";"";TRIM(INDIRECT("Columns!M72")))</v>
      </c>
      <c r="D72" t="str">
        <f t="shared" si="21"/>
        <v>TRIM(INDIRECT("Columns!O72"))</v>
      </c>
      <c r="E72" t="str">
        <f t="shared" si="22"/>
        <v>TRIM(INDIRECT("Columns!M72"))</v>
      </c>
      <c r="F72" t="str">
        <f t="shared" si="23"/>
        <v>TRIM(INDIRECT("Columns!D72"))</v>
      </c>
      <c r="G72" t="str">
        <f t="shared" si="24"/>
        <v>=IF(TRIM(INDIRECT("Columns!D72")) ="";C72;TRIM(INDIRECT("Columns!D72")))</v>
      </c>
      <c r="H72" s="190" t="str">
        <f t="shared" si="25"/>
        <v>=IF(TRIM(INDIRECT("Columns!O72"))="";"";TRIM(INDIRECT("Columns!O72")))</v>
      </c>
      <c r="I72" t="str">
        <f t="shared" si="26"/>
        <v>=IF(INDIRECT("Columns!H72")=1;</v>
      </c>
      <c r="J72" t="str">
        <f t="shared" si="27"/>
        <v>=IF(INDIRECT("Columns!H72")=1;"bigint";INDIRECT("Columns!C72"))</v>
      </c>
      <c r="L72" t="str">
        <f t="shared" si="28"/>
        <v>=IF(INDIRECT("Columns!H72")=1;"";"A";IF(TRIM(INDIRECT("Columns!O72"))="";TRIM(INDIRECT("Columns!M72"));TRIM(INDIRECT("Columns!O72"))))</v>
      </c>
      <c r="M72" t="str">
        <f t="shared" si="19"/>
        <v>IF(TRIM(INDIRECT("Columns!O72"))="";TRIM(INDIRECT("Columns!M72"));TRIM(INDIRECT("Columns!O72")))</v>
      </c>
    </row>
    <row r="73" spans="2:13">
      <c r="B73">
        <v>73</v>
      </c>
      <c r="C73" t="str">
        <f t="shared" si="20"/>
        <v>=IF(TRIM(INDIRECT("Columns!M73")) ="";"";TRIM(INDIRECT("Columns!M73")))</v>
      </c>
      <c r="D73" t="str">
        <f t="shared" si="21"/>
        <v>TRIM(INDIRECT("Columns!O73"))</v>
      </c>
      <c r="E73" t="str">
        <f t="shared" si="22"/>
        <v>TRIM(INDIRECT("Columns!M73"))</v>
      </c>
      <c r="F73" t="str">
        <f t="shared" si="23"/>
        <v>TRIM(INDIRECT("Columns!D73"))</v>
      </c>
      <c r="G73" t="str">
        <f t="shared" si="24"/>
        <v>=IF(TRIM(INDIRECT("Columns!D73")) ="";C73;TRIM(INDIRECT("Columns!D73")))</v>
      </c>
      <c r="H73" s="190" t="str">
        <f t="shared" si="25"/>
        <v>=IF(TRIM(INDIRECT("Columns!O73"))="";"";TRIM(INDIRECT("Columns!O73")))</v>
      </c>
      <c r="I73" t="str">
        <f t="shared" si="26"/>
        <v>=IF(INDIRECT("Columns!H73")=1;</v>
      </c>
      <c r="J73" t="str">
        <f t="shared" si="27"/>
        <v>=IF(INDIRECT("Columns!H73")=1;"bigint";INDIRECT("Columns!C73"))</v>
      </c>
      <c r="L73" t="str">
        <f t="shared" si="28"/>
        <v>=IF(INDIRECT("Columns!H73")=1;"";"A";IF(TRIM(INDIRECT("Columns!O73"))="";TRIM(INDIRECT("Columns!M73"));TRIM(INDIRECT("Columns!O73"))))</v>
      </c>
      <c r="M73" t="str">
        <f t="shared" si="19"/>
        <v>IF(TRIM(INDIRECT("Columns!O73"))="";TRIM(INDIRECT("Columns!M73"));TRIM(INDIRECT("Columns!O73")))</v>
      </c>
    </row>
    <row r="74" spans="2:13">
      <c r="B74">
        <v>74</v>
      </c>
      <c r="C74" t="str">
        <f t="shared" si="20"/>
        <v>=IF(TRIM(INDIRECT("Columns!M74")) ="";"";TRIM(INDIRECT("Columns!M74")))</v>
      </c>
      <c r="D74" t="str">
        <f t="shared" si="21"/>
        <v>TRIM(INDIRECT("Columns!O74"))</v>
      </c>
      <c r="E74" t="str">
        <f t="shared" si="22"/>
        <v>TRIM(INDIRECT("Columns!M74"))</v>
      </c>
      <c r="F74" t="str">
        <f t="shared" si="23"/>
        <v>TRIM(INDIRECT("Columns!D74"))</v>
      </c>
      <c r="G74" t="str">
        <f t="shared" si="24"/>
        <v>=IF(TRIM(INDIRECT("Columns!D74")) ="";C74;TRIM(INDIRECT("Columns!D74")))</v>
      </c>
      <c r="H74" s="190" t="str">
        <f t="shared" si="25"/>
        <v>=IF(TRIM(INDIRECT("Columns!O74"))="";"";TRIM(INDIRECT("Columns!O74")))</v>
      </c>
      <c r="I74" t="str">
        <f t="shared" si="26"/>
        <v>=IF(INDIRECT("Columns!H74")=1;</v>
      </c>
      <c r="J74" t="str">
        <f t="shared" si="27"/>
        <v>=IF(INDIRECT("Columns!H74")=1;"bigint";INDIRECT("Columns!C74"))</v>
      </c>
      <c r="L74" t="str">
        <f t="shared" si="28"/>
        <v>=IF(INDIRECT("Columns!H74")=1;"";"A";IF(TRIM(INDIRECT("Columns!O74"))="";TRIM(INDIRECT("Columns!M74"));TRIM(INDIRECT("Columns!O74"))))</v>
      </c>
      <c r="M74" t="str">
        <f t="shared" si="19"/>
        <v>IF(TRIM(INDIRECT("Columns!O74"))="";TRIM(INDIRECT("Columns!M74"));TRIM(INDIRECT("Columns!O74")))</v>
      </c>
    </row>
    <row r="75" spans="2:13">
      <c r="B75">
        <v>75</v>
      </c>
      <c r="C75" t="str">
        <f t="shared" si="20"/>
        <v>=IF(TRIM(INDIRECT("Columns!M75")) ="";"";TRIM(INDIRECT("Columns!M75")))</v>
      </c>
      <c r="D75" t="str">
        <f t="shared" si="21"/>
        <v>TRIM(INDIRECT("Columns!O75"))</v>
      </c>
      <c r="E75" t="str">
        <f t="shared" si="22"/>
        <v>TRIM(INDIRECT("Columns!M75"))</v>
      </c>
      <c r="F75" t="str">
        <f t="shared" si="23"/>
        <v>TRIM(INDIRECT("Columns!D75"))</v>
      </c>
      <c r="G75" t="str">
        <f t="shared" si="24"/>
        <v>=IF(TRIM(INDIRECT("Columns!D75")) ="";C75;TRIM(INDIRECT("Columns!D75")))</v>
      </c>
      <c r="H75" s="190" t="str">
        <f t="shared" si="25"/>
        <v>=IF(TRIM(INDIRECT("Columns!O75"))="";"";TRIM(INDIRECT("Columns!O75")))</v>
      </c>
      <c r="I75" t="str">
        <f t="shared" si="26"/>
        <v>=IF(INDIRECT("Columns!H75")=1;</v>
      </c>
      <c r="J75" t="str">
        <f t="shared" si="27"/>
        <v>=IF(INDIRECT("Columns!H75")=1;"bigint";INDIRECT("Columns!C75"))</v>
      </c>
      <c r="L75" t="str">
        <f t="shared" si="28"/>
        <v>=IF(INDIRECT("Columns!H75")=1;"";"A";IF(TRIM(INDIRECT("Columns!O75"))="";TRIM(INDIRECT("Columns!M75"));TRIM(INDIRECT("Columns!O75"))))</v>
      </c>
      <c r="M75" t="str">
        <f t="shared" si="19"/>
        <v>IF(TRIM(INDIRECT("Columns!O75"))="";TRIM(INDIRECT("Columns!M75"));TRIM(INDIRECT("Columns!O75")))</v>
      </c>
    </row>
    <row r="76" spans="2:13">
      <c r="B76">
        <v>76</v>
      </c>
      <c r="C76" t="str">
        <f t="shared" si="20"/>
        <v>=IF(TRIM(INDIRECT("Columns!M76")) ="";"";TRIM(INDIRECT("Columns!M76")))</v>
      </c>
      <c r="D76" t="str">
        <f t="shared" si="21"/>
        <v>TRIM(INDIRECT("Columns!O76"))</v>
      </c>
      <c r="E76" t="str">
        <f t="shared" si="22"/>
        <v>TRIM(INDIRECT("Columns!M76"))</v>
      </c>
      <c r="F76" t="str">
        <f t="shared" si="23"/>
        <v>TRIM(INDIRECT("Columns!D76"))</v>
      </c>
      <c r="G76" t="str">
        <f t="shared" si="24"/>
        <v>=IF(TRIM(INDIRECT("Columns!D76")) ="";C76;TRIM(INDIRECT("Columns!D76")))</v>
      </c>
      <c r="H76" s="190" t="str">
        <f t="shared" si="25"/>
        <v>=IF(TRIM(INDIRECT("Columns!O76"))="";"";TRIM(INDIRECT("Columns!O76")))</v>
      </c>
      <c r="I76" t="str">
        <f t="shared" si="26"/>
        <v>=IF(INDIRECT("Columns!H76")=1;</v>
      </c>
      <c r="J76" t="str">
        <f t="shared" si="27"/>
        <v>=IF(INDIRECT("Columns!H76")=1;"bigint";INDIRECT("Columns!C76"))</v>
      </c>
      <c r="L76" t="str">
        <f t="shared" si="28"/>
        <v>=IF(INDIRECT("Columns!H76")=1;"";"A";IF(TRIM(INDIRECT("Columns!O76"))="";TRIM(INDIRECT("Columns!M76"));TRIM(INDIRECT("Columns!O76"))))</v>
      </c>
      <c r="M76" t="str">
        <f t="shared" si="19"/>
        <v>IF(TRIM(INDIRECT("Columns!O76"))="";TRIM(INDIRECT("Columns!M76"));TRIM(INDIRECT("Columns!O76")))</v>
      </c>
    </row>
    <row r="77" spans="2:13">
      <c r="B77">
        <v>77</v>
      </c>
      <c r="C77" t="str">
        <f t="shared" si="20"/>
        <v>=IF(TRIM(INDIRECT("Columns!M77")) ="";"";TRIM(INDIRECT("Columns!M77")))</v>
      </c>
      <c r="D77" t="str">
        <f t="shared" si="21"/>
        <v>TRIM(INDIRECT("Columns!O77"))</v>
      </c>
      <c r="E77" t="str">
        <f t="shared" si="22"/>
        <v>TRIM(INDIRECT("Columns!M77"))</v>
      </c>
      <c r="F77" t="str">
        <f t="shared" si="23"/>
        <v>TRIM(INDIRECT("Columns!D77"))</v>
      </c>
      <c r="G77" t="str">
        <f t="shared" si="24"/>
        <v>=IF(TRIM(INDIRECT("Columns!D77")) ="";C77;TRIM(INDIRECT("Columns!D77")))</v>
      </c>
      <c r="H77" s="190" t="str">
        <f t="shared" si="25"/>
        <v>=IF(TRIM(INDIRECT("Columns!O77"))="";"";TRIM(INDIRECT("Columns!O77")))</v>
      </c>
      <c r="I77" t="str">
        <f t="shared" si="26"/>
        <v>=IF(INDIRECT("Columns!H77")=1;</v>
      </c>
      <c r="J77" t="str">
        <f t="shared" si="27"/>
        <v>=IF(INDIRECT("Columns!H77")=1;"bigint";INDIRECT("Columns!C77"))</v>
      </c>
      <c r="L77" t="str">
        <f t="shared" si="28"/>
        <v>=IF(INDIRECT("Columns!H77")=1;"";"A";IF(TRIM(INDIRECT("Columns!O77"))="";TRIM(INDIRECT("Columns!M77"));TRIM(INDIRECT("Columns!O77"))))</v>
      </c>
      <c r="M77" t="str">
        <f t="shared" si="19"/>
        <v>IF(TRIM(INDIRECT("Columns!O77"))="";TRIM(INDIRECT("Columns!M77"));TRIM(INDIRECT("Columns!O77")))</v>
      </c>
    </row>
    <row r="78" spans="2:13">
      <c r="B78">
        <v>78</v>
      </c>
      <c r="C78" t="str">
        <f t="shared" si="20"/>
        <v>=IF(TRIM(INDIRECT("Columns!M78")) ="";"";TRIM(INDIRECT("Columns!M78")))</v>
      </c>
      <c r="D78" t="str">
        <f t="shared" si="21"/>
        <v>TRIM(INDIRECT("Columns!O78"))</v>
      </c>
      <c r="E78" t="str">
        <f t="shared" si="22"/>
        <v>TRIM(INDIRECT("Columns!M78"))</v>
      </c>
      <c r="F78" t="str">
        <f t="shared" si="23"/>
        <v>TRIM(INDIRECT("Columns!D78"))</v>
      </c>
      <c r="G78" t="str">
        <f t="shared" si="24"/>
        <v>=IF(TRIM(INDIRECT("Columns!D78")) ="";C78;TRIM(INDIRECT("Columns!D78")))</v>
      </c>
      <c r="H78" s="190" t="str">
        <f t="shared" si="25"/>
        <v>=IF(TRIM(INDIRECT("Columns!O78"))="";"";TRIM(INDIRECT("Columns!O78")))</v>
      </c>
      <c r="I78" t="str">
        <f t="shared" si="26"/>
        <v>=IF(INDIRECT("Columns!H78")=1;</v>
      </c>
      <c r="J78" t="str">
        <f t="shared" si="27"/>
        <v>=IF(INDIRECT("Columns!H78")=1;"bigint";INDIRECT("Columns!C78"))</v>
      </c>
      <c r="L78" t="str">
        <f t="shared" si="28"/>
        <v>=IF(INDIRECT("Columns!H78")=1;"";"A";IF(TRIM(INDIRECT("Columns!O78"))="";TRIM(INDIRECT("Columns!M78"));TRIM(INDIRECT("Columns!O78"))))</v>
      </c>
      <c r="M78" t="str">
        <f t="shared" si="19"/>
        <v>IF(TRIM(INDIRECT("Columns!O78"))="";TRIM(INDIRECT("Columns!M78"));TRIM(INDIRECT("Columns!O78")))</v>
      </c>
    </row>
    <row r="79" spans="2:13">
      <c r="B79">
        <v>79</v>
      </c>
      <c r="C79" t="str">
        <f t="shared" si="20"/>
        <v>=IF(TRIM(INDIRECT("Columns!M79")) ="";"";TRIM(INDIRECT("Columns!M79")))</v>
      </c>
      <c r="D79" t="str">
        <f t="shared" si="21"/>
        <v>TRIM(INDIRECT("Columns!O79"))</v>
      </c>
      <c r="E79" t="str">
        <f t="shared" si="22"/>
        <v>TRIM(INDIRECT("Columns!M79"))</v>
      </c>
      <c r="F79" t="str">
        <f t="shared" si="23"/>
        <v>TRIM(INDIRECT("Columns!D79"))</v>
      </c>
      <c r="G79" t="str">
        <f t="shared" si="24"/>
        <v>=IF(TRIM(INDIRECT("Columns!D79")) ="";C79;TRIM(INDIRECT("Columns!D79")))</v>
      </c>
      <c r="H79" s="190" t="str">
        <f t="shared" si="25"/>
        <v>=IF(TRIM(INDIRECT("Columns!O79"))="";"";TRIM(INDIRECT("Columns!O79")))</v>
      </c>
      <c r="I79" t="str">
        <f t="shared" si="26"/>
        <v>=IF(INDIRECT("Columns!H79")=1;</v>
      </c>
      <c r="J79" t="str">
        <f t="shared" si="27"/>
        <v>=IF(INDIRECT("Columns!H79")=1;"bigint";INDIRECT("Columns!C79"))</v>
      </c>
      <c r="L79" t="str">
        <f t="shared" si="28"/>
        <v>=IF(INDIRECT("Columns!H79")=1;"";"A";IF(TRIM(INDIRECT("Columns!O79"))="";TRIM(INDIRECT("Columns!M79"));TRIM(INDIRECT("Columns!O79"))))</v>
      </c>
      <c r="M79" t="str">
        <f t="shared" si="19"/>
        <v>IF(TRIM(INDIRECT("Columns!O79"))="";TRIM(INDIRECT("Columns!M79"));TRIM(INDIRECT("Columns!O79")))</v>
      </c>
    </row>
    <row r="80" spans="2:13">
      <c r="B80">
        <v>80</v>
      </c>
      <c r="C80" t="str">
        <f t="shared" si="20"/>
        <v>=IF(TRIM(INDIRECT("Columns!M80")) ="";"";TRIM(INDIRECT("Columns!M80")))</v>
      </c>
      <c r="D80" t="str">
        <f t="shared" si="21"/>
        <v>TRIM(INDIRECT("Columns!O80"))</v>
      </c>
      <c r="E80" t="str">
        <f t="shared" si="22"/>
        <v>TRIM(INDIRECT("Columns!M80"))</v>
      </c>
      <c r="F80" t="str">
        <f t="shared" si="23"/>
        <v>TRIM(INDIRECT("Columns!D80"))</v>
      </c>
      <c r="G80" t="str">
        <f t="shared" si="24"/>
        <v>=IF(TRIM(INDIRECT("Columns!D80")) ="";C80;TRIM(INDIRECT("Columns!D80")))</v>
      </c>
      <c r="H80" s="190" t="str">
        <f t="shared" si="25"/>
        <v>=IF(TRIM(INDIRECT("Columns!O80"))="";"";TRIM(INDIRECT("Columns!O80")))</v>
      </c>
      <c r="I80" t="str">
        <f t="shared" si="26"/>
        <v>=IF(INDIRECT("Columns!H80")=1;</v>
      </c>
      <c r="J80" t="str">
        <f t="shared" si="27"/>
        <v>=IF(INDIRECT("Columns!H80")=1;"bigint";INDIRECT("Columns!C80"))</v>
      </c>
      <c r="L80" t="str">
        <f t="shared" si="28"/>
        <v>=IF(INDIRECT("Columns!H80")=1;"";"A";IF(TRIM(INDIRECT("Columns!O80"))="";TRIM(INDIRECT("Columns!M80"));TRIM(INDIRECT("Columns!O80"))))</v>
      </c>
      <c r="M80" t="str">
        <f t="shared" si="19"/>
        <v>IF(TRIM(INDIRECT("Columns!O80"))="";TRIM(INDIRECT("Columns!M80"));TRIM(INDIRECT("Columns!O80")))</v>
      </c>
    </row>
    <row r="81" spans="2:13">
      <c r="B81">
        <v>81</v>
      </c>
      <c r="C81" t="str">
        <f t="shared" si="20"/>
        <v>=IF(TRIM(INDIRECT("Columns!M81")) ="";"";TRIM(INDIRECT("Columns!M81")))</v>
      </c>
      <c r="D81" t="str">
        <f t="shared" si="21"/>
        <v>TRIM(INDIRECT("Columns!O81"))</v>
      </c>
      <c r="E81" t="str">
        <f t="shared" si="22"/>
        <v>TRIM(INDIRECT("Columns!M81"))</v>
      </c>
      <c r="F81" t="str">
        <f t="shared" si="23"/>
        <v>TRIM(INDIRECT("Columns!D81"))</v>
      </c>
      <c r="G81" t="str">
        <f t="shared" si="24"/>
        <v>=IF(TRIM(INDIRECT("Columns!D81")) ="";C81;TRIM(INDIRECT("Columns!D81")))</v>
      </c>
      <c r="H81" s="190" t="str">
        <f t="shared" si="25"/>
        <v>=IF(TRIM(INDIRECT("Columns!O81"))="";"";TRIM(INDIRECT("Columns!O81")))</v>
      </c>
      <c r="I81" t="str">
        <f t="shared" si="26"/>
        <v>=IF(INDIRECT("Columns!H81")=1;</v>
      </c>
      <c r="J81" t="str">
        <f t="shared" si="27"/>
        <v>=IF(INDIRECT("Columns!H81")=1;"bigint";INDIRECT("Columns!C81"))</v>
      </c>
      <c r="L81" t="str">
        <f t="shared" si="28"/>
        <v>=IF(INDIRECT("Columns!H81")=1;"";"A";IF(TRIM(INDIRECT("Columns!O81"))="";TRIM(INDIRECT("Columns!M81"));TRIM(INDIRECT("Columns!O81"))))</v>
      </c>
      <c r="M81" t="str">
        <f t="shared" si="19"/>
        <v>IF(TRIM(INDIRECT("Columns!O81"))="";TRIM(INDIRECT("Columns!M81"));TRIM(INDIRECT("Columns!O81")))</v>
      </c>
    </row>
    <row r="82" spans="2:13">
      <c r="B82">
        <v>82</v>
      </c>
      <c r="C82" t="str">
        <f t="shared" si="20"/>
        <v>=IF(TRIM(INDIRECT("Columns!M82")) ="";"";TRIM(INDIRECT("Columns!M82")))</v>
      </c>
      <c r="D82" t="str">
        <f t="shared" si="21"/>
        <v>TRIM(INDIRECT("Columns!O82"))</v>
      </c>
      <c r="E82" t="str">
        <f t="shared" si="22"/>
        <v>TRIM(INDIRECT("Columns!M82"))</v>
      </c>
      <c r="F82" t="str">
        <f t="shared" si="23"/>
        <v>TRIM(INDIRECT("Columns!D82"))</v>
      </c>
      <c r="G82" t="str">
        <f t="shared" si="24"/>
        <v>=IF(TRIM(INDIRECT("Columns!D82")) ="";C82;TRIM(INDIRECT("Columns!D82")))</v>
      </c>
      <c r="H82" s="190" t="str">
        <f t="shared" si="25"/>
        <v>=IF(TRIM(INDIRECT("Columns!O82"))="";"";TRIM(INDIRECT("Columns!O82")))</v>
      </c>
      <c r="I82" t="str">
        <f t="shared" si="26"/>
        <v>=IF(INDIRECT("Columns!H82")=1;</v>
      </c>
      <c r="J82" t="str">
        <f t="shared" si="27"/>
        <v>=IF(INDIRECT("Columns!H82")=1;"bigint";INDIRECT("Columns!C82"))</v>
      </c>
      <c r="L82" t="str">
        <f t="shared" si="28"/>
        <v>=IF(INDIRECT("Columns!H82")=1;"";"A";IF(TRIM(INDIRECT("Columns!O82"))="";TRIM(INDIRECT("Columns!M82"));TRIM(INDIRECT("Columns!O82"))))</v>
      </c>
      <c r="M82" t="str">
        <f t="shared" si="19"/>
        <v>IF(TRIM(INDIRECT("Columns!O82"))="";TRIM(INDIRECT("Columns!M82"));TRIM(INDIRECT("Columns!O82")))</v>
      </c>
    </row>
    <row r="83" spans="2:13">
      <c r="B83">
        <v>83</v>
      </c>
      <c r="C83" t="str">
        <f t="shared" si="20"/>
        <v>=IF(TRIM(INDIRECT("Columns!M83")) ="";"";TRIM(INDIRECT("Columns!M83")))</v>
      </c>
      <c r="D83" t="str">
        <f t="shared" si="21"/>
        <v>TRIM(INDIRECT("Columns!O83"))</v>
      </c>
      <c r="E83" t="str">
        <f t="shared" si="22"/>
        <v>TRIM(INDIRECT("Columns!M83"))</v>
      </c>
      <c r="F83" t="str">
        <f t="shared" si="23"/>
        <v>TRIM(INDIRECT("Columns!D83"))</v>
      </c>
      <c r="G83" t="str">
        <f t="shared" si="24"/>
        <v>=IF(TRIM(INDIRECT("Columns!D83")) ="";C83;TRIM(INDIRECT("Columns!D83")))</v>
      </c>
      <c r="H83" s="190" t="str">
        <f t="shared" si="25"/>
        <v>=IF(TRIM(INDIRECT("Columns!O83"))="";"";TRIM(INDIRECT("Columns!O83")))</v>
      </c>
      <c r="I83" t="str">
        <f t="shared" si="26"/>
        <v>=IF(INDIRECT("Columns!H83")=1;</v>
      </c>
      <c r="J83" t="str">
        <f t="shared" si="27"/>
        <v>=IF(INDIRECT("Columns!H83")=1;"bigint";INDIRECT("Columns!C83"))</v>
      </c>
      <c r="L83" t="str">
        <f t="shared" si="28"/>
        <v>=IF(INDIRECT("Columns!H83")=1;"";"A";IF(TRIM(INDIRECT("Columns!O83"))="";TRIM(INDIRECT("Columns!M83"));TRIM(INDIRECT("Columns!O83"))))</v>
      </c>
      <c r="M83" t="str">
        <f t="shared" si="19"/>
        <v>IF(TRIM(INDIRECT("Columns!O83"))="";TRIM(INDIRECT("Columns!M83"));TRIM(INDIRECT("Columns!O83")))</v>
      </c>
    </row>
    <row r="84" spans="2:13">
      <c r="B84">
        <v>84</v>
      </c>
      <c r="C84" t="str">
        <f t="shared" si="20"/>
        <v>=IF(TRIM(INDIRECT("Columns!M84")) ="";"";TRIM(INDIRECT("Columns!M84")))</v>
      </c>
      <c r="D84" t="str">
        <f t="shared" si="21"/>
        <v>TRIM(INDIRECT("Columns!O84"))</v>
      </c>
      <c r="E84" t="str">
        <f t="shared" si="22"/>
        <v>TRIM(INDIRECT("Columns!M84"))</v>
      </c>
      <c r="F84" t="str">
        <f t="shared" si="23"/>
        <v>TRIM(INDIRECT("Columns!D84"))</v>
      </c>
      <c r="G84" t="str">
        <f t="shared" si="24"/>
        <v>=IF(TRIM(INDIRECT("Columns!D84")) ="";C84;TRIM(INDIRECT("Columns!D84")))</v>
      </c>
      <c r="H84" s="190" t="str">
        <f t="shared" si="25"/>
        <v>=IF(TRIM(INDIRECT("Columns!O84"))="";"";TRIM(INDIRECT("Columns!O84")))</v>
      </c>
      <c r="I84" t="str">
        <f t="shared" si="26"/>
        <v>=IF(INDIRECT("Columns!H84")=1;</v>
      </c>
      <c r="J84" t="str">
        <f t="shared" si="27"/>
        <v>=IF(INDIRECT("Columns!H84")=1;"bigint";INDIRECT("Columns!C84"))</v>
      </c>
      <c r="L84" t="str">
        <f t="shared" si="28"/>
        <v>=IF(INDIRECT("Columns!H84")=1;"";"A";IF(TRIM(INDIRECT("Columns!O84"))="";TRIM(INDIRECT("Columns!M84"));TRIM(INDIRECT("Columns!O84"))))</v>
      </c>
      <c r="M84" t="str">
        <f t="shared" ref="M84:M114" si="29">"IF("&amp;D84&amp;"="""";" &amp; E84 &amp; ";" &amp; D84 &amp; ")"</f>
        <v>IF(TRIM(INDIRECT("Columns!O84"))="";TRIM(INDIRECT("Columns!M84"));TRIM(INDIRECT("Columns!O84")))</v>
      </c>
    </row>
    <row r="85" spans="2:13">
      <c r="B85">
        <v>85</v>
      </c>
      <c r="C85" t="str">
        <f t="shared" si="20"/>
        <v>=IF(TRIM(INDIRECT("Columns!M85")) ="";"";TRIM(INDIRECT("Columns!M85")))</v>
      </c>
      <c r="D85" t="str">
        <f t="shared" si="21"/>
        <v>TRIM(INDIRECT("Columns!O85"))</v>
      </c>
      <c r="E85" t="str">
        <f t="shared" si="22"/>
        <v>TRIM(INDIRECT("Columns!M85"))</v>
      </c>
      <c r="F85" t="str">
        <f t="shared" si="23"/>
        <v>TRIM(INDIRECT("Columns!D85"))</v>
      </c>
      <c r="G85" t="str">
        <f t="shared" si="24"/>
        <v>=IF(TRIM(INDIRECT("Columns!D85")) ="";C85;TRIM(INDIRECT("Columns!D85")))</v>
      </c>
      <c r="H85" s="190" t="str">
        <f t="shared" si="25"/>
        <v>=IF(TRIM(INDIRECT("Columns!O85"))="";"";TRIM(INDIRECT("Columns!O85")))</v>
      </c>
      <c r="I85" t="str">
        <f t="shared" si="26"/>
        <v>=IF(INDIRECT("Columns!H85")=1;</v>
      </c>
      <c r="J85" t="str">
        <f t="shared" si="27"/>
        <v>=IF(INDIRECT("Columns!H85")=1;"bigint";INDIRECT("Columns!C85"))</v>
      </c>
      <c r="L85" t="str">
        <f t="shared" si="28"/>
        <v>=IF(INDIRECT("Columns!H85")=1;"";"A";IF(TRIM(INDIRECT("Columns!O85"))="";TRIM(INDIRECT("Columns!M85"));TRIM(INDIRECT("Columns!O85"))))</v>
      </c>
      <c r="M85" t="str">
        <f t="shared" si="29"/>
        <v>IF(TRIM(INDIRECT("Columns!O85"))="";TRIM(INDIRECT("Columns!M85"));TRIM(INDIRECT("Columns!O85")))</v>
      </c>
    </row>
    <row r="86" spans="2:13">
      <c r="B86">
        <v>86</v>
      </c>
      <c r="C86" t="str">
        <f t="shared" si="20"/>
        <v>=IF(TRIM(INDIRECT("Columns!M86")) ="";"";TRIM(INDIRECT("Columns!M86")))</v>
      </c>
      <c r="D86" t="str">
        <f t="shared" si="21"/>
        <v>TRIM(INDIRECT("Columns!O86"))</v>
      </c>
      <c r="E86" t="str">
        <f t="shared" si="22"/>
        <v>TRIM(INDIRECT("Columns!M86"))</v>
      </c>
      <c r="F86" t="str">
        <f t="shared" si="23"/>
        <v>TRIM(INDIRECT("Columns!D86"))</v>
      </c>
      <c r="G86" t="str">
        <f t="shared" si="24"/>
        <v>=IF(TRIM(INDIRECT("Columns!D86")) ="";C86;TRIM(INDIRECT("Columns!D86")))</v>
      </c>
      <c r="H86" s="190" t="str">
        <f t="shared" si="25"/>
        <v>=IF(TRIM(INDIRECT("Columns!O86"))="";"";TRIM(INDIRECT("Columns!O86")))</v>
      </c>
      <c r="I86" t="str">
        <f t="shared" si="26"/>
        <v>=IF(INDIRECT("Columns!H86")=1;</v>
      </c>
      <c r="J86" t="str">
        <f t="shared" si="27"/>
        <v>=IF(INDIRECT("Columns!H86")=1;"bigint";INDIRECT("Columns!C86"))</v>
      </c>
      <c r="L86" t="str">
        <f t="shared" si="28"/>
        <v>=IF(INDIRECT("Columns!H86")=1;"";"A";IF(TRIM(INDIRECT("Columns!O86"))="";TRIM(INDIRECT("Columns!M86"));TRIM(INDIRECT("Columns!O86"))))</v>
      </c>
      <c r="M86" t="str">
        <f t="shared" si="29"/>
        <v>IF(TRIM(INDIRECT("Columns!O86"))="";TRIM(INDIRECT("Columns!M86"));TRIM(INDIRECT("Columns!O86")))</v>
      </c>
    </row>
    <row r="87" spans="2:13">
      <c r="B87">
        <v>87</v>
      </c>
      <c r="C87" t="str">
        <f t="shared" si="20"/>
        <v>=IF(TRIM(INDIRECT("Columns!M87")) ="";"";TRIM(INDIRECT("Columns!M87")))</v>
      </c>
      <c r="D87" t="str">
        <f t="shared" si="21"/>
        <v>TRIM(INDIRECT("Columns!O87"))</v>
      </c>
      <c r="E87" t="str">
        <f t="shared" si="22"/>
        <v>TRIM(INDIRECT("Columns!M87"))</v>
      </c>
      <c r="F87" t="str">
        <f t="shared" si="23"/>
        <v>TRIM(INDIRECT("Columns!D87"))</v>
      </c>
      <c r="G87" t="str">
        <f t="shared" si="24"/>
        <v>=IF(TRIM(INDIRECT("Columns!D87")) ="";C87;TRIM(INDIRECT("Columns!D87")))</v>
      </c>
      <c r="H87" s="190" t="str">
        <f t="shared" si="25"/>
        <v>=IF(TRIM(INDIRECT("Columns!O87"))="";"";TRIM(INDIRECT("Columns!O87")))</v>
      </c>
      <c r="I87" t="str">
        <f t="shared" si="26"/>
        <v>=IF(INDIRECT("Columns!H87")=1;</v>
      </c>
      <c r="J87" t="str">
        <f t="shared" si="27"/>
        <v>=IF(INDIRECT("Columns!H87")=1;"bigint";INDIRECT("Columns!C87"))</v>
      </c>
      <c r="L87" t="str">
        <f t="shared" si="28"/>
        <v>=IF(INDIRECT("Columns!H87")=1;"";"A";IF(TRIM(INDIRECT("Columns!O87"))="";TRIM(INDIRECT("Columns!M87"));TRIM(INDIRECT("Columns!O87"))))</v>
      </c>
      <c r="M87" t="str">
        <f t="shared" si="29"/>
        <v>IF(TRIM(INDIRECT("Columns!O87"))="";TRIM(INDIRECT("Columns!M87"));TRIM(INDIRECT("Columns!O87")))</v>
      </c>
    </row>
    <row r="88" spans="2:13">
      <c r="B88">
        <v>88</v>
      </c>
      <c r="C88" t="str">
        <f t="shared" si="20"/>
        <v>=IF(TRIM(INDIRECT("Columns!M88")) ="";"";TRIM(INDIRECT("Columns!M88")))</v>
      </c>
      <c r="D88" t="str">
        <f t="shared" si="21"/>
        <v>TRIM(INDIRECT("Columns!O88"))</v>
      </c>
      <c r="E88" t="str">
        <f t="shared" si="22"/>
        <v>TRIM(INDIRECT("Columns!M88"))</v>
      </c>
      <c r="F88" t="str">
        <f t="shared" si="23"/>
        <v>TRIM(INDIRECT("Columns!D88"))</v>
      </c>
      <c r="G88" t="str">
        <f t="shared" si="24"/>
        <v>=IF(TRIM(INDIRECT("Columns!D88")) ="";C88;TRIM(INDIRECT("Columns!D88")))</v>
      </c>
      <c r="H88" s="190" t="str">
        <f t="shared" si="25"/>
        <v>=IF(TRIM(INDIRECT("Columns!O88"))="";"";TRIM(INDIRECT("Columns!O88")))</v>
      </c>
      <c r="I88" t="str">
        <f t="shared" si="26"/>
        <v>=IF(INDIRECT("Columns!H88")=1;</v>
      </c>
      <c r="J88" t="str">
        <f t="shared" si="27"/>
        <v>=IF(INDIRECT("Columns!H88")=1;"bigint";INDIRECT("Columns!C88"))</v>
      </c>
      <c r="L88" t="str">
        <f t="shared" si="28"/>
        <v>=IF(INDIRECT("Columns!H88")=1;"";"A";IF(TRIM(INDIRECT("Columns!O88"))="";TRIM(INDIRECT("Columns!M88"));TRIM(INDIRECT("Columns!O88"))))</v>
      </c>
      <c r="M88" t="str">
        <f t="shared" si="29"/>
        <v>IF(TRIM(INDIRECT("Columns!O88"))="";TRIM(INDIRECT("Columns!M88"));TRIM(INDIRECT("Columns!O88")))</v>
      </c>
    </row>
    <row r="89" spans="2:13">
      <c r="B89">
        <v>89</v>
      </c>
      <c r="C89" t="str">
        <f t="shared" si="20"/>
        <v>=IF(TRIM(INDIRECT("Columns!M89")) ="";"";TRIM(INDIRECT("Columns!M89")))</v>
      </c>
      <c r="D89" t="str">
        <f t="shared" si="21"/>
        <v>TRIM(INDIRECT("Columns!O89"))</v>
      </c>
      <c r="E89" t="str">
        <f t="shared" si="22"/>
        <v>TRIM(INDIRECT("Columns!M89"))</v>
      </c>
      <c r="F89" t="str">
        <f t="shared" si="23"/>
        <v>TRIM(INDIRECT("Columns!D89"))</v>
      </c>
      <c r="G89" t="str">
        <f t="shared" si="24"/>
        <v>=IF(TRIM(INDIRECT("Columns!D89")) ="";C89;TRIM(INDIRECT("Columns!D89")))</v>
      </c>
      <c r="H89" s="190" t="str">
        <f t="shared" si="25"/>
        <v>=IF(TRIM(INDIRECT("Columns!O89"))="";"";TRIM(INDIRECT("Columns!O89")))</v>
      </c>
      <c r="I89" t="str">
        <f t="shared" si="26"/>
        <v>=IF(INDIRECT("Columns!H89")=1;</v>
      </c>
      <c r="J89" t="str">
        <f t="shared" si="27"/>
        <v>=IF(INDIRECT("Columns!H89")=1;"bigint";INDIRECT("Columns!C89"))</v>
      </c>
      <c r="L89" t="str">
        <f t="shared" si="28"/>
        <v>=IF(INDIRECT("Columns!H89")=1;"";"A";IF(TRIM(INDIRECT("Columns!O89"))="";TRIM(INDIRECT("Columns!M89"));TRIM(INDIRECT("Columns!O89"))))</v>
      </c>
      <c r="M89" t="str">
        <f t="shared" si="29"/>
        <v>IF(TRIM(INDIRECT("Columns!O89"))="";TRIM(INDIRECT("Columns!M89"));TRIM(INDIRECT("Columns!O89")))</v>
      </c>
    </row>
    <row r="90" spans="2:13">
      <c r="B90">
        <v>90</v>
      </c>
      <c r="C90" t="str">
        <f t="shared" si="20"/>
        <v>=IF(TRIM(INDIRECT("Columns!M90")) ="";"";TRIM(INDIRECT("Columns!M90")))</v>
      </c>
      <c r="D90" t="str">
        <f t="shared" si="21"/>
        <v>TRIM(INDIRECT("Columns!O90"))</v>
      </c>
      <c r="E90" t="str">
        <f t="shared" si="22"/>
        <v>TRIM(INDIRECT("Columns!M90"))</v>
      </c>
      <c r="F90" t="str">
        <f t="shared" si="23"/>
        <v>TRIM(INDIRECT("Columns!D90"))</v>
      </c>
      <c r="G90" t="str">
        <f t="shared" si="24"/>
        <v>=IF(TRIM(INDIRECT("Columns!D90")) ="";C90;TRIM(INDIRECT("Columns!D90")))</v>
      </c>
      <c r="H90" s="190" t="str">
        <f t="shared" si="25"/>
        <v>=IF(TRIM(INDIRECT("Columns!O90"))="";"";TRIM(INDIRECT("Columns!O90")))</v>
      </c>
      <c r="I90" t="str">
        <f t="shared" si="26"/>
        <v>=IF(INDIRECT("Columns!H90")=1;</v>
      </c>
      <c r="J90" t="str">
        <f t="shared" si="27"/>
        <v>=IF(INDIRECT("Columns!H90")=1;"bigint";INDIRECT("Columns!C90"))</v>
      </c>
      <c r="L90" t="str">
        <f t="shared" si="28"/>
        <v>=IF(INDIRECT("Columns!H90")=1;"";"A";IF(TRIM(INDIRECT("Columns!O90"))="";TRIM(INDIRECT("Columns!M90"));TRIM(INDIRECT("Columns!O90"))))</v>
      </c>
      <c r="M90" t="str">
        <f t="shared" si="29"/>
        <v>IF(TRIM(INDIRECT("Columns!O90"))="";TRIM(INDIRECT("Columns!M90"));TRIM(INDIRECT("Columns!O90")))</v>
      </c>
    </row>
    <row r="91" spans="2:13">
      <c r="B91">
        <v>91</v>
      </c>
      <c r="C91" t="str">
        <f t="shared" si="20"/>
        <v>=IF(TRIM(INDIRECT("Columns!M91")) ="";"";TRIM(INDIRECT("Columns!M91")))</v>
      </c>
      <c r="D91" t="str">
        <f t="shared" si="21"/>
        <v>TRIM(INDIRECT("Columns!O91"))</v>
      </c>
      <c r="E91" t="str">
        <f t="shared" si="22"/>
        <v>TRIM(INDIRECT("Columns!M91"))</v>
      </c>
      <c r="F91" t="str">
        <f t="shared" si="23"/>
        <v>TRIM(INDIRECT("Columns!D91"))</v>
      </c>
      <c r="G91" t="str">
        <f t="shared" si="24"/>
        <v>=IF(TRIM(INDIRECT("Columns!D91")) ="";C91;TRIM(INDIRECT("Columns!D91")))</v>
      </c>
      <c r="H91" s="190" t="str">
        <f t="shared" si="25"/>
        <v>=IF(TRIM(INDIRECT("Columns!O91"))="";"";TRIM(INDIRECT("Columns!O91")))</v>
      </c>
      <c r="I91" t="str">
        <f t="shared" si="26"/>
        <v>=IF(INDIRECT("Columns!H91")=1;</v>
      </c>
      <c r="J91" t="str">
        <f t="shared" si="27"/>
        <v>=IF(INDIRECT("Columns!H91")=1;"bigint";INDIRECT("Columns!C91"))</v>
      </c>
      <c r="L91" t="str">
        <f t="shared" si="28"/>
        <v>=IF(INDIRECT("Columns!H91")=1;"";"A";IF(TRIM(INDIRECT("Columns!O91"))="";TRIM(INDIRECT("Columns!M91"));TRIM(INDIRECT("Columns!O91"))))</v>
      </c>
      <c r="M91" t="str">
        <f t="shared" si="29"/>
        <v>IF(TRIM(INDIRECT("Columns!O91"))="";TRIM(INDIRECT("Columns!M91"));TRIM(INDIRECT("Columns!O91")))</v>
      </c>
    </row>
    <row r="92" spans="2:13">
      <c r="B92">
        <v>92</v>
      </c>
      <c r="C92" t="str">
        <f t="shared" si="20"/>
        <v>=IF(TRIM(INDIRECT("Columns!M92")) ="";"";TRIM(INDIRECT("Columns!M92")))</v>
      </c>
      <c r="D92" t="str">
        <f t="shared" si="21"/>
        <v>TRIM(INDIRECT("Columns!O92"))</v>
      </c>
      <c r="E92" t="str">
        <f t="shared" si="22"/>
        <v>TRIM(INDIRECT("Columns!M92"))</v>
      </c>
      <c r="F92" t="str">
        <f t="shared" si="23"/>
        <v>TRIM(INDIRECT("Columns!D92"))</v>
      </c>
      <c r="G92" t="str">
        <f t="shared" si="24"/>
        <v>=IF(TRIM(INDIRECT("Columns!D92")) ="";C92;TRIM(INDIRECT("Columns!D92")))</v>
      </c>
      <c r="H92" s="190" t="str">
        <f t="shared" si="25"/>
        <v>=IF(TRIM(INDIRECT("Columns!O92"))="";"";TRIM(INDIRECT("Columns!O92")))</v>
      </c>
      <c r="I92" t="str">
        <f t="shared" si="26"/>
        <v>=IF(INDIRECT("Columns!H92")=1;</v>
      </c>
      <c r="J92" t="str">
        <f t="shared" si="27"/>
        <v>=IF(INDIRECT("Columns!H92")=1;"bigint";INDIRECT("Columns!C92"))</v>
      </c>
      <c r="L92" t="str">
        <f t="shared" si="28"/>
        <v>=IF(INDIRECT("Columns!H92")=1;"";"A";IF(TRIM(INDIRECT("Columns!O92"))="";TRIM(INDIRECT("Columns!M92"));TRIM(INDIRECT("Columns!O92"))))</v>
      </c>
      <c r="M92" t="str">
        <f t="shared" si="29"/>
        <v>IF(TRIM(INDIRECT("Columns!O92"))="";TRIM(INDIRECT("Columns!M92"));TRIM(INDIRECT("Columns!O92")))</v>
      </c>
    </row>
    <row r="93" spans="2:13">
      <c r="B93">
        <v>93</v>
      </c>
      <c r="C93" t="str">
        <f t="shared" si="20"/>
        <v>=IF(TRIM(INDIRECT("Columns!M93")) ="";"";TRIM(INDIRECT("Columns!M93")))</v>
      </c>
      <c r="D93" t="str">
        <f t="shared" si="21"/>
        <v>TRIM(INDIRECT("Columns!O93"))</v>
      </c>
      <c r="E93" t="str">
        <f t="shared" si="22"/>
        <v>TRIM(INDIRECT("Columns!M93"))</v>
      </c>
      <c r="F93" t="str">
        <f t="shared" si="23"/>
        <v>TRIM(INDIRECT("Columns!D93"))</v>
      </c>
      <c r="G93" t="str">
        <f t="shared" si="24"/>
        <v>=IF(TRIM(INDIRECT("Columns!D93")) ="";C93;TRIM(INDIRECT("Columns!D93")))</v>
      </c>
      <c r="H93" s="190" t="str">
        <f t="shared" si="25"/>
        <v>=IF(TRIM(INDIRECT("Columns!O93"))="";"";TRIM(INDIRECT("Columns!O93")))</v>
      </c>
      <c r="I93" t="str">
        <f t="shared" si="26"/>
        <v>=IF(INDIRECT("Columns!H93")=1;</v>
      </c>
      <c r="J93" t="str">
        <f t="shared" si="27"/>
        <v>=IF(INDIRECT("Columns!H93")=1;"bigint";INDIRECT("Columns!C93"))</v>
      </c>
      <c r="L93" t="str">
        <f t="shared" si="28"/>
        <v>=IF(INDIRECT("Columns!H93")=1;"";"A";IF(TRIM(INDIRECT("Columns!O93"))="";TRIM(INDIRECT("Columns!M93"));TRIM(INDIRECT("Columns!O93"))))</v>
      </c>
      <c r="M93" t="str">
        <f t="shared" si="29"/>
        <v>IF(TRIM(INDIRECT("Columns!O93"))="";TRIM(INDIRECT("Columns!M93"));TRIM(INDIRECT("Columns!O93")))</v>
      </c>
    </row>
    <row r="94" spans="2:13">
      <c r="B94">
        <v>94</v>
      </c>
      <c r="C94" t="str">
        <f t="shared" si="20"/>
        <v>=IF(TRIM(INDIRECT("Columns!M94")) ="";"";TRIM(INDIRECT("Columns!M94")))</v>
      </c>
      <c r="D94" t="str">
        <f t="shared" si="21"/>
        <v>TRIM(INDIRECT("Columns!O94"))</v>
      </c>
      <c r="E94" t="str">
        <f t="shared" si="22"/>
        <v>TRIM(INDIRECT("Columns!M94"))</v>
      </c>
      <c r="F94" t="str">
        <f t="shared" si="23"/>
        <v>TRIM(INDIRECT("Columns!D94"))</v>
      </c>
      <c r="G94" t="str">
        <f t="shared" si="24"/>
        <v>=IF(TRIM(INDIRECT("Columns!D94")) ="";C94;TRIM(INDIRECT("Columns!D94")))</v>
      </c>
      <c r="H94" s="190" t="str">
        <f t="shared" si="25"/>
        <v>=IF(TRIM(INDIRECT("Columns!O94"))="";"";TRIM(INDIRECT("Columns!O94")))</v>
      </c>
      <c r="I94" t="str">
        <f t="shared" si="26"/>
        <v>=IF(INDIRECT("Columns!H94")=1;</v>
      </c>
      <c r="J94" t="str">
        <f t="shared" si="27"/>
        <v>=IF(INDIRECT("Columns!H94")=1;"bigint";INDIRECT("Columns!C94"))</v>
      </c>
      <c r="L94" t="str">
        <f t="shared" si="28"/>
        <v>=IF(INDIRECT("Columns!H94")=1;"";"A";IF(TRIM(INDIRECT("Columns!O94"))="";TRIM(INDIRECT("Columns!M94"));TRIM(INDIRECT("Columns!O94"))))</v>
      </c>
      <c r="M94" t="str">
        <f t="shared" si="29"/>
        <v>IF(TRIM(INDIRECT("Columns!O94"))="";TRIM(INDIRECT("Columns!M94"));TRIM(INDIRECT("Columns!O94")))</v>
      </c>
    </row>
    <row r="95" spans="2:13">
      <c r="B95">
        <v>95</v>
      </c>
      <c r="C95" t="str">
        <f t="shared" si="20"/>
        <v>=IF(TRIM(INDIRECT("Columns!M95")) ="";"";TRIM(INDIRECT("Columns!M95")))</v>
      </c>
      <c r="D95" t="str">
        <f t="shared" si="21"/>
        <v>TRIM(INDIRECT("Columns!O95"))</v>
      </c>
      <c r="E95" t="str">
        <f t="shared" si="22"/>
        <v>TRIM(INDIRECT("Columns!M95"))</v>
      </c>
      <c r="F95" t="str">
        <f t="shared" si="23"/>
        <v>TRIM(INDIRECT("Columns!D95"))</v>
      </c>
      <c r="G95" t="str">
        <f t="shared" si="24"/>
        <v>=IF(TRIM(INDIRECT("Columns!D95")) ="";C95;TRIM(INDIRECT("Columns!D95")))</v>
      </c>
      <c r="H95" s="190" t="str">
        <f t="shared" si="25"/>
        <v>=IF(TRIM(INDIRECT("Columns!O95"))="";"";TRIM(INDIRECT("Columns!O95")))</v>
      </c>
      <c r="I95" t="str">
        <f t="shared" si="26"/>
        <v>=IF(INDIRECT("Columns!H95")=1;</v>
      </c>
      <c r="J95" t="str">
        <f t="shared" si="27"/>
        <v>=IF(INDIRECT("Columns!H95")=1;"bigint";INDIRECT("Columns!C95"))</v>
      </c>
      <c r="L95" t="str">
        <f t="shared" si="28"/>
        <v>=IF(INDIRECT("Columns!H95")=1;"";"A";IF(TRIM(INDIRECT("Columns!O95"))="";TRIM(INDIRECT("Columns!M95"));TRIM(INDIRECT("Columns!O95"))))</v>
      </c>
      <c r="M95" t="str">
        <f t="shared" si="29"/>
        <v>IF(TRIM(INDIRECT("Columns!O95"))="";TRIM(INDIRECT("Columns!M95"));TRIM(INDIRECT("Columns!O95")))</v>
      </c>
    </row>
    <row r="96" spans="2:13">
      <c r="B96">
        <v>96</v>
      </c>
      <c r="C96" t="str">
        <f t="shared" si="20"/>
        <v>=IF(TRIM(INDIRECT("Columns!M96")) ="";"";TRIM(INDIRECT("Columns!M96")))</v>
      </c>
      <c r="D96" t="str">
        <f t="shared" si="21"/>
        <v>TRIM(INDIRECT("Columns!O96"))</v>
      </c>
      <c r="E96" t="str">
        <f t="shared" si="22"/>
        <v>TRIM(INDIRECT("Columns!M96"))</v>
      </c>
      <c r="F96" t="str">
        <f t="shared" si="23"/>
        <v>TRIM(INDIRECT("Columns!D96"))</v>
      </c>
      <c r="G96" t="str">
        <f t="shared" si="24"/>
        <v>=IF(TRIM(INDIRECT("Columns!D96")) ="";C96;TRIM(INDIRECT("Columns!D96")))</v>
      </c>
      <c r="H96" s="190" t="str">
        <f t="shared" si="25"/>
        <v>=IF(TRIM(INDIRECT("Columns!O96"))="";"";TRIM(INDIRECT("Columns!O96")))</v>
      </c>
      <c r="I96" t="str">
        <f t="shared" si="26"/>
        <v>=IF(INDIRECT("Columns!H96")=1;</v>
      </c>
      <c r="J96" t="str">
        <f t="shared" si="27"/>
        <v>=IF(INDIRECT("Columns!H96")=1;"bigint";INDIRECT("Columns!C96"))</v>
      </c>
      <c r="L96" t="str">
        <f t="shared" si="28"/>
        <v>=IF(INDIRECT("Columns!H96")=1;"";"A";IF(TRIM(INDIRECT("Columns!O96"))="";TRIM(INDIRECT("Columns!M96"));TRIM(INDIRECT("Columns!O96"))))</v>
      </c>
      <c r="M96" t="str">
        <f t="shared" si="29"/>
        <v>IF(TRIM(INDIRECT("Columns!O96"))="";TRIM(INDIRECT("Columns!M96"));TRIM(INDIRECT("Columns!O96")))</v>
      </c>
    </row>
    <row r="97" spans="2:13">
      <c r="B97">
        <v>97</v>
      </c>
      <c r="C97" t="str">
        <f t="shared" si="20"/>
        <v>=IF(TRIM(INDIRECT("Columns!M97")) ="";"";TRIM(INDIRECT("Columns!M97")))</v>
      </c>
      <c r="D97" t="str">
        <f t="shared" si="21"/>
        <v>TRIM(INDIRECT("Columns!O97"))</v>
      </c>
      <c r="E97" t="str">
        <f t="shared" si="22"/>
        <v>TRIM(INDIRECT("Columns!M97"))</v>
      </c>
      <c r="F97" t="str">
        <f t="shared" si="23"/>
        <v>TRIM(INDIRECT("Columns!D97"))</v>
      </c>
      <c r="G97" t="str">
        <f t="shared" si="24"/>
        <v>=IF(TRIM(INDIRECT("Columns!D97")) ="";C97;TRIM(INDIRECT("Columns!D97")))</v>
      </c>
      <c r="H97" s="190" t="str">
        <f t="shared" si="25"/>
        <v>=IF(TRIM(INDIRECT("Columns!O97"))="";"";TRIM(INDIRECT("Columns!O97")))</v>
      </c>
      <c r="I97" t="str">
        <f t="shared" si="26"/>
        <v>=IF(INDIRECT("Columns!H97")=1;</v>
      </c>
      <c r="J97" t="str">
        <f t="shared" si="27"/>
        <v>=IF(INDIRECT("Columns!H97")=1;"bigint";INDIRECT("Columns!C97"))</v>
      </c>
      <c r="L97" t="str">
        <f t="shared" si="28"/>
        <v>=IF(INDIRECT("Columns!H97")=1;"";"A";IF(TRIM(INDIRECT("Columns!O97"))="";TRIM(INDIRECT("Columns!M97"));TRIM(INDIRECT("Columns!O97"))))</v>
      </c>
      <c r="M97" t="str">
        <f t="shared" si="29"/>
        <v>IF(TRIM(INDIRECT("Columns!O97"))="";TRIM(INDIRECT("Columns!M97"));TRIM(INDIRECT("Columns!O97")))</v>
      </c>
    </row>
    <row r="98" spans="2:13">
      <c r="B98">
        <v>98</v>
      </c>
      <c r="C98" t="str">
        <f t="shared" ref="C98:C129" si="30">"=IF(" &amp; E98 &amp; " ="""";"""";" &amp; E98 &amp; ")"</f>
        <v>=IF(TRIM(INDIRECT("Columns!M98")) ="";"";TRIM(INDIRECT("Columns!M98")))</v>
      </c>
      <c r="D98" t="str">
        <f t="shared" ref="D98:D129" si="31">"TRIM(INDIRECT(""" &amp; $Q$2 &amp; "!" &amp; $Q$4 &amp; B98 &amp; """" &amp; "))"</f>
        <v>TRIM(INDIRECT("Columns!O98"))</v>
      </c>
      <c r="E98" t="str">
        <f t="shared" ref="E98:E129" si="32">"TRIM(INDIRECT(""" &amp; $Q$2 &amp; "!" &amp; $Q$7 &amp; B98 &amp; """" &amp; "))"</f>
        <v>TRIM(INDIRECT("Columns!M98"))</v>
      </c>
      <c r="F98" t="str">
        <f t="shared" ref="F98:F129" si="33">"TRIM(INDIRECT("""&amp;$Q$2&amp;"!"&amp;"D"&amp;B98&amp;""""&amp;"))"</f>
        <v>TRIM(INDIRECT("Columns!D98"))</v>
      </c>
      <c r="G98" t="str">
        <f t="shared" ref="G98:G129" si="34">"=IF(" &amp; F98 &amp; " ="""";C" &amp; B98 &amp; ";" &amp; F98 &amp; ")"</f>
        <v>=IF(TRIM(INDIRECT("Columns!D98")) ="";C98;TRIM(INDIRECT("Columns!D98")))</v>
      </c>
      <c r="H98" s="190" t="str">
        <f t="shared" ref="H98:H129" si="35">"=IF("&amp;D98&amp;"="""";"""";" &amp; D98 &amp; ")"</f>
        <v>=IF(TRIM(INDIRECT("Columns!O98"))="";"";TRIM(INDIRECT("Columns!O98")))</v>
      </c>
      <c r="I98" t="str">
        <f t="shared" ref="I98:I129" si="36">"=IF(INDIRECT(""" &amp; $Q$2 &amp; "!" &amp; "H" &amp; B98 &amp; """" &amp; ")=1;"</f>
        <v>=IF(INDIRECT("Columns!H98")=1;</v>
      </c>
      <c r="J98" t="str">
        <f t="shared" ref="J98:J129" si="37">I98&amp;"""bigint"";INDIRECT("""&amp;$Q$2&amp;"!C"&amp; B98 &amp; """))"</f>
        <v>=IF(INDIRECT("Columns!H98")=1;"bigint";INDIRECT("Columns!C98"))</v>
      </c>
      <c r="L98" t="str">
        <f t="shared" ref="L98:L129" si="38">"=IF(INDIRECT(""" &amp; $Q$2 &amp; "!" &amp; "H" &amp; B98 &amp; """" &amp; ")=1;"""";""A"";" &amp; M98 &amp; ")"</f>
        <v>=IF(INDIRECT("Columns!H98")=1;"";"A";IF(TRIM(INDIRECT("Columns!O98"))="";TRIM(INDIRECT("Columns!M98"));TRIM(INDIRECT("Columns!O98"))))</v>
      </c>
      <c r="M98" t="str">
        <f t="shared" si="29"/>
        <v>IF(TRIM(INDIRECT("Columns!O98"))="";TRIM(INDIRECT("Columns!M98"));TRIM(INDIRECT("Columns!O98")))</v>
      </c>
    </row>
    <row r="99" spans="2:13">
      <c r="B99">
        <v>99</v>
      </c>
      <c r="C99" t="str">
        <f t="shared" si="30"/>
        <v>=IF(TRIM(INDIRECT("Columns!M99")) ="";"";TRIM(INDIRECT("Columns!M99")))</v>
      </c>
      <c r="D99" t="str">
        <f t="shared" si="31"/>
        <v>TRIM(INDIRECT("Columns!O99"))</v>
      </c>
      <c r="E99" t="str">
        <f t="shared" si="32"/>
        <v>TRIM(INDIRECT("Columns!M99"))</v>
      </c>
      <c r="F99" t="str">
        <f t="shared" si="33"/>
        <v>TRIM(INDIRECT("Columns!D99"))</v>
      </c>
      <c r="G99" t="str">
        <f t="shared" si="34"/>
        <v>=IF(TRIM(INDIRECT("Columns!D99")) ="";C99;TRIM(INDIRECT("Columns!D99")))</v>
      </c>
      <c r="H99" s="190" t="str">
        <f t="shared" si="35"/>
        <v>=IF(TRIM(INDIRECT("Columns!O99"))="";"";TRIM(INDIRECT("Columns!O99")))</v>
      </c>
      <c r="I99" t="str">
        <f t="shared" si="36"/>
        <v>=IF(INDIRECT("Columns!H99")=1;</v>
      </c>
      <c r="J99" t="str">
        <f t="shared" si="37"/>
        <v>=IF(INDIRECT("Columns!H99")=1;"bigint";INDIRECT("Columns!C99"))</v>
      </c>
      <c r="L99" t="str">
        <f t="shared" si="38"/>
        <v>=IF(INDIRECT("Columns!H99")=1;"";"A";IF(TRIM(INDIRECT("Columns!O99"))="";TRIM(INDIRECT("Columns!M99"));TRIM(INDIRECT("Columns!O99"))))</v>
      </c>
      <c r="M99" t="str">
        <f t="shared" si="29"/>
        <v>IF(TRIM(INDIRECT("Columns!O99"))="";TRIM(INDIRECT("Columns!M99"));TRIM(INDIRECT("Columns!O99")))</v>
      </c>
    </row>
    <row r="100" spans="2:13">
      <c r="B100">
        <v>100</v>
      </c>
      <c r="C100" t="str">
        <f t="shared" si="30"/>
        <v>=IF(TRIM(INDIRECT("Columns!M100")) ="";"";TRIM(INDIRECT("Columns!M100")))</v>
      </c>
      <c r="D100" t="str">
        <f t="shared" si="31"/>
        <v>TRIM(INDIRECT("Columns!O100"))</v>
      </c>
      <c r="E100" t="str">
        <f t="shared" si="32"/>
        <v>TRIM(INDIRECT("Columns!M100"))</v>
      </c>
      <c r="F100" t="str">
        <f t="shared" si="33"/>
        <v>TRIM(INDIRECT("Columns!D100"))</v>
      </c>
      <c r="G100" t="str">
        <f t="shared" si="34"/>
        <v>=IF(TRIM(INDIRECT("Columns!D100")) ="";C100;TRIM(INDIRECT("Columns!D100")))</v>
      </c>
      <c r="H100" s="190" t="str">
        <f t="shared" si="35"/>
        <v>=IF(TRIM(INDIRECT("Columns!O100"))="";"";TRIM(INDIRECT("Columns!O100")))</v>
      </c>
      <c r="I100" t="str">
        <f t="shared" si="36"/>
        <v>=IF(INDIRECT("Columns!H100")=1;</v>
      </c>
      <c r="J100" t="str">
        <f t="shared" si="37"/>
        <v>=IF(INDIRECT("Columns!H100")=1;"bigint";INDIRECT("Columns!C100"))</v>
      </c>
      <c r="L100" t="str">
        <f t="shared" si="38"/>
        <v>=IF(INDIRECT("Columns!H100")=1;"";"A";IF(TRIM(INDIRECT("Columns!O100"))="";TRIM(INDIRECT("Columns!M100"));TRIM(INDIRECT("Columns!O100"))))</v>
      </c>
      <c r="M100" t="str">
        <f t="shared" si="29"/>
        <v>IF(TRIM(INDIRECT("Columns!O100"))="";TRIM(INDIRECT("Columns!M100"));TRIM(INDIRECT("Columns!O100")))</v>
      </c>
    </row>
    <row r="101" spans="2:13">
      <c r="B101">
        <v>101</v>
      </c>
      <c r="C101" t="str">
        <f t="shared" si="30"/>
        <v>=IF(TRIM(INDIRECT("Columns!M101")) ="";"";TRIM(INDIRECT("Columns!M101")))</v>
      </c>
      <c r="D101" t="str">
        <f t="shared" si="31"/>
        <v>TRIM(INDIRECT("Columns!O101"))</v>
      </c>
      <c r="E101" t="str">
        <f t="shared" si="32"/>
        <v>TRIM(INDIRECT("Columns!M101"))</v>
      </c>
      <c r="F101" t="str">
        <f t="shared" si="33"/>
        <v>TRIM(INDIRECT("Columns!D101"))</v>
      </c>
      <c r="G101" t="str">
        <f t="shared" si="34"/>
        <v>=IF(TRIM(INDIRECT("Columns!D101")) ="";C101;TRIM(INDIRECT("Columns!D101")))</v>
      </c>
      <c r="H101" s="190" t="str">
        <f t="shared" si="35"/>
        <v>=IF(TRIM(INDIRECT("Columns!O101"))="";"";TRIM(INDIRECT("Columns!O101")))</v>
      </c>
      <c r="I101" t="str">
        <f t="shared" si="36"/>
        <v>=IF(INDIRECT("Columns!H101")=1;</v>
      </c>
      <c r="J101" t="str">
        <f t="shared" si="37"/>
        <v>=IF(INDIRECT("Columns!H101")=1;"bigint";INDIRECT("Columns!C101"))</v>
      </c>
      <c r="L101" t="str">
        <f t="shared" si="38"/>
        <v>=IF(INDIRECT("Columns!H101")=1;"";"A";IF(TRIM(INDIRECT("Columns!O101"))="";TRIM(INDIRECT("Columns!M101"));TRIM(INDIRECT("Columns!O101"))))</v>
      </c>
      <c r="M101" t="str">
        <f t="shared" si="29"/>
        <v>IF(TRIM(INDIRECT("Columns!O101"))="";TRIM(INDIRECT("Columns!M101"));TRIM(INDIRECT("Columns!O101")))</v>
      </c>
    </row>
    <row r="102" spans="2:13">
      <c r="B102">
        <v>102</v>
      </c>
      <c r="C102" t="str">
        <f t="shared" si="30"/>
        <v>=IF(TRIM(INDIRECT("Columns!M102")) ="";"";TRIM(INDIRECT("Columns!M102")))</v>
      </c>
      <c r="D102" t="str">
        <f t="shared" si="31"/>
        <v>TRIM(INDIRECT("Columns!O102"))</v>
      </c>
      <c r="E102" t="str">
        <f t="shared" si="32"/>
        <v>TRIM(INDIRECT("Columns!M102"))</v>
      </c>
      <c r="F102" t="str">
        <f t="shared" si="33"/>
        <v>TRIM(INDIRECT("Columns!D102"))</v>
      </c>
      <c r="G102" t="str">
        <f t="shared" si="34"/>
        <v>=IF(TRIM(INDIRECT("Columns!D102")) ="";C102;TRIM(INDIRECT("Columns!D102")))</v>
      </c>
      <c r="H102" s="190" t="str">
        <f t="shared" si="35"/>
        <v>=IF(TRIM(INDIRECT("Columns!O102"))="";"";TRIM(INDIRECT("Columns!O102")))</v>
      </c>
      <c r="I102" t="str">
        <f t="shared" si="36"/>
        <v>=IF(INDIRECT("Columns!H102")=1;</v>
      </c>
      <c r="J102" t="str">
        <f t="shared" si="37"/>
        <v>=IF(INDIRECT("Columns!H102")=1;"bigint";INDIRECT("Columns!C102"))</v>
      </c>
      <c r="L102" t="str">
        <f t="shared" si="38"/>
        <v>=IF(INDIRECT("Columns!H102")=1;"";"A";IF(TRIM(INDIRECT("Columns!O102"))="";TRIM(INDIRECT("Columns!M102"));TRIM(INDIRECT("Columns!O102"))))</v>
      </c>
      <c r="M102" t="str">
        <f t="shared" si="29"/>
        <v>IF(TRIM(INDIRECT("Columns!O102"))="";TRIM(INDIRECT("Columns!M102"));TRIM(INDIRECT("Columns!O102")))</v>
      </c>
    </row>
    <row r="103" spans="2:13">
      <c r="B103">
        <v>103</v>
      </c>
      <c r="C103" t="str">
        <f t="shared" si="30"/>
        <v>=IF(TRIM(INDIRECT("Columns!M103")) ="";"";TRIM(INDIRECT("Columns!M103")))</v>
      </c>
      <c r="D103" t="str">
        <f t="shared" si="31"/>
        <v>TRIM(INDIRECT("Columns!O103"))</v>
      </c>
      <c r="E103" t="str">
        <f t="shared" si="32"/>
        <v>TRIM(INDIRECT("Columns!M103"))</v>
      </c>
      <c r="F103" t="str">
        <f t="shared" si="33"/>
        <v>TRIM(INDIRECT("Columns!D103"))</v>
      </c>
      <c r="G103" t="str">
        <f t="shared" si="34"/>
        <v>=IF(TRIM(INDIRECT("Columns!D103")) ="";C103;TRIM(INDIRECT("Columns!D103")))</v>
      </c>
      <c r="H103" s="190" t="str">
        <f t="shared" si="35"/>
        <v>=IF(TRIM(INDIRECT("Columns!O103"))="";"";TRIM(INDIRECT("Columns!O103")))</v>
      </c>
      <c r="I103" t="str">
        <f t="shared" si="36"/>
        <v>=IF(INDIRECT("Columns!H103")=1;</v>
      </c>
      <c r="J103" t="str">
        <f t="shared" si="37"/>
        <v>=IF(INDIRECT("Columns!H103")=1;"bigint";INDIRECT("Columns!C103"))</v>
      </c>
      <c r="L103" t="str">
        <f t="shared" si="38"/>
        <v>=IF(INDIRECT("Columns!H103")=1;"";"A";IF(TRIM(INDIRECT("Columns!O103"))="";TRIM(INDIRECT("Columns!M103"));TRIM(INDIRECT("Columns!O103"))))</v>
      </c>
      <c r="M103" t="str">
        <f t="shared" si="29"/>
        <v>IF(TRIM(INDIRECT("Columns!O103"))="";TRIM(INDIRECT("Columns!M103"));TRIM(INDIRECT("Columns!O103")))</v>
      </c>
    </row>
    <row r="104" spans="2:13">
      <c r="B104">
        <v>104</v>
      </c>
      <c r="C104" t="str">
        <f t="shared" si="30"/>
        <v>=IF(TRIM(INDIRECT("Columns!M104")) ="";"";TRIM(INDIRECT("Columns!M104")))</v>
      </c>
      <c r="D104" t="str">
        <f t="shared" si="31"/>
        <v>TRIM(INDIRECT("Columns!O104"))</v>
      </c>
      <c r="E104" t="str">
        <f t="shared" si="32"/>
        <v>TRIM(INDIRECT("Columns!M104"))</v>
      </c>
      <c r="F104" t="str">
        <f t="shared" si="33"/>
        <v>TRIM(INDIRECT("Columns!D104"))</v>
      </c>
      <c r="G104" t="str">
        <f t="shared" si="34"/>
        <v>=IF(TRIM(INDIRECT("Columns!D104")) ="";C104;TRIM(INDIRECT("Columns!D104")))</v>
      </c>
      <c r="H104" s="190" t="str">
        <f t="shared" si="35"/>
        <v>=IF(TRIM(INDIRECT("Columns!O104"))="";"";TRIM(INDIRECT("Columns!O104")))</v>
      </c>
      <c r="I104" t="str">
        <f t="shared" si="36"/>
        <v>=IF(INDIRECT("Columns!H104")=1;</v>
      </c>
      <c r="J104" t="str">
        <f t="shared" si="37"/>
        <v>=IF(INDIRECT("Columns!H104")=1;"bigint";INDIRECT("Columns!C104"))</v>
      </c>
      <c r="L104" t="str">
        <f t="shared" si="38"/>
        <v>=IF(INDIRECT("Columns!H104")=1;"";"A";IF(TRIM(INDIRECT("Columns!O104"))="";TRIM(INDIRECT("Columns!M104"));TRIM(INDIRECT("Columns!O104"))))</v>
      </c>
      <c r="M104" t="str">
        <f t="shared" si="29"/>
        <v>IF(TRIM(INDIRECT("Columns!O104"))="";TRIM(INDIRECT("Columns!M104"));TRIM(INDIRECT("Columns!O104")))</v>
      </c>
    </row>
    <row r="105" spans="2:13">
      <c r="B105">
        <v>105</v>
      </c>
      <c r="C105" t="str">
        <f t="shared" si="30"/>
        <v>=IF(TRIM(INDIRECT("Columns!M105")) ="";"";TRIM(INDIRECT("Columns!M105")))</v>
      </c>
      <c r="D105" t="str">
        <f t="shared" si="31"/>
        <v>TRIM(INDIRECT("Columns!O105"))</v>
      </c>
      <c r="E105" t="str">
        <f t="shared" si="32"/>
        <v>TRIM(INDIRECT("Columns!M105"))</v>
      </c>
      <c r="F105" t="str">
        <f t="shared" si="33"/>
        <v>TRIM(INDIRECT("Columns!D105"))</v>
      </c>
      <c r="G105" t="str">
        <f t="shared" si="34"/>
        <v>=IF(TRIM(INDIRECT("Columns!D105")) ="";C105;TRIM(INDIRECT("Columns!D105")))</v>
      </c>
      <c r="H105" s="190" t="str">
        <f t="shared" si="35"/>
        <v>=IF(TRIM(INDIRECT("Columns!O105"))="";"";TRIM(INDIRECT("Columns!O105")))</v>
      </c>
      <c r="I105" t="str">
        <f t="shared" si="36"/>
        <v>=IF(INDIRECT("Columns!H105")=1;</v>
      </c>
      <c r="J105" t="str">
        <f t="shared" si="37"/>
        <v>=IF(INDIRECT("Columns!H105")=1;"bigint";INDIRECT("Columns!C105"))</v>
      </c>
      <c r="L105" t="str">
        <f t="shared" si="38"/>
        <v>=IF(INDIRECT("Columns!H105")=1;"";"A";IF(TRIM(INDIRECT("Columns!O105"))="";TRIM(INDIRECT("Columns!M105"));TRIM(INDIRECT("Columns!O105"))))</v>
      </c>
      <c r="M105" t="str">
        <f t="shared" si="29"/>
        <v>IF(TRIM(INDIRECT("Columns!O105"))="";TRIM(INDIRECT("Columns!M105"));TRIM(INDIRECT("Columns!O105")))</v>
      </c>
    </row>
    <row r="106" spans="2:13">
      <c r="B106">
        <v>106</v>
      </c>
      <c r="C106" t="str">
        <f t="shared" si="30"/>
        <v>=IF(TRIM(INDIRECT("Columns!M106")) ="";"";TRIM(INDIRECT("Columns!M106")))</v>
      </c>
      <c r="D106" t="str">
        <f t="shared" si="31"/>
        <v>TRIM(INDIRECT("Columns!O106"))</v>
      </c>
      <c r="E106" t="str">
        <f t="shared" si="32"/>
        <v>TRIM(INDIRECT("Columns!M106"))</v>
      </c>
      <c r="F106" t="str">
        <f t="shared" si="33"/>
        <v>TRIM(INDIRECT("Columns!D106"))</v>
      </c>
      <c r="G106" t="str">
        <f t="shared" si="34"/>
        <v>=IF(TRIM(INDIRECT("Columns!D106")) ="";C106;TRIM(INDIRECT("Columns!D106")))</v>
      </c>
      <c r="H106" s="190" t="str">
        <f t="shared" si="35"/>
        <v>=IF(TRIM(INDIRECT("Columns!O106"))="";"";TRIM(INDIRECT("Columns!O106")))</v>
      </c>
      <c r="I106" t="str">
        <f t="shared" si="36"/>
        <v>=IF(INDIRECT("Columns!H106")=1;</v>
      </c>
      <c r="J106" t="str">
        <f t="shared" si="37"/>
        <v>=IF(INDIRECT("Columns!H106")=1;"bigint";INDIRECT("Columns!C106"))</v>
      </c>
      <c r="L106" t="str">
        <f t="shared" si="38"/>
        <v>=IF(INDIRECT("Columns!H106")=1;"";"A";IF(TRIM(INDIRECT("Columns!O106"))="";TRIM(INDIRECT("Columns!M106"));TRIM(INDIRECT("Columns!O106"))))</v>
      </c>
      <c r="M106" t="str">
        <f t="shared" si="29"/>
        <v>IF(TRIM(INDIRECT("Columns!O106"))="";TRIM(INDIRECT("Columns!M106"));TRIM(INDIRECT("Columns!O106")))</v>
      </c>
    </row>
    <row r="107" spans="2:13">
      <c r="B107">
        <v>107</v>
      </c>
      <c r="C107" t="str">
        <f t="shared" si="30"/>
        <v>=IF(TRIM(INDIRECT("Columns!M107")) ="";"";TRIM(INDIRECT("Columns!M107")))</v>
      </c>
      <c r="D107" t="str">
        <f t="shared" si="31"/>
        <v>TRIM(INDIRECT("Columns!O107"))</v>
      </c>
      <c r="E107" t="str">
        <f t="shared" si="32"/>
        <v>TRIM(INDIRECT("Columns!M107"))</v>
      </c>
      <c r="F107" t="str">
        <f t="shared" si="33"/>
        <v>TRIM(INDIRECT("Columns!D107"))</v>
      </c>
      <c r="G107" t="str">
        <f t="shared" si="34"/>
        <v>=IF(TRIM(INDIRECT("Columns!D107")) ="";C107;TRIM(INDIRECT("Columns!D107")))</v>
      </c>
      <c r="H107" s="190" t="str">
        <f t="shared" si="35"/>
        <v>=IF(TRIM(INDIRECT("Columns!O107"))="";"";TRIM(INDIRECT("Columns!O107")))</v>
      </c>
      <c r="I107" t="str">
        <f t="shared" si="36"/>
        <v>=IF(INDIRECT("Columns!H107")=1;</v>
      </c>
      <c r="J107" t="str">
        <f t="shared" si="37"/>
        <v>=IF(INDIRECT("Columns!H107")=1;"bigint";INDIRECT("Columns!C107"))</v>
      </c>
      <c r="L107" t="str">
        <f t="shared" si="38"/>
        <v>=IF(INDIRECT("Columns!H107")=1;"";"A";IF(TRIM(INDIRECT("Columns!O107"))="";TRIM(INDIRECT("Columns!M107"));TRIM(INDIRECT("Columns!O107"))))</v>
      </c>
      <c r="M107" t="str">
        <f t="shared" si="29"/>
        <v>IF(TRIM(INDIRECT("Columns!O107"))="";TRIM(INDIRECT("Columns!M107"));TRIM(INDIRECT("Columns!O107")))</v>
      </c>
    </row>
    <row r="108" spans="2:13">
      <c r="B108">
        <v>108</v>
      </c>
      <c r="C108" t="str">
        <f t="shared" si="30"/>
        <v>=IF(TRIM(INDIRECT("Columns!M108")) ="";"";TRIM(INDIRECT("Columns!M108")))</v>
      </c>
      <c r="D108" t="str">
        <f t="shared" si="31"/>
        <v>TRIM(INDIRECT("Columns!O108"))</v>
      </c>
      <c r="E108" t="str">
        <f t="shared" si="32"/>
        <v>TRIM(INDIRECT("Columns!M108"))</v>
      </c>
      <c r="F108" t="str">
        <f t="shared" si="33"/>
        <v>TRIM(INDIRECT("Columns!D108"))</v>
      </c>
      <c r="G108" t="str">
        <f t="shared" si="34"/>
        <v>=IF(TRIM(INDIRECT("Columns!D108")) ="";C108;TRIM(INDIRECT("Columns!D108")))</v>
      </c>
      <c r="H108" s="190" t="str">
        <f t="shared" si="35"/>
        <v>=IF(TRIM(INDIRECT("Columns!O108"))="";"";TRIM(INDIRECT("Columns!O108")))</v>
      </c>
      <c r="I108" t="str">
        <f t="shared" si="36"/>
        <v>=IF(INDIRECT("Columns!H108")=1;</v>
      </c>
      <c r="J108" t="str">
        <f t="shared" si="37"/>
        <v>=IF(INDIRECT("Columns!H108")=1;"bigint";INDIRECT("Columns!C108"))</v>
      </c>
      <c r="L108" t="str">
        <f t="shared" si="38"/>
        <v>=IF(INDIRECT("Columns!H108")=1;"";"A";IF(TRIM(INDIRECT("Columns!O108"))="";TRIM(INDIRECT("Columns!M108"));TRIM(INDIRECT("Columns!O108"))))</v>
      </c>
      <c r="M108" t="str">
        <f t="shared" si="29"/>
        <v>IF(TRIM(INDIRECT("Columns!O108"))="";TRIM(INDIRECT("Columns!M108"));TRIM(INDIRECT("Columns!O108")))</v>
      </c>
    </row>
    <row r="109" spans="2:13">
      <c r="B109">
        <v>109</v>
      </c>
      <c r="C109" t="str">
        <f t="shared" si="30"/>
        <v>=IF(TRIM(INDIRECT("Columns!M109")) ="";"";TRIM(INDIRECT("Columns!M109")))</v>
      </c>
      <c r="D109" t="str">
        <f t="shared" si="31"/>
        <v>TRIM(INDIRECT("Columns!O109"))</v>
      </c>
      <c r="E109" t="str">
        <f t="shared" si="32"/>
        <v>TRIM(INDIRECT("Columns!M109"))</v>
      </c>
      <c r="F109" t="str">
        <f t="shared" si="33"/>
        <v>TRIM(INDIRECT("Columns!D109"))</v>
      </c>
      <c r="G109" t="str">
        <f t="shared" si="34"/>
        <v>=IF(TRIM(INDIRECT("Columns!D109")) ="";C109;TRIM(INDIRECT("Columns!D109")))</v>
      </c>
      <c r="H109" s="190" t="str">
        <f t="shared" si="35"/>
        <v>=IF(TRIM(INDIRECT("Columns!O109"))="";"";TRIM(INDIRECT("Columns!O109")))</v>
      </c>
      <c r="I109" t="str">
        <f t="shared" si="36"/>
        <v>=IF(INDIRECT("Columns!H109")=1;</v>
      </c>
      <c r="J109" t="str">
        <f t="shared" si="37"/>
        <v>=IF(INDIRECT("Columns!H109")=1;"bigint";INDIRECT("Columns!C109"))</v>
      </c>
      <c r="L109" t="str">
        <f t="shared" si="38"/>
        <v>=IF(INDIRECT("Columns!H109")=1;"";"A";IF(TRIM(INDIRECT("Columns!O109"))="";TRIM(INDIRECT("Columns!M109"));TRIM(INDIRECT("Columns!O109"))))</v>
      </c>
      <c r="M109" t="str">
        <f t="shared" si="29"/>
        <v>IF(TRIM(INDIRECT("Columns!O109"))="";TRIM(INDIRECT("Columns!M109"));TRIM(INDIRECT("Columns!O109")))</v>
      </c>
    </row>
    <row r="110" spans="2:13">
      <c r="B110">
        <v>110</v>
      </c>
      <c r="C110" t="str">
        <f t="shared" si="30"/>
        <v>=IF(TRIM(INDIRECT("Columns!M110")) ="";"";TRIM(INDIRECT("Columns!M110")))</v>
      </c>
      <c r="D110" t="str">
        <f t="shared" si="31"/>
        <v>TRIM(INDIRECT("Columns!O110"))</v>
      </c>
      <c r="E110" t="str">
        <f t="shared" si="32"/>
        <v>TRIM(INDIRECT("Columns!M110"))</v>
      </c>
      <c r="F110" t="str">
        <f t="shared" si="33"/>
        <v>TRIM(INDIRECT("Columns!D110"))</v>
      </c>
      <c r="G110" t="str">
        <f t="shared" si="34"/>
        <v>=IF(TRIM(INDIRECT("Columns!D110")) ="";C110;TRIM(INDIRECT("Columns!D110")))</v>
      </c>
      <c r="H110" s="190" t="str">
        <f t="shared" si="35"/>
        <v>=IF(TRIM(INDIRECT("Columns!O110"))="";"";TRIM(INDIRECT("Columns!O110")))</v>
      </c>
      <c r="I110" t="str">
        <f t="shared" si="36"/>
        <v>=IF(INDIRECT("Columns!H110")=1;</v>
      </c>
      <c r="J110" t="str">
        <f t="shared" si="37"/>
        <v>=IF(INDIRECT("Columns!H110")=1;"bigint";INDIRECT("Columns!C110"))</v>
      </c>
      <c r="L110" t="str">
        <f t="shared" si="38"/>
        <v>=IF(INDIRECT("Columns!H110")=1;"";"A";IF(TRIM(INDIRECT("Columns!O110"))="";TRIM(INDIRECT("Columns!M110"));TRIM(INDIRECT("Columns!O110"))))</v>
      </c>
      <c r="M110" t="str">
        <f t="shared" si="29"/>
        <v>IF(TRIM(INDIRECT("Columns!O110"))="";TRIM(INDIRECT("Columns!M110"));TRIM(INDIRECT("Columns!O110")))</v>
      </c>
    </row>
    <row r="111" spans="2:13">
      <c r="B111">
        <v>111</v>
      </c>
      <c r="C111" t="str">
        <f t="shared" si="30"/>
        <v>=IF(TRIM(INDIRECT("Columns!M111")) ="";"";TRIM(INDIRECT("Columns!M111")))</v>
      </c>
      <c r="D111" t="str">
        <f t="shared" si="31"/>
        <v>TRIM(INDIRECT("Columns!O111"))</v>
      </c>
      <c r="E111" t="str">
        <f t="shared" si="32"/>
        <v>TRIM(INDIRECT("Columns!M111"))</v>
      </c>
      <c r="F111" t="str">
        <f t="shared" si="33"/>
        <v>TRIM(INDIRECT("Columns!D111"))</v>
      </c>
      <c r="G111" t="str">
        <f t="shared" si="34"/>
        <v>=IF(TRIM(INDIRECT("Columns!D111")) ="";C111;TRIM(INDIRECT("Columns!D111")))</v>
      </c>
      <c r="H111" s="190" t="str">
        <f t="shared" si="35"/>
        <v>=IF(TRIM(INDIRECT("Columns!O111"))="";"";TRIM(INDIRECT("Columns!O111")))</v>
      </c>
      <c r="I111" t="str">
        <f t="shared" si="36"/>
        <v>=IF(INDIRECT("Columns!H111")=1;</v>
      </c>
      <c r="J111" t="str">
        <f t="shared" si="37"/>
        <v>=IF(INDIRECT("Columns!H111")=1;"bigint";INDIRECT("Columns!C111"))</v>
      </c>
      <c r="L111" t="str">
        <f t="shared" si="38"/>
        <v>=IF(INDIRECT("Columns!H111")=1;"";"A";IF(TRIM(INDIRECT("Columns!O111"))="";TRIM(INDIRECT("Columns!M111"));TRIM(INDIRECT("Columns!O111"))))</v>
      </c>
      <c r="M111" t="str">
        <f t="shared" si="29"/>
        <v>IF(TRIM(INDIRECT("Columns!O111"))="";TRIM(INDIRECT("Columns!M111"));TRIM(INDIRECT("Columns!O111")))</v>
      </c>
    </row>
    <row r="112" spans="2:13">
      <c r="B112">
        <v>112</v>
      </c>
      <c r="C112" t="str">
        <f t="shared" si="30"/>
        <v>=IF(TRIM(INDIRECT("Columns!M112")) ="";"";TRIM(INDIRECT("Columns!M112")))</v>
      </c>
      <c r="D112" t="str">
        <f t="shared" si="31"/>
        <v>TRIM(INDIRECT("Columns!O112"))</v>
      </c>
      <c r="E112" t="str">
        <f t="shared" si="32"/>
        <v>TRIM(INDIRECT("Columns!M112"))</v>
      </c>
      <c r="F112" t="str">
        <f t="shared" si="33"/>
        <v>TRIM(INDIRECT("Columns!D112"))</v>
      </c>
      <c r="G112" t="str">
        <f t="shared" si="34"/>
        <v>=IF(TRIM(INDIRECT("Columns!D112")) ="";C112;TRIM(INDIRECT("Columns!D112")))</v>
      </c>
      <c r="H112" s="190" t="str">
        <f t="shared" si="35"/>
        <v>=IF(TRIM(INDIRECT("Columns!O112"))="";"";TRIM(INDIRECT("Columns!O112")))</v>
      </c>
      <c r="I112" t="str">
        <f t="shared" si="36"/>
        <v>=IF(INDIRECT("Columns!H112")=1;</v>
      </c>
      <c r="J112" t="str">
        <f t="shared" si="37"/>
        <v>=IF(INDIRECT("Columns!H112")=1;"bigint";INDIRECT("Columns!C112"))</v>
      </c>
      <c r="L112" t="str">
        <f t="shared" si="38"/>
        <v>=IF(INDIRECT("Columns!H112")=1;"";"A";IF(TRIM(INDIRECT("Columns!O112"))="";TRIM(INDIRECT("Columns!M112"));TRIM(INDIRECT("Columns!O112"))))</v>
      </c>
      <c r="M112" t="str">
        <f t="shared" si="29"/>
        <v>IF(TRIM(INDIRECT("Columns!O112"))="";TRIM(INDIRECT("Columns!M112"));TRIM(INDIRECT("Columns!O112")))</v>
      </c>
    </row>
    <row r="113" spans="2:13">
      <c r="B113">
        <v>113</v>
      </c>
      <c r="C113" t="str">
        <f t="shared" si="30"/>
        <v>=IF(TRIM(INDIRECT("Columns!M113")) ="";"";TRIM(INDIRECT("Columns!M113")))</v>
      </c>
      <c r="D113" t="str">
        <f t="shared" si="31"/>
        <v>TRIM(INDIRECT("Columns!O113"))</v>
      </c>
      <c r="E113" t="str">
        <f t="shared" si="32"/>
        <v>TRIM(INDIRECT("Columns!M113"))</v>
      </c>
      <c r="F113" t="str">
        <f t="shared" si="33"/>
        <v>TRIM(INDIRECT("Columns!D113"))</v>
      </c>
      <c r="G113" t="str">
        <f t="shared" si="34"/>
        <v>=IF(TRIM(INDIRECT("Columns!D113")) ="";C113;TRIM(INDIRECT("Columns!D113")))</v>
      </c>
      <c r="H113" s="190" t="str">
        <f t="shared" si="35"/>
        <v>=IF(TRIM(INDIRECT("Columns!O113"))="";"";TRIM(INDIRECT("Columns!O113")))</v>
      </c>
      <c r="I113" t="str">
        <f t="shared" si="36"/>
        <v>=IF(INDIRECT("Columns!H113")=1;</v>
      </c>
      <c r="J113" t="str">
        <f t="shared" si="37"/>
        <v>=IF(INDIRECT("Columns!H113")=1;"bigint";INDIRECT("Columns!C113"))</v>
      </c>
      <c r="L113" t="str">
        <f t="shared" si="38"/>
        <v>=IF(INDIRECT("Columns!H113")=1;"";"A";IF(TRIM(INDIRECT("Columns!O113"))="";TRIM(INDIRECT("Columns!M113"));TRIM(INDIRECT("Columns!O113"))))</v>
      </c>
      <c r="M113" t="str">
        <f t="shared" si="29"/>
        <v>IF(TRIM(INDIRECT("Columns!O113"))="";TRIM(INDIRECT("Columns!M113"));TRIM(INDIRECT("Columns!O113")))</v>
      </c>
    </row>
    <row r="114" spans="2:13">
      <c r="B114">
        <v>114</v>
      </c>
      <c r="C114" t="str">
        <f t="shared" si="30"/>
        <v>=IF(TRIM(INDIRECT("Columns!M114")) ="";"";TRIM(INDIRECT("Columns!M114")))</v>
      </c>
      <c r="D114" t="str">
        <f t="shared" si="31"/>
        <v>TRIM(INDIRECT("Columns!O114"))</v>
      </c>
      <c r="E114" t="str">
        <f t="shared" si="32"/>
        <v>TRIM(INDIRECT("Columns!M114"))</v>
      </c>
      <c r="F114" t="str">
        <f t="shared" si="33"/>
        <v>TRIM(INDIRECT("Columns!D114"))</v>
      </c>
      <c r="G114" t="str">
        <f t="shared" si="34"/>
        <v>=IF(TRIM(INDIRECT("Columns!D114")) ="";C114;TRIM(INDIRECT("Columns!D114")))</v>
      </c>
      <c r="H114" s="190" t="str">
        <f t="shared" si="35"/>
        <v>=IF(TRIM(INDIRECT("Columns!O114"))="";"";TRIM(INDIRECT("Columns!O114")))</v>
      </c>
      <c r="I114" t="str">
        <f t="shared" si="36"/>
        <v>=IF(INDIRECT("Columns!H114")=1;</v>
      </c>
      <c r="J114" t="str">
        <f t="shared" si="37"/>
        <v>=IF(INDIRECT("Columns!H114")=1;"bigint";INDIRECT("Columns!C114"))</v>
      </c>
      <c r="L114" t="str">
        <f t="shared" si="38"/>
        <v>=IF(INDIRECT("Columns!H114")=1;"";"A";IF(TRIM(INDIRECT("Columns!O114"))="";TRIM(INDIRECT("Columns!M114"));TRIM(INDIRECT("Columns!O114"))))</v>
      </c>
      <c r="M114" t="str">
        <f t="shared" si="29"/>
        <v>IF(TRIM(INDIRECT("Columns!O114"))="";TRIM(INDIRECT("Columns!M114"));TRIM(INDIRECT("Columns!O114")))</v>
      </c>
    </row>
    <row r="115" spans="2:13">
      <c r="B115">
        <v>115</v>
      </c>
      <c r="C115" t="str">
        <f t="shared" si="30"/>
        <v>=IF(TRIM(INDIRECT("Columns!M115")) ="";"";TRIM(INDIRECT("Columns!M115")))</v>
      </c>
      <c r="D115" t="str">
        <f t="shared" si="31"/>
        <v>TRIM(INDIRECT("Columns!O115"))</v>
      </c>
      <c r="E115" t="str">
        <f t="shared" si="32"/>
        <v>TRIM(INDIRECT("Columns!M115"))</v>
      </c>
      <c r="F115" t="str">
        <f t="shared" si="33"/>
        <v>TRIM(INDIRECT("Columns!D115"))</v>
      </c>
      <c r="G115" t="str">
        <f t="shared" si="34"/>
        <v>=IF(TRIM(INDIRECT("Columns!D115")) ="";C115;TRIM(INDIRECT("Columns!D115")))</v>
      </c>
      <c r="H115" s="190" t="str">
        <f t="shared" si="35"/>
        <v>=IF(TRIM(INDIRECT("Columns!O115"))="";"";TRIM(INDIRECT("Columns!O115")))</v>
      </c>
      <c r="I115" t="str">
        <f t="shared" si="36"/>
        <v>=IF(INDIRECT("Columns!H115")=1;</v>
      </c>
      <c r="J115" t="str">
        <f t="shared" si="37"/>
        <v>=IF(INDIRECT("Columns!H115")=1;"bigint";INDIRECT("Columns!C115"))</v>
      </c>
      <c r="L115" t="str">
        <f t="shared" si="38"/>
        <v>=IF(INDIRECT("Columns!H115")=1;"";"A";IF(TRIM(INDIRECT("Columns!O115"))="";TRIM(INDIRECT("Columns!M115"));TRIM(INDIRECT("Columns!O115"))))</v>
      </c>
      <c r="M115" t="str">
        <f>"IF("&amp;D115&amp;"="""";" &amp;  E115 &amp; ";" &amp; D115 &amp; ")"</f>
        <v>IF(TRIM(INDIRECT("Columns!O115"))="";TRIM(INDIRECT("Columns!M115"));TRIM(INDIRECT("Columns!O115")))</v>
      </c>
    </row>
    <row r="116" spans="2:13">
      <c r="B116">
        <v>116</v>
      </c>
      <c r="C116" t="str">
        <f t="shared" si="30"/>
        <v>=IF(TRIM(INDIRECT("Columns!M116")) ="";"";TRIM(INDIRECT("Columns!M116")))</v>
      </c>
      <c r="D116" t="str">
        <f t="shared" si="31"/>
        <v>TRIM(INDIRECT("Columns!O116"))</v>
      </c>
      <c r="E116" t="str">
        <f t="shared" si="32"/>
        <v>TRIM(INDIRECT("Columns!M116"))</v>
      </c>
      <c r="F116" t="str">
        <f t="shared" si="33"/>
        <v>TRIM(INDIRECT("Columns!D116"))</v>
      </c>
      <c r="G116" t="str">
        <f t="shared" si="34"/>
        <v>=IF(TRIM(INDIRECT("Columns!D116")) ="";C116;TRIM(INDIRECT("Columns!D116")))</v>
      </c>
      <c r="H116" s="190" t="str">
        <f t="shared" si="35"/>
        <v>=IF(TRIM(INDIRECT("Columns!O116"))="";"";TRIM(INDIRECT("Columns!O116")))</v>
      </c>
      <c r="I116" t="str">
        <f t="shared" si="36"/>
        <v>=IF(INDIRECT("Columns!H116")=1;</v>
      </c>
      <c r="J116" t="str">
        <f t="shared" si="37"/>
        <v>=IF(INDIRECT("Columns!H116")=1;"bigint";INDIRECT("Columns!C116"))</v>
      </c>
      <c r="L116" t="str">
        <f t="shared" si="38"/>
        <v>=IF(INDIRECT("Columns!H116")=1;"";"A";IF(TRIM(INDIRECT("Columns!O116"))="";TRIM(INDIRECT("Columns!M116"));TRIM(INDIRECT("Columns!O116"))))</v>
      </c>
      <c r="M116" t="str">
        <f t="shared" ref="M116:M150" si="39">"IF("&amp;D116&amp;"="""";" &amp; E116 &amp; ";" &amp; D116 &amp; ")"</f>
        <v>IF(TRIM(INDIRECT("Columns!O116"))="";TRIM(INDIRECT("Columns!M116"));TRIM(INDIRECT("Columns!O116")))</v>
      </c>
    </row>
    <row r="117" spans="2:13">
      <c r="B117">
        <v>117</v>
      </c>
      <c r="C117" t="str">
        <f t="shared" si="30"/>
        <v>=IF(TRIM(INDIRECT("Columns!M117")) ="";"";TRIM(INDIRECT("Columns!M117")))</v>
      </c>
      <c r="D117" t="str">
        <f t="shared" si="31"/>
        <v>TRIM(INDIRECT("Columns!O117"))</v>
      </c>
      <c r="E117" t="str">
        <f t="shared" si="32"/>
        <v>TRIM(INDIRECT("Columns!M117"))</v>
      </c>
      <c r="F117" t="str">
        <f t="shared" si="33"/>
        <v>TRIM(INDIRECT("Columns!D117"))</v>
      </c>
      <c r="G117" t="str">
        <f t="shared" si="34"/>
        <v>=IF(TRIM(INDIRECT("Columns!D117")) ="";C117;TRIM(INDIRECT("Columns!D117")))</v>
      </c>
      <c r="H117" s="190" t="str">
        <f t="shared" si="35"/>
        <v>=IF(TRIM(INDIRECT("Columns!O117"))="";"";TRIM(INDIRECT("Columns!O117")))</v>
      </c>
      <c r="I117" t="str">
        <f t="shared" si="36"/>
        <v>=IF(INDIRECT("Columns!H117")=1;</v>
      </c>
      <c r="J117" t="str">
        <f t="shared" si="37"/>
        <v>=IF(INDIRECT("Columns!H117")=1;"bigint";INDIRECT("Columns!C117"))</v>
      </c>
      <c r="L117" t="str">
        <f t="shared" si="38"/>
        <v>=IF(INDIRECT("Columns!H117")=1;"";"A";IF(TRIM(INDIRECT("Columns!O117"))="";TRIM(INDIRECT("Columns!M117"));TRIM(INDIRECT("Columns!O117"))))</v>
      </c>
      <c r="M117" t="str">
        <f t="shared" si="39"/>
        <v>IF(TRIM(INDIRECT("Columns!O117"))="";TRIM(INDIRECT("Columns!M117"));TRIM(INDIRECT("Columns!O117")))</v>
      </c>
    </row>
    <row r="118" spans="2:13">
      <c r="B118">
        <v>118</v>
      </c>
      <c r="C118" t="str">
        <f t="shared" si="30"/>
        <v>=IF(TRIM(INDIRECT("Columns!M118")) ="";"";TRIM(INDIRECT("Columns!M118")))</v>
      </c>
      <c r="D118" t="str">
        <f t="shared" si="31"/>
        <v>TRIM(INDIRECT("Columns!O118"))</v>
      </c>
      <c r="E118" t="str">
        <f t="shared" si="32"/>
        <v>TRIM(INDIRECT("Columns!M118"))</v>
      </c>
      <c r="F118" t="str">
        <f t="shared" si="33"/>
        <v>TRIM(INDIRECT("Columns!D118"))</v>
      </c>
      <c r="G118" t="str">
        <f t="shared" si="34"/>
        <v>=IF(TRIM(INDIRECT("Columns!D118")) ="";C118;TRIM(INDIRECT("Columns!D118")))</v>
      </c>
      <c r="H118" s="190" t="str">
        <f t="shared" si="35"/>
        <v>=IF(TRIM(INDIRECT("Columns!O118"))="";"";TRIM(INDIRECT("Columns!O118")))</v>
      </c>
      <c r="I118" t="str">
        <f t="shared" si="36"/>
        <v>=IF(INDIRECT("Columns!H118")=1;</v>
      </c>
      <c r="J118" t="str">
        <f t="shared" si="37"/>
        <v>=IF(INDIRECT("Columns!H118")=1;"bigint";INDIRECT("Columns!C118"))</v>
      </c>
      <c r="L118" t="str">
        <f t="shared" si="38"/>
        <v>=IF(INDIRECT("Columns!H118")=1;"";"A";IF(TRIM(INDIRECT("Columns!O118"))="";TRIM(INDIRECT("Columns!M118"));TRIM(INDIRECT("Columns!O118"))))</v>
      </c>
      <c r="M118" t="str">
        <f t="shared" si="39"/>
        <v>IF(TRIM(INDIRECT("Columns!O118"))="";TRIM(INDIRECT("Columns!M118"));TRIM(INDIRECT("Columns!O118")))</v>
      </c>
    </row>
    <row r="119" spans="2:13">
      <c r="B119">
        <v>119</v>
      </c>
      <c r="C119" t="str">
        <f t="shared" si="30"/>
        <v>=IF(TRIM(INDIRECT("Columns!M119")) ="";"";TRIM(INDIRECT("Columns!M119")))</v>
      </c>
      <c r="D119" t="str">
        <f t="shared" si="31"/>
        <v>TRIM(INDIRECT("Columns!O119"))</v>
      </c>
      <c r="E119" t="str">
        <f t="shared" si="32"/>
        <v>TRIM(INDIRECT("Columns!M119"))</v>
      </c>
      <c r="F119" t="str">
        <f t="shared" si="33"/>
        <v>TRIM(INDIRECT("Columns!D119"))</v>
      </c>
      <c r="G119" t="str">
        <f t="shared" si="34"/>
        <v>=IF(TRIM(INDIRECT("Columns!D119")) ="";C119;TRIM(INDIRECT("Columns!D119")))</v>
      </c>
      <c r="H119" s="190" t="str">
        <f t="shared" si="35"/>
        <v>=IF(TRIM(INDIRECT("Columns!O119"))="";"";TRIM(INDIRECT("Columns!O119")))</v>
      </c>
      <c r="I119" t="str">
        <f t="shared" si="36"/>
        <v>=IF(INDIRECT("Columns!H119")=1;</v>
      </c>
      <c r="J119" t="str">
        <f t="shared" si="37"/>
        <v>=IF(INDIRECT("Columns!H119")=1;"bigint";INDIRECT("Columns!C119"))</v>
      </c>
      <c r="L119" t="str">
        <f t="shared" si="38"/>
        <v>=IF(INDIRECT("Columns!H119")=1;"";"A";IF(TRIM(INDIRECT("Columns!O119"))="";TRIM(INDIRECT("Columns!M119"));TRIM(INDIRECT("Columns!O119"))))</v>
      </c>
      <c r="M119" t="str">
        <f t="shared" si="39"/>
        <v>IF(TRIM(INDIRECT("Columns!O119"))="";TRIM(INDIRECT("Columns!M119"));TRIM(INDIRECT("Columns!O119")))</v>
      </c>
    </row>
    <row r="120" spans="2:13">
      <c r="B120">
        <v>120</v>
      </c>
      <c r="C120" t="str">
        <f t="shared" si="30"/>
        <v>=IF(TRIM(INDIRECT("Columns!M120")) ="";"";TRIM(INDIRECT("Columns!M120")))</v>
      </c>
      <c r="D120" t="str">
        <f t="shared" si="31"/>
        <v>TRIM(INDIRECT("Columns!O120"))</v>
      </c>
      <c r="E120" t="str">
        <f t="shared" si="32"/>
        <v>TRIM(INDIRECT("Columns!M120"))</v>
      </c>
      <c r="F120" t="str">
        <f t="shared" si="33"/>
        <v>TRIM(INDIRECT("Columns!D120"))</v>
      </c>
      <c r="G120" t="str">
        <f t="shared" si="34"/>
        <v>=IF(TRIM(INDIRECT("Columns!D120")) ="";C120;TRIM(INDIRECT("Columns!D120")))</v>
      </c>
      <c r="H120" s="190" t="str">
        <f t="shared" si="35"/>
        <v>=IF(TRIM(INDIRECT("Columns!O120"))="";"";TRIM(INDIRECT("Columns!O120")))</v>
      </c>
      <c r="I120" t="str">
        <f t="shared" si="36"/>
        <v>=IF(INDIRECT("Columns!H120")=1;</v>
      </c>
      <c r="J120" t="str">
        <f t="shared" si="37"/>
        <v>=IF(INDIRECT("Columns!H120")=1;"bigint";INDIRECT("Columns!C120"))</v>
      </c>
      <c r="L120" t="str">
        <f t="shared" si="38"/>
        <v>=IF(INDIRECT("Columns!H120")=1;"";"A";IF(TRIM(INDIRECT("Columns!O120"))="";TRIM(INDIRECT("Columns!M120"));TRIM(INDIRECT("Columns!O120"))))</v>
      </c>
      <c r="M120" t="str">
        <f t="shared" si="39"/>
        <v>IF(TRIM(INDIRECT("Columns!O120"))="";TRIM(INDIRECT("Columns!M120"));TRIM(INDIRECT("Columns!O120")))</v>
      </c>
    </row>
    <row r="121" spans="2:13">
      <c r="B121">
        <v>121</v>
      </c>
      <c r="C121" t="str">
        <f t="shared" si="30"/>
        <v>=IF(TRIM(INDIRECT("Columns!M121")) ="";"";TRIM(INDIRECT("Columns!M121")))</v>
      </c>
      <c r="D121" t="str">
        <f t="shared" si="31"/>
        <v>TRIM(INDIRECT("Columns!O121"))</v>
      </c>
      <c r="E121" t="str">
        <f t="shared" si="32"/>
        <v>TRIM(INDIRECT("Columns!M121"))</v>
      </c>
      <c r="F121" t="str">
        <f t="shared" si="33"/>
        <v>TRIM(INDIRECT("Columns!D121"))</v>
      </c>
      <c r="G121" t="str">
        <f t="shared" si="34"/>
        <v>=IF(TRIM(INDIRECT("Columns!D121")) ="";C121;TRIM(INDIRECT("Columns!D121")))</v>
      </c>
      <c r="H121" s="190" t="str">
        <f t="shared" si="35"/>
        <v>=IF(TRIM(INDIRECT("Columns!O121"))="";"";TRIM(INDIRECT("Columns!O121")))</v>
      </c>
      <c r="I121" t="str">
        <f t="shared" si="36"/>
        <v>=IF(INDIRECT("Columns!H121")=1;</v>
      </c>
      <c r="J121" t="str">
        <f t="shared" si="37"/>
        <v>=IF(INDIRECT("Columns!H121")=1;"bigint";INDIRECT("Columns!C121"))</v>
      </c>
      <c r="L121" t="str">
        <f t="shared" si="38"/>
        <v>=IF(INDIRECT("Columns!H121")=1;"";"A";IF(TRIM(INDIRECT("Columns!O121"))="";TRIM(INDIRECT("Columns!M121"));TRIM(INDIRECT("Columns!O121"))))</v>
      </c>
      <c r="M121" t="str">
        <f t="shared" si="39"/>
        <v>IF(TRIM(INDIRECT("Columns!O121"))="";TRIM(INDIRECT("Columns!M121"));TRIM(INDIRECT("Columns!O121")))</v>
      </c>
    </row>
    <row r="122" spans="2:13">
      <c r="B122">
        <v>122</v>
      </c>
      <c r="C122" t="str">
        <f t="shared" si="30"/>
        <v>=IF(TRIM(INDIRECT("Columns!M122")) ="";"";TRIM(INDIRECT("Columns!M122")))</v>
      </c>
      <c r="D122" t="str">
        <f t="shared" si="31"/>
        <v>TRIM(INDIRECT("Columns!O122"))</v>
      </c>
      <c r="E122" t="str">
        <f t="shared" si="32"/>
        <v>TRIM(INDIRECT("Columns!M122"))</v>
      </c>
      <c r="F122" t="str">
        <f t="shared" si="33"/>
        <v>TRIM(INDIRECT("Columns!D122"))</v>
      </c>
      <c r="G122" t="str">
        <f t="shared" si="34"/>
        <v>=IF(TRIM(INDIRECT("Columns!D122")) ="";C122;TRIM(INDIRECT("Columns!D122")))</v>
      </c>
      <c r="H122" s="190" t="str">
        <f t="shared" si="35"/>
        <v>=IF(TRIM(INDIRECT("Columns!O122"))="";"";TRIM(INDIRECT("Columns!O122")))</v>
      </c>
      <c r="I122" t="str">
        <f t="shared" si="36"/>
        <v>=IF(INDIRECT("Columns!H122")=1;</v>
      </c>
      <c r="J122" t="str">
        <f t="shared" si="37"/>
        <v>=IF(INDIRECT("Columns!H122")=1;"bigint";INDIRECT("Columns!C122"))</v>
      </c>
      <c r="L122" t="str">
        <f t="shared" si="38"/>
        <v>=IF(INDIRECT("Columns!H122")=1;"";"A";IF(TRIM(INDIRECT("Columns!O122"))="";TRIM(INDIRECT("Columns!M122"));TRIM(INDIRECT("Columns!O122"))))</v>
      </c>
      <c r="M122" t="str">
        <f t="shared" si="39"/>
        <v>IF(TRIM(INDIRECT("Columns!O122"))="";TRIM(INDIRECT("Columns!M122"));TRIM(INDIRECT("Columns!O122")))</v>
      </c>
    </row>
    <row r="123" spans="2:13">
      <c r="B123">
        <v>123</v>
      </c>
      <c r="C123" t="str">
        <f t="shared" si="30"/>
        <v>=IF(TRIM(INDIRECT("Columns!M123")) ="";"";TRIM(INDIRECT("Columns!M123")))</v>
      </c>
      <c r="D123" t="str">
        <f t="shared" si="31"/>
        <v>TRIM(INDIRECT("Columns!O123"))</v>
      </c>
      <c r="E123" t="str">
        <f t="shared" si="32"/>
        <v>TRIM(INDIRECT("Columns!M123"))</v>
      </c>
      <c r="F123" t="str">
        <f t="shared" si="33"/>
        <v>TRIM(INDIRECT("Columns!D123"))</v>
      </c>
      <c r="G123" t="str">
        <f t="shared" si="34"/>
        <v>=IF(TRIM(INDIRECT("Columns!D123")) ="";C123;TRIM(INDIRECT("Columns!D123")))</v>
      </c>
      <c r="H123" s="190" t="str">
        <f t="shared" si="35"/>
        <v>=IF(TRIM(INDIRECT("Columns!O123"))="";"";TRIM(INDIRECT("Columns!O123")))</v>
      </c>
      <c r="I123" t="str">
        <f t="shared" si="36"/>
        <v>=IF(INDIRECT("Columns!H123")=1;</v>
      </c>
      <c r="J123" t="str">
        <f t="shared" si="37"/>
        <v>=IF(INDIRECT("Columns!H123")=1;"bigint";INDIRECT("Columns!C123"))</v>
      </c>
      <c r="L123" t="str">
        <f t="shared" si="38"/>
        <v>=IF(INDIRECT("Columns!H123")=1;"";"A";IF(TRIM(INDIRECT("Columns!O123"))="";TRIM(INDIRECT("Columns!M123"));TRIM(INDIRECT("Columns!O123"))))</v>
      </c>
      <c r="M123" t="str">
        <f t="shared" si="39"/>
        <v>IF(TRIM(INDIRECT("Columns!O123"))="";TRIM(INDIRECT("Columns!M123"));TRIM(INDIRECT("Columns!O123")))</v>
      </c>
    </row>
    <row r="124" spans="2:13">
      <c r="B124">
        <v>124</v>
      </c>
      <c r="C124" t="str">
        <f t="shared" si="30"/>
        <v>=IF(TRIM(INDIRECT("Columns!M124")) ="";"";TRIM(INDIRECT("Columns!M124")))</v>
      </c>
      <c r="D124" t="str">
        <f t="shared" si="31"/>
        <v>TRIM(INDIRECT("Columns!O124"))</v>
      </c>
      <c r="E124" t="str">
        <f t="shared" si="32"/>
        <v>TRIM(INDIRECT("Columns!M124"))</v>
      </c>
      <c r="F124" t="str">
        <f t="shared" si="33"/>
        <v>TRIM(INDIRECT("Columns!D124"))</v>
      </c>
      <c r="G124" t="str">
        <f t="shared" si="34"/>
        <v>=IF(TRIM(INDIRECT("Columns!D124")) ="";C124;TRIM(INDIRECT("Columns!D124")))</v>
      </c>
      <c r="H124" s="190" t="str">
        <f t="shared" si="35"/>
        <v>=IF(TRIM(INDIRECT("Columns!O124"))="";"";TRIM(INDIRECT("Columns!O124")))</v>
      </c>
      <c r="I124" t="str">
        <f t="shared" si="36"/>
        <v>=IF(INDIRECT("Columns!H124")=1;</v>
      </c>
      <c r="J124" t="str">
        <f t="shared" si="37"/>
        <v>=IF(INDIRECT("Columns!H124")=1;"bigint";INDIRECT("Columns!C124"))</v>
      </c>
      <c r="L124" t="str">
        <f t="shared" si="38"/>
        <v>=IF(INDIRECT("Columns!H124")=1;"";"A";IF(TRIM(INDIRECT("Columns!O124"))="";TRIM(INDIRECT("Columns!M124"));TRIM(INDIRECT("Columns!O124"))))</v>
      </c>
      <c r="M124" t="str">
        <f t="shared" si="39"/>
        <v>IF(TRIM(INDIRECT("Columns!O124"))="";TRIM(INDIRECT("Columns!M124"));TRIM(INDIRECT("Columns!O124")))</v>
      </c>
    </row>
    <row r="125" spans="2:13">
      <c r="B125">
        <v>125</v>
      </c>
      <c r="C125" t="str">
        <f t="shared" si="30"/>
        <v>=IF(TRIM(INDIRECT("Columns!M125")) ="";"";TRIM(INDIRECT("Columns!M125")))</v>
      </c>
      <c r="D125" t="str">
        <f t="shared" si="31"/>
        <v>TRIM(INDIRECT("Columns!O125"))</v>
      </c>
      <c r="E125" t="str">
        <f t="shared" si="32"/>
        <v>TRIM(INDIRECT("Columns!M125"))</v>
      </c>
      <c r="F125" t="str">
        <f t="shared" si="33"/>
        <v>TRIM(INDIRECT("Columns!D125"))</v>
      </c>
      <c r="G125" t="str">
        <f t="shared" si="34"/>
        <v>=IF(TRIM(INDIRECT("Columns!D125")) ="";C125;TRIM(INDIRECT("Columns!D125")))</v>
      </c>
      <c r="H125" s="190" t="str">
        <f t="shared" si="35"/>
        <v>=IF(TRIM(INDIRECT("Columns!O125"))="";"";TRIM(INDIRECT("Columns!O125")))</v>
      </c>
      <c r="I125" t="str">
        <f t="shared" si="36"/>
        <v>=IF(INDIRECT("Columns!H125")=1;</v>
      </c>
      <c r="J125" t="str">
        <f t="shared" si="37"/>
        <v>=IF(INDIRECT("Columns!H125")=1;"bigint";INDIRECT("Columns!C125"))</v>
      </c>
      <c r="L125" t="str">
        <f t="shared" si="38"/>
        <v>=IF(INDIRECT("Columns!H125")=1;"";"A";IF(TRIM(INDIRECT("Columns!O125"))="";TRIM(INDIRECT("Columns!M125"));TRIM(INDIRECT("Columns!O125"))))</v>
      </c>
      <c r="M125" t="str">
        <f t="shared" si="39"/>
        <v>IF(TRIM(INDIRECT("Columns!O125"))="";TRIM(INDIRECT("Columns!M125"));TRIM(INDIRECT("Columns!O125")))</v>
      </c>
    </row>
    <row r="126" spans="2:13">
      <c r="B126">
        <v>126</v>
      </c>
      <c r="C126" t="str">
        <f t="shared" si="30"/>
        <v>=IF(TRIM(INDIRECT("Columns!M126")) ="";"";TRIM(INDIRECT("Columns!M126")))</v>
      </c>
      <c r="D126" t="str">
        <f t="shared" si="31"/>
        <v>TRIM(INDIRECT("Columns!O126"))</v>
      </c>
      <c r="E126" t="str">
        <f t="shared" si="32"/>
        <v>TRIM(INDIRECT("Columns!M126"))</v>
      </c>
      <c r="F126" t="str">
        <f t="shared" si="33"/>
        <v>TRIM(INDIRECT("Columns!D126"))</v>
      </c>
      <c r="G126" t="str">
        <f t="shared" si="34"/>
        <v>=IF(TRIM(INDIRECT("Columns!D126")) ="";C126;TRIM(INDIRECT("Columns!D126")))</v>
      </c>
      <c r="H126" s="190" t="str">
        <f t="shared" si="35"/>
        <v>=IF(TRIM(INDIRECT("Columns!O126"))="";"";TRIM(INDIRECT("Columns!O126")))</v>
      </c>
      <c r="I126" t="str">
        <f t="shared" si="36"/>
        <v>=IF(INDIRECT("Columns!H126")=1;</v>
      </c>
      <c r="J126" t="str">
        <f t="shared" si="37"/>
        <v>=IF(INDIRECT("Columns!H126")=1;"bigint";INDIRECT("Columns!C126"))</v>
      </c>
      <c r="L126" t="str">
        <f t="shared" si="38"/>
        <v>=IF(INDIRECT("Columns!H126")=1;"";"A";IF(TRIM(INDIRECT("Columns!O126"))="";TRIM(INDIRECT("Columns!M126"));TRIM(INDIRECT("Columns!O126"))))</v>
      </c>
      <c r="M126" t="str">
        <f t="shared" si="39"/>
        <v>IF(TRIM(INDIRECT("Columns!O126"))="";TRIM(INDIRECT("Columns!M126"));TRIM(INDIRECT("Columns!O126")))</v>
      </c>
    </row>
    <row r="127" spans="2:13">
      <c r="B127">
        <v>127</v>
      </c>
      <c r="C127" t="str">
        <f t="shared" si="30"/>
        <v>=IF(TRIM(INDIRECT("Columns!M127")) ="";"";TRIM(INDIRECT("Columns!M127")))</v>
      </c>
      <c r="D127" t="str">
        <f t="shared" si="31"/>
        <v>TRIM(INDIRECT("Columns!O127"))</v>
      </c>
      <c r="E127" t="str">
        <f t="shared" si="32"/>
        <v>TRIM(INDIRECT("Columns!M127"))</v>
      </c>
      <c r="F127" t="str">
        <f t="shared" si="33"/>
        <v>TRIM(INDIRECT("Columns!D127"))</v>
      </c>
      <c r="G127" t="str">
        <f t="shared" si="34"/>
        <v>=IF(TRIM(INDIRECT("Columns!D127")) ="";C127;TRIM(INDIRECT("Columns!D127")))</v>
      </c>
      <c r="H127" s="190" t="str">
        <f t="shared" si="35"/>
        <v>=IF(TRIM(INDIRECT("Columns!O127"))="";"";TRIM(INDIRECT("Columns!O127")))</v>
      </c>
      <c r="I127" t="str">
        <f t="shared" si="36"/>
        <v>=IF(INDIRECT("Columns!H127")=1;</v>
      </c>
      <c r="J127" t="str">
        <f t="shared" si="37"/>
        <v>=IF(INDIRECT("Columns!H127")=1;"bigint";INDIRECT("Columns!C127"))</v>
      </c>
      <c r="L127" t="str">
        <f t="shared" si="38"/>
        <v>=IF(INDIRECT("Columns!H127")=1;"";"A";IF(TRIM(INDIRECT("Columns!O127"))="";TRIM(INDIRECT("Columns!M127"));TRIM(INDIRECT("Columns!O127"))))</v>
      </c>
      <c r="M127" t="str">
        <f t="shared" si="39"/>
        <v>IF(TRIM(INDIRECT("Columns!O127"))="";TRIM(INDIRECT("Columns!M127"));TRIM(INDIRECT("Columns!O127")))</v>
      </c>
    </row>
    <row r="128" spans="2:13">
      <c r="B128">
        <v>128</v>
      </c>
      <c r="C128" t="str">
        <f t="shared" si="30"/>
        <v>=IF(TRIM(INDIRECT("Columns!M128")) ="";"";TRIM(INDIRECT("Columns!M128")))</v>
      </c>
      <c r="D128" t="str">
        <f t="shared" si="31"/>
        <v>TRIM(INDIRECT("Columns!O128"))</v>
      </c>
      <c r="E128" t="str">
        <f t="shared" si="32"/>
        <v>TRIM(INDIRECT("Columns!M128"))</v>
      </c>
      <c r="F128" t="str">
        <f t="shared" si="33"/>
        <v>TRIM(INDIRECT("Columns!D128"))</v>
      </c>
      <c r="G128" t="str">
        <f t="shared" si="34"/>
        <v>=IF(TRIM(INDIRECT("Columns!D128")) ="";C128;TRIM(INDIRECT("Columns!D128")))</v>
      </c>
      <c r="H128" s="190" t="str">
        <f t="shared" si="35"/>
        <v>=IF(TRIM(INDIRECT("Columns!O128"))="";"";TRIM(INDIRECT("Columns!O128")))</v>
      </c>
      <c r="I128" t="str">
        <f t="shared" si="36"/>
        <v>=IF(INDIRECT("Columns!H128")=1;</v>
      </c>
      <c r="J128" t="str">
        <f t="shared" si="37"/>
        <v>=IF(INDIRECT("Columns!H128")=1;"bigint";INDIRECT("Columns!C128"))</v>
      </c>
      <c r="L128" t="str">
        <f t="shared" si="38"/>
        <v>=IF(INDIRECT("Columns!H128")=1;"";"A";IF(TRIM(INDIRECT("Columns!O128"))="";TRIM(INDIRECT("Columns!M128"));TRIM(INDIRECT("Columns!O128"))))</v>
      </c>
      <c r="M128" t="str">
        <f t="shared" si="39"/>
        <v>IF(TRIM(INDIRECT("Columns!O128"))="";TRIM(INDIRECT("Columns!M128"));TRIM(INDIRECT("Columns!O128")))</v>
      </c>
    </row>
    <row r="129" spans="2:13">
      <c r="B129">
        <v>129</v>
      </c>
      <c r="C129" t="str">
        <f t="shared" si="30"/>
        <v>=IF(TRIM(INDIRECT("Columns!M129")) ="";"";TRIM(INDIRECT("Columns!M129")))</v>
      </c>
      <c r="D129" t="str">
        <f t="shared" si="31"/>
        <v>TRIM(INDIRECT("Columns!O129"))</v>
      </c>
      <c r="E129" t="str">
        <f t="shared" si="32"/>
        <v>TRIM(INDIRECT("Columns!M129"))</v>
      </c>
      <c r="F129" t="str">
        <f t="shared" si="33"/>
        <v>TRIM(INDIRECT("Columns!D129"))</v>
      </c>
      <c r="G129" t="str">
        <f t="shared" si="34"/>
        <v>=IF(TRIM(INDIRECT("Columns!D129")) ="";C129;TRIM(INDIRECT("Columns!D129")))</v>
      </c>
      <c r="H129" s="190" t="str">
        <f t="shared" si="35"/>
        <v>=IF(TRIM(INDIRECT("Columns!O129"))="";"";TRIM(INDIRECT("Columns!O129")))</v>
      </c>
      <c r="I129" t="str">
        <f t="shared" si="36"/>
        <v>=IF(INDIRECT("Columns!H129")=1;</v>
      </c>
      <c r="J129" t="str">
        <f t="shared" si="37"/>
        <v>=IF(INDIRECT("Columns!H129")=1;"bigint";INDIRECT("Columns!C129"))</v>
      </c>
      <c r="L129" t="str">
        <f t="shared" si="38"/>
        <v>=IF(INDIRECT("Columns!H129")=1;"";"A";IF(TRIM(INDIRECT("Columns!O129"))="";TRIM(INDIRECT("Columns!M129"));TRIM(INDIRECT("Columns!O129"))))</v>
      </c>
      <c r="M129" t="str">
        <f t="shared" si="39"/>
        <v>IF(TRIM(INDIRECT("Columns!O129"))="";TRIM(INDIRECT("Columns!M129"));TRIM(INDIRECT("Columns!O129")))</v>
      </c>
    </row>
    <row r="130" spans="2:13">
      <c r="B130">
        <v>130</v>
      </c>
      <c r="C130" t="str">
        <f t="shared" ref="C130:C150" si="40">"=IF(" &amp; E130 &amp; " ="""";"""";" &amp; E130 &amp; ")"</f>
        <v>=IF(TRIM(INDIRECT("Columns!M130")) ="";"";TRIM(INDIRECT("Columns!M130")))</v>
      </c>
      <c r="D130" t="str">
        <f t="shared" ref="D130:D150" si="41">"TRIM(INDIRECT(""" &amp; $Q$2 &amp; "!" &amp; $Q$4 &amp; B130 &amp; """" &amp; "))"</f>
        <v>TRIM(INDIRECT("Columns!O130"))</v>
      </c>
      <c r="E130" t="str">
        <f t="shared" ref="E130:E150" si="42">"TRIM(INDIRECT(""" &amp; $Q$2 &amp; "!" &amp; $Q$7 &amp; B130 &amp; """" &amp; "))"</f>
        <v>TRIM(INDIRECT("Columns!M130"))</v>
      </c>
      <c r="F130" t="str">
        <f t="shared" ref="F130:F150" si="43">"TRIM(INDIRECT("""&amp;$Q$2&amp;"!"&amp;"D"&amp;B130&amp;""""&amp;"))"</f>
        <v>TRIM(INDIRECT("Columns!D130"))</v>
      </c>
      <c r="G130" t="str">
        <f t="shared" ref="G130:G150" si="44">"=IF(" &amp; F130 &amp; " ="""";C" &amp; B130 &amp; ";" &amp; F130 &amp; ")"</f>
        <v>=IF(TRIM(INDIRECT("Columns!D130")) ="";C130;TRIM(INDIRECT("Columns!D130")))</v>
      </c>
      <c r="H130" s="190" t="str">
        <f t="shared" ref="H130:H150" si="45">"=IF("&amp;D130&amp;"="""";"""";" &amp; D130 &amp; ")"</f>
        <v>=IF(TRIM(INDIRECT("Columns!O130"))="";"";TRIM(INDIRECT("Columns!O130")))</v>
      </c>
      <c r="I130" t="str">
        <f t="shared" ref="I130:I150" si="46">"=IF(INDIRECT(""" &amp; $Q$2 &amp; "!" &amp; "H" &amp; B130 &amp; """" &amp; ")=1;"</f>
        <v>=IF(INDIRECT("Columns!H130")=1;</v>
      </c>
      <c r="J130" t="str">
        <f t="shared" ref="J130:J150" si="47">I130&amp;"""bigint"";INDIRECT("""&amp;$Q$2&amp;"!C"&amp; B130 &amp; """))"</f>
        <v>=IF(INDIRECT("Columns!H130")=1;"bigint";INDIRECT("Columns!C130"))</v>
      </c>
      <c r="L130" t="str">
        <f t="shared" ref="L130:L150" si="48">"=IF(INDIRECT(""" &amp; $Q$2 &amp; "!" &amp; "H" &amp; B130 &amp; """" &amp; ")=1;"""";""A"";" &amp; M130 &amp; ")"</f>
        <v>=IF(INDIRECT("Columns!H130")=1;"";"A";IF(TRIM(INDIRECT("Columns!O130"))="";TRIM(INDIRECT("Columns!M130"));TRIM(INDIRECT("Columns!O130"))))</v>
      </c>
      <c r="M130" t="str">
        <f t="shared" si="39"/>
        <v>IF(TRIM(INDIRECT("Columns!O130"))="";TRIM(INDIRECT("Columns!M130"));TRIM(INDIRECT("Columns!O130")))</v>
      </c>
    </row>
    <row r="131" spans="2:13">
      <c r="B131">
        <v>131</v>
      </c>
      <c r="C131" t="str">
        <f t="shared" si="40"/>
        <v>=IF(TRIM(INDIRECT("Columns!M131")) ="";"";TRIM(INDIRECT("Columns!M131")))</v>
      </c>
      <c r="D131" t="str">
        <f t="shared" si="41"/>
        <v>TRIM(INDIRECT("Columns!O131"))</v>
      </c>
      <c r="E131" t="str">
        <f t="shared" si="42"/>
        <v>TRIM(INDIRECT("Columns!M131"))</v>
      </c>
      <c r="F131" t="str">
        <f t="shared" si="43"/>
        <v>TRIM(INDIRECT("Columns!D131"))</v>
      </c>
      <c r="G131" t="str">
        <f t="shared" si="44"/>
        <v>=IF(TRIM(INDIRECT("Columns!D131")) ="";C131;TRIM(INDIRECT("Columns!D131")))</v>
      </c>
      <c r="H131" s="190" t="str">
        <f t="shared" si="45"/>
        <v>=IF(TRIM(INDIRECT("Columns!O131"))="";"";TRIM(INDIRECT("Columns!O131")))</v>
      </c>
      <c r="I131" t="str">
        <f t="shared" si="46"/>
        <v>=IF(INDIRECT("Columns!H131")=1;</v>
      </c>
      <c r="J131" t="str">
        <f t="shared" si="47"/>
        <v>=IF(INDIRECT("Columns!H131")=1;"bigint";INDIRECT("Columns!C131"))</v>
      </c>
      <c r="L131" t="str">
        <f t="shared" si="48"/>
        <v>=IF(INDIRECT("Columns!H131")=1;"";"A";IF(TRIM(INDIRECT("Columns!O131"))="";TRIM(INDIRECT("Columns!M131"));TRIM(INDIRECT("Columns!O131"))))</v>
      </c>
      <c r="M131" t="str">
        <f t="shared" si="39"/>
        <v>IF(TRIM(INDIRECT("Columns!O131"))="";TRIM(INDIRECT("Columns!M131"));TRIM(INDIRECT("Columns!O131")))</v>
      </c>
    </row>
    <row r="132" spans="2:13">
      <c r="B132">
        <v>132</v>
      </c>
      <c r="C132" t="str">
        <f t="shared" si="40"/>
        <v>=IF(TRIM(INDIRECT("Columns!M132")) ="";"";TRIM(INDIRECT("Columns!M132")))</v>
      </c>
      <c r="D132" t="str">
        <f t="shared" si="41"/>
        <v>TRIM(INDIRECT("Columns!O132"))</v>
      </c>
      <c r="E132" t="str">
        <f t="shared" si="42"/>
        <v>TRIM(INDIRECT("Columns!M132"))</v>
      </c>
      <c r="F132" t="str">
        <f t="shared" si="43"/>
        <v>TRIM(INDIRECT("Columns!D132"))</v>
      </c>
      <c r="G132" t="str">
        <f t="shared" si="44"/>
        <v>=IF(TRIM(INDIRECT("Columns!D132")) ="";C132;TRIM(INDIRECT("Columns!D132")))</v>
      </c>
      <c r="H132" s="190" t="str">
        <f t="shared" si="45"/>
        <v>=IF(TRIM(INDIRECT("Columns!O132"))="";"";TRIM(INDIRECT("Columns!O132")))</v>
      </c>
      <c r="I132" t="str">
        <f t="shared" si="46"/>
        <v>=IF(INDIRECT("Columns!H132")=1;</v>
      </c>
      <c r="J132" t="str">
        <f t="shared" si="47"/>
        <v>=IF(INDIRECT("Columns!H132")=1;"bigint";INDIRECT("Columns!C132"))</v>
      </c>
      <c r="L132" t="str">
        <f t="shared" si="48"/>
        <v>=IF(INDIRECT("Columns!H132")=1;"";"A";IF(TRIM(INDIRECT("Columns!O132"))="";TRIM(INDIRECT("Columns!M132"));TRIM(INDIRECT("Columns!O132"))))</v>
      </c>
      <c r="M132" t="str">
        <f t="shared" si="39"/>
        <v>IF(TRIM(INDIRECT("Columns!O132"))="";TRIM(INDIRECT("Columns!M132"));TRIM(INDIRECT("Columns!O132")))</v>
      </c>
    </row>
    <row r="133" spans="2:13">
      <c r="B133">
        <v>133</v>
      </c>
      <c r="C133" t="str">
        <f t="shared" si="40"/>
        <v>=IF(TRIM(INDIRECT("Columns!M133")) ="";"";TRIM(INDIRECT("Columns!M133")))</v>
      </c>
      <c r="D133" t="str">
        <f t="shared" si="41"/>
        <v>TRIM(INDIRECT("Columns!O133"))</v>
      </c>
      <c r="E133" t="str">
        <f t="shared" si="42"/>
        <v>TRIM(INDIRECT("Columns!M133"))</v>
      </c>
      <c r="F133" t="str">
        <f t="shared" si="43"/>
        <v>TRIM(INDIRECT("Columns!D133"))</v>
      </c>
      <c r="G133" t="str">
        <f t="shared" si="44"/>
        <v>=IF(TRIM(INDIRECT("Columns!D133")) ="";C133;TRIM(INDIRECT("Columns!D133")))</v>
      </c>
      <c r="H133" s="190" t="str">
        <f t="shared" si="45"/>
        <v>=IF(TRIM(INDIRECT("Columns!O133"))="";"";TRIM(INDIRECT("Columns!O133")))</v>
      </c>
      <c r="I133" t="str">
        <f t="shared" si="46"/>
        <v>=IF(INDIRECT("Columns!H133")=1;</v>
      </c>
      <c r="J133" t="str">
        <f t="shared" si="47"/>
        <v>=IF(INDIRECT("Columns!H133")=1;"bigint";INDIRECT("Columns!C133"))</v>
      </c>
      <c r="L133" t="str">
        <f t="shared" si="48"/>
        <v>=IF(INDIRECT("Columns!H133")=1;"";"A";IF(TRIM(INDIRECT("Columns!O133"))="";TRIM(INDIRECT("Columns!M133"));TRIM(INDIRECT("Columns!O133"))))</v>
      </c>
      <c r="M133" t="str">
        <f t="shared" si="39"/>
        <v>IF(TRIM(INDIRECT("Columns!O133"))="";TRIM(INDIRECT("Columns!M133"));TRIM(INDIRECT("Columns!O133")))</v>
      </c>
    </row>
    <row r="134" spans="2:13">
      <c r="B134">
        <v>134</v>
      </c>
      <c r="C134" t="str">
        <f t="shared" si="40"/>
        <v>=IF(TRIM(INDIRECT("Columns!M134")) ="";"";TRIM(INDIRECT("Columns!M134")))</v>
      </c>
      <c r="D134" t="str">
        <f t="shared" si="41"/>
        <v>TRIM(INDIRECT("Columns!O134"))</v>
      </c>
      <c r="E134" t="str">
        <f t="shared" si="42"/>
        <v>TRIM(INDIRECT("Columns!M134"))</v>
      </c>
      <c r="F134" t="str">
        <f t="shared" si="43"/>
        <v>TRIM(INDIRECT("Columns!D134"))</v>
      </c>
      <c r="G134" t="str">
        <f t="shared" si="44"/>
        <v>=IF(TRIM(INDIRECT("Columns!D134")) ="";C134;TRIM(INDIRECT("Columns!D134")))</v>
      </c>
      <c r="H134" s="190" t="str">
        <f t="shared" si="45"/>
        <v>=IF(TRIM(INDIRECT("Columns!O134"))="";"";TRIM(INDIRECT("Columns!O134")))</v>
      </c>
      <c r="I134" t="str">
        <f t="shared" si="46"/>
        <v>=IF(INDIRECT("Columns!H134")=1;</v>
      </c>
      <c r="J134" t="str">
        <f t="shared" si="47"/>
        <v>=IF(INDIRECT("Columns!H134")=1;"bigint";INDIRECT("Columns!C134"))</v>
      </c>
      <c r="L134" t="str">
        <f t="shared" si="48"/>
        <v>=IF(INDIRECT("Columns!H134")=1;"";"A";IF(TRIM(INDIRECT("Columns!O134"))="";TRIM(INDIRECT("Columns!M134"));TRIM(INDIRECT("Columns!O134"))))</v>
      </c>
      <c r="M134" t="str">
        <f t="shared" si="39"/>
        <v>IF(TRIM(INDIRECT("Columns!O134"))="";TRIM(INDIRECT("Columns!M134"));TRIM(INDIRECT("Columns!O134")))</v>
      </c>
    </row>
    <row r="135" spans="2:13">
      <c r="B135">
        <v>135</v>
      </c>
      <c r="C135" t="str">
        <f t="shared" si="40"/>
        <v>=IF(TRIM(INDIRECT("Columns!M135")) ="";"";TRIM(INDIRECT("Columns!M135")))</v>
      </c>
      <c r="D135" t="str">
        <f t="shared" si="41"/>
        <v>TRIM(INDIRECT("Columns!O135"))</v>
      </c>
      <c r="E135" t="str">
        <f t="shared" si="42"/>
        <v>TRIM(INDIRECT("Columns!M135"))</v>
      </c>
      <c r="F135" t="str">
        <f t="shared" si="43"/>
        <v>TRIM(INDIRECT("Columns!D135"))</v>
      </c>
      <c r="G135" t="str">
        <f t="shared" si="44"/>
        <v>=IF(TRIM(INDIRECT("Columns!D135")) ="";C135;TRIM(INDIRECT("Columns!D135")))</v>
      </c>
      <c r="H135" s="190" t="str">
        <f t="shared" si="45"/>
        <v>=IF(TRIM(INDIRECT("Columns!O135"))="";"";TRIM(INDIRECT("Columns!O135")))</v>
      </c>
      <c r="I135" t="str">
        <f t="shared" si="46"/>
        <v>=IF(INDIRECT("Columns!H135")=1;</v>
      </c>
      <c r="J135" t="str">
        <f t="shared" si="47"/>
        <v>=IF(INDIRECT("Columns!H135")=1;"bigint";INDIRECT("Columns!C135"))</v>
      </c>
      <c r="L135" t="str">
        <f t="shared" si="48"/>
        <v>=IF(INDIRECT("Columns!H135")=1;"";"A";IF(TRIM(INDIRECT("Columns!O135"))="";TRIM(INDIRECT("Columns!M135"));TRIM(INDIRECT("Columns!O135"))))</v>
      </c>
      <c r="M135" t="str">
        <f t="shared" si="39"/>
        <v>IF(TRIM(INDIRECT("Columns!O135"))="";TRIM(INDIRECT("Columns!M135"));TRIM(INDIRECT("Columns!O135")))</v>
      </c>
    </row>
    <row r="136" spans="2:13">
      <c r="B136">
        <v>136</v>
      </c>
      <c r="C136" t="str">
        <f t="shared" si="40"/>
        <v>=IF(TRIM(INDIRECT("Columns!M136")) ="";"";TRIM(INDIRECT("Columns!M136")))</v>
      </c>
      <c r="D136" t="str">
        <f t="shared" si="41"/>
        <v>TRIM(INDIRECT("Columns!O136"))</v>
      </c>
      <c r="E136" t="str">
        <f t="shared" si="42"/>
        <v>TRIM(INDIRECT("Columns!M136"))</v>
      </c>
      <c r="F136" t="str">
        <f t="shared" si="43"/>
        <v>TRIM(INDIRECT("Columns!D136"))</v>
      </c>
      <c r="G136" t="str">
        <f t="shared" si="44"/>
        <v>=IF(TRIM(INDIRECT("Columns!D136")) ="";C136;TRIM(INDIRECT("Columns!D136")))</v>
      </c>
      <c r="H136" s="190" t="str">
        <f t="shared" si="45"/>
        <v>=IF(TRIM(INDIRECT("Columns!O136"))="";"";TRIM(INDIRECT("Columns!O136")))</v>
      </c>
      <c r="I136" t="str">
        <f t="shared" si="46"/>
        <v>=IF(INDIRECT("Columns!H136")=1;</v>
      </c>
      <c r="J136" t="str">
        <f t="shared" si="47"/>
        <v>=IF(INDIRECT("Columns!H136")=1;"bigint";INDIRECT("Columns!C136"))</v>
      </c>
      <c r="L136" t="str">
        <f t="shared" si="48"/>
        <v>=IF(INDIRECT("Columns!H136")=1;"";"A";IF(TRIM(INDIRECT("Columns!O136"))="";TRIM(INDIRECT("Columns!M136"));TRIM(INDIRECT("Columns!O136"))))</v>
      </c>
      <c r="M136" t="str">
        <f t="shared" si="39"/>
        <v>IF(TRIM(INDIRECT("Columns!O136"))="";TRIM(INDIRECT("Columns!M136"));TRIM(INDIRECT("Columns!O136")))</v>
      </c>
    </row>
    <row r="137" spans="2:13">
      <c r="B137">
        <v>137</v>
      </c>
      <c r="C137" t="str">
        <f t="shared" si="40"/>
        <v>=IF(TRIM(INDIRECT("Columns!M137")) ="";"";TRIM(INDIRECT("Columns!M137")))</v>
      </c>
      <c r="D137" t="str">
        <f t="shared" si="41"/>
        <v>TRIM(INDIRECT("Columns!O137"))</v>
      </c>
      <c r="E137" t="str">
        <f t="shared" si="42"/>
        <v>TRIM(INDIRECT("Columns!M137"))</v>
      </c>
      <c r="F137" t="str">
        <f t="shared" si="43"/>
        <v>TRIM(INDIRECT("Columns!D137"))</v>
      </c>
      <c r="G137" t="str">
        <f t="shared" si="44"/>
        <v>=IF(TRIM(INDIRECT("Columns!D137")) ="";C137;TRIM(INDIRECT("Columns!D137")))</v>
      </c>
      <c r="H137" s="190" t="str">
        <f t="shared" si="45"/>
        <v>=IF(TRIM(INDIRECT("Columns!O137"))="";"";TRIM(INDIRECT("Columns!O137")))</v>
      </c>
      <c r="I137" t="str">
        <f t="shared" si="46"/>
        <v>=IF(INDIRECT("Columns!H137")=1;</v>
      </c>
      <c r="J137" t="str">
        <f t="shared" si="47"/>
        <v>=IF(INDIRECT("Columns!H137")=1;"bigint";INDIRECT("Columns!C137"))</v>
      </c>
      <c r="L137" t="str">
        <f t="shared" si="48"/>
        <v>=IF(INDIRECT("Columns!H137")=1;"";"A";IF(TRIM(INDIRECT("Columns!O137"))="";TRIM(INDIRECT("Columns!M137"));TRIM(INDIRECT("Columns!O137"))))</v>
      </c>
      <c r="M137" t="str">
        <f t="shared" si="39"/>
        <v>IF(TRIM(INDIRECT("Columns!O137"))="";TRIM(INDIRECT("Columns!M137"));TRIM(INDIRECT("Columns!O137")))</v>
      </c>
    </row>
    <row r="138" spans="2:13">
      <c r="B138">
        <v>138</v>
      </c>
      <c r="C138" t="str">
        <f t="shared" si="40"/>
        <v>=IF(TRIM(INDIRECT("Columns!M138")) ="";"";TRIM(INDIRECT("Columns!M138")))</v>
      </c>
      <c r="D138" t="str">
        <f t="shared" si="41"/>
        <v>TRIM(INDIRECT("Columns!O138"))</v>
      </c>
      <c r="E138" t="str">
        <f t="shared" si="42"/>
        <v>TRIM(INDIRECT("Columns!M138"))</v>
      </c>
      <c r="F138" t="str">
        <f t="shared" si="43"/>
        <v>TRIM(INDIRECT("Columns!D138"))</v>
      </c>
      <c r="G138" t="str">
        <f t="shared" si="44"/>
        <v>=IF(TRIM(INDIRECT("Columns!D138")) ="";C138;TRIM(INDIRECT("Columns!D138")))</v>
      </c>
      <c r="H138" s="190" t="str">
        <f t="shared" si="45"/>
        <v>=IF(TRIM(INDIRECT("Columns!O138"))="";"";TRIM(INDIRECT("Columns!O138")))</v>
      </c>
      <c r="I138" t="str">
        <f t="shared" si="46"/>
        <v>=IF(INDIRECT("Columns!H138")=1;</v>
      </c>
      <c r="J138" t="str">
        <f t="shared" si="47"/>
        <v>=IF(INDIRECT("Columns!H138")=1;"bigint";INDIRECT("Columns!C138"))</v>
      </c>
      <c r="L138" t="str">
        <f t="shared" si="48"/>
        <v>=IF(INDIRECT("Columns!H138")=1;"";"A";IF(TRIM(INDIRECT("Columns!O138"))="";TRIM(INDIRECT("Columns!M138"));TRIM(INDIRECT("Columns!O138"))))</v>
      </c>
      <c r="M138" t="str">
        <f t="shared" si="39"/>
        <v>IF(TRIM(INDIRECT("Columns!O138"))="";TRIM(INDIRECT("Columns!M138"));TRIM(INDIRECT("Columns!O138")))</v>
      </c>
    </row>
    <row r="139" spans="2:13">
      <c r="B139">
        <v>139</v>
      </c>
      <c r="C139" t="str">
        <f t="shared" si="40"/>
        <v>=IF(TRIM(INDIRECT("Columns!M139")) ="";"";TRIM(INDIRECT("Columns!M139")))</v>
      </c>
      <c r="D139" t="str">
        <f t="shared" si="41"/>
        <v>TRIM(INDIRECT("Columns!O139"))</v>
      </c>
      <c r="E139" t="str">
        <f t="shared" si="42"/>
        <v>TRIM(INDIRECT("Columns!M139"))</v>
      </c>
      <c r="F139" t="str">
        <f t="shared" si="43"/>
        <v>TRIM(INDIRECT("Columns!D139"))</v>
      </c>
      <c r="G139" t="str">
        <f t="shared" si="44"/>
        <v>=IF(TRIM(INDIRECT("Columns!D139")) ="";C139;TRIM(INDIRECT("Columns!D139")))</v>
      </c>
      <c r="H139" s="190" t="str">
        <f t="shared" si="45"/>
        <v>=IF(TRIM(INDIRECT("Columns!O139"))="";"";TRIM(INDIRECT("Columns!O139")))</v>
      </c>
      <c r="I139" t="str">
        <f t="shared" si="46"/>
        <v>=IF(INDIRECT("Columns!H139")=1;</v>
      </c>
      <c r="J139" t="str">
        <f t="shared" si="47"/>
        <v>=IF(INDIRECT("Columns!H139")=1;"bigint";INDIRECT("Columns!C139"))</v>
      </c>
      <c r="L139" t="str">
        <f t="shared" si="48"/>
        <v>=IF(INDIRECT("Columns!H139")=1;"";"A";IF(TRIM(INDIRECT("Columns!O139"))="";TRIM(INDIRECT("Columns!M139"));TRIM(INDIRECT("Columns!O139"))))</v>
      </c>
      <c r="M139" t="str">
        <f t="shared" si="39"/>
        <v>IF(TRIM(INDIRECT("Columns!O139"))="";TRIM(INDIRECT("Columns!M139"));TRIM(INDIRECT("Columns!O139")))</v>
      </c>
    </row>
    <row r="140" spans="2:13">
      <c r="B140">
        <v>140</v>
      </c>
      <c r="C140" t="str">
        <f t="shared" si="40"/>
        <v>=IF(TRIM(INDIRECT("Columns!M140")) ="";"";TRIM(INDIRECT("Columns!M140")))</v>
      </c>
      <c r="D140" t="str">
        <f t="shared" si="41"/>
        <v>TRIM(INDIRECT("Columns!O140"))</v>
      </c>
      <c r="E140" t="str">
        <f t="shared" si="42"/>
        <v>TRIM(INDIRECT("Columns!M140"))</v>
      </c>
      <c r="F140" t="str">
        <f t="shared" si="43"/>
        <v>TRIM(INDIRECT("Columns!D140"))</v>
      </c>
      <c r="G140" t="str">
        <f t="shared" si="44"/>
        <v>=IF(TRIM(INDIRECT("Columns!D140")) ="";C140;TRIM(INDIRECT("Columns!D140")))</v>
      </c>
      <c r="H140" s="190" t="str">
        <f t="shared" si="45"/>
        <v>=IF(TRIM(INDIRECT("Columns!O140"))="";"";TRIM(INDIRECT("Columns!O140")))</v>
      </c>
      <c r="I140" t="str">
        <f t="shared" si="46"/>
        <v>=IF(INDIRECT("Columns!H140")=1;</v>
      </c>
      <c r="J140" t="str">
        <f t="shared" si="47"/>
        <v>=IF(INDIRECT("Columns!H140")=1;"bigint";INDIRECT("Columns!C140"))</v>
      </c>
      <c r="L140" t="str">
        <f t="shared" si="48"/>
        <v>=IF(INDIRECT("Columns!H140")=1;"";"A";IF(TRIM(INDIRECT("Columns!O140"))="";TRIM(INDIRECT("Columns!M140"));TRIM(INDIRECT("Columns!O140"))))</v>
      </c>
      <c r="M140" t="str">
        <f t="shared" si="39"/>
        <v>IF(TRIM(INDIRECT("Columns!O140"))="";TRIM(INDIRECT("Columns!M140"));TRIM(INDIRECT("Columns!O140")))</v>
      </c>
    </row>
    <row r="141" spans="2:13">
      <c r="B141">
        <v>141</v>
      </c>
      <c r="C141" t="str">
        <f t="shared" si="40"/>
        <v>=IF(TRIM(INDIRECT("Columns!M141")) ="";"";TRIM(INDIRECT("Columns!M141")))</v>
      </c>
      <c r="D141" t="str">
        <f t="shared" si="41"/>
        <v>TRIM(INDIRECT("Columns!O141"))</v>
      </c>
      <c r="E141" t="str">
        <f t="shared" si="42"/>
        <v>TRIM(INDIRECT("Columns!M141"))</v>
      </c>
      <c r="F141" t="str">
        <f t="shared" si="43"/>
        <v>TRIM(INDIRECT("Columns!D141"))</v>
      </c>
      <c r="G141" t="str">
        <f t="shared" si="44"/>
        <v>=IF(TRIM(INDIRECT("Columns!D141")) ="";C141;TRIM(INDIRECT("Columns!D141")))</v>
      </c>
      <c r="H141" s="190" t="str">
        <f t="shared" si="45"/>
        <v>=IF(TRIM(INDIRECT("Columns!O141"))="";"";TRIM(INDIRECT("Columns!O141")))</v>
      </c>
      <c r="I141" t="str">
        <f t="shared" si="46"/>
        <v>=IF(INDIRECT("Columns!H141")=1;</v>
      </c>
      <c r="J141" t="str">
        <f t="shared" si="47"/>
        <v>=IF(INDIRECT("Columns!H141")=1;"bigint";INDIRECT("Columns!C141"))</v>
      </c>
      <c r="L141" t="str">
        <f t="shared" si="48"/>
        <v>=IF(INDIRECT("Columns!H141")=1;"";"A";IF(TRIM(INDIRECT("Columns!O141"))="";TRIM(INDIRECT("Columns!M141"));TRIM(INDIRECT("Columns!O141"))))</v>
      </c>
      <c r="M141" t="str">
        <f t="shared" si="39"/>
        <v>IF(TRIM(INDIRECT("Columns!O141"))="";TRIM(INDIRECT("Columns!M141"));TRIM(INDIRECT("Columns!O141")))</v>
      </c>
    </row>
    <row r="142" spans="2:13">
      <c r="B142">
        <v>142</v>
      </c>
      <c r="C142" t="str">
        <f t="shared" si="40"/>
        <v>=IF(TRIM(INDIRECT("Columns!M142")) ="";"";TRIM(INDIRECT("Columns!M142")))</v>
      </c>
      <c r="D142" t="str">
        <f t="shared" si="41"/>
        <v>TRIM(INDIRECT("Columns!O142"))</v>
      </c>
      <c r="E142" t="str">
        <f t="shared" si="42"/>
        <v>TRIM(INDIRECT("Columns!M142"))</v>
      </c>
      <c r="F142" t="str">
        <f t="shared" si="43"/>
        <v>TRIM(INDIRECT("Columns!D142"))</v>
      </c>
      <c r="G142" t="str">
        <f t="shared" si="44"/>
        <v>=IF(TRIM(INDIRECT("Columns!D142")) ="";C142;TRIM(INDIRECT("Columns!D142")))</v>
      </c>
      <c r="H142" s="190" t="str">
        <f t="shared" si="45"/>
        <v>=IF(TRIM(INDIRECT("Columns!O142"))="";"";TRIM(INDIRECT("Columns!O142")))</v>
      </c>
      <c r="I142" t="str">
        <f t="shared" si="46"/>
        <v>=IF(INDIRECT("Columns!H142")=1;</v>
      </c>
      <c r="J142" t="str">
        <f t="shared" si="47"/>
        <v>=IF(INDIRECT("Columns!H142")=1;"bigint";INDIRECT("Columns!C142"))</v>
      </c>
      <c r="L142" t="str">
        <f t="shared" si="48"/>
        <v>=IF(INDIRECT("Columns!H142")=1;"";"A";IF(TRIM(INDIRECT("Columns!O142"))="";TRIM(INDIRECT("Columns!M142"));TRIM(INDIRECT("Columns!O142"))))</v>
      </c>
      <c r="M142" t="str">
        <f t="shared" si="39"/>
        <v>IF(TRIM(INDIRECT("Columns!O142"))="";TRIM(INDIRECT("Columns!M142"));TRIM(INDIRECT("Columns!O142")))</v>
      </c>
    </row>
    <row r="143" spans="2:13">
      <c r="B143">
        <v>143</v>
      </c>
      <c r="C143" t="str">
        <f t="shared" si="40"/>
        <v>=IF(TRIM(INDIRECT("Columns!M143")) ="";"";TRIM(INDIRECT("Columns!M143")))</v>
      </c>
      <c r="D143" t="str">
        <f t="shared" si="41"/>
        <v>TRIM(INDIRECT("Columns!O143"))</v>
      </c>
      <c r="E143" t="str">
        <f t="shared" si="42"/>
        <v>TRIM(INDIRECT("Columns!M143"))</v>
      </c>
      <c r="F143" t="str">
        <f t="shared" si="43"/>
        <v>TRIM(INDIRECT("Columns!D143"))</v>
      </c>
      <c r="G143" t="str">
        <f t="shared" si="44"/>
        <v>=IF(TRIM(INDIRECT("Columns!D143")) ="";C143;TRIM(INDIRECT("Columns!D143")))</v>
      </c>
      <c r="H143" s="190" t="str">
        <f t="shared" si="45"/>
        <v>=IF(TRIM(INDIRECT("Columns!O143"))="";"";TRIM(INDIRECT("Columns!O143")))</v>
      </c>
      <c r="I143" t="str">
        <f t="shared" si="46"/>
        <v>=IF(INDIRECT("Columns!H143")=1;</v>
      </c>
      <c r="J143" t="str">
        <f t="shared" si="47"/>
        <v>=IF(INDIRECT("Columns!H143")=1;"bigint";INDIRECT("Columns!C143"))</v>
      </c>
      <c r="L143" t="str">
        <f t="shared" si="48"/>
        <v>=IF(INDIRECT("Columns!H143")=1;"";"A";IF(TRIM(INDIRECT("Columns!O143"))="";TRIM(INDIRECT("Columns!M143"));TRIM(INDIRECT("Columns!O143"))))</v>
      </c>
      <c r="M143" t="str">
        <f t="shared" si="39"/>
        <v>IF(TRIM(INDIRECT("Columns!O143"))="";TRIM(INDIRECT("Columns!M143"));TRIM(INDIRECT("Columns!O143")))</v>
      </c>
    </row>
    <row r="144" spans="2:13">
      <c r="B144">
        <v>144</v>
      </c>
      <c r="C144" t="str">
        <f t="shared" si="40"/>
        <v>=IF(TRIM(INDIRECT("Columns!M144")) ="";"";TRIM(INDIRECT("Columns!M144")))</v>
      </c>
      <c r="D144" t="str">
        <f t="shared" si="41"/>
        <v>TRIM(INDIRECT("Columns!O144"))</v>
      </c>
      <c r="E144" t="str">
        <f t="shared" si="42"/>
        <v>TRIM(INDIRECT("Columns!M144"))</v>
      </c>
      <c r="F144" t="str">
        <f t="shared" si="43"/>
        <v>TRIM(INDIRECT("Columns!D144"))</v>
      </c>
      <c r="G144" t="str">
        <f t="shared" si="44"/>
        <v>=IF(TRIM(INDIRECT("Columns!D144")) ="";C144;TRIM(INDIRECT("Columns!D144")))</v>
      </c>
      <c r="H144" s="190" t="str">
        <f t="shared" si="45"/>
        <v>=IF(TRIM(INDIRECT("Columns!O144"))="";"";TRIM(INDIRECT("Columns!O144")))</v>
      </c>
      <c r="I144" t="str">
        <f t="shared" si="46"/>
        <v>=IF(INDIRECT("Columns!H144")=1;</v>
      </c>
      <c r="J144" t="str">
        <f t="shared" si="47"/>
        <v>=IF(INDIRECT("Columns!H144")=1;"bigint";INDIRECT("Columns!C144"))</v>
      </c>
      <c r="L144" t="str">
        <f t="shared" si="48"/>
        <v>=IF(INDIRECT("Columns!H144")=1;"";"A";IF(TRIM(INDIRECT("Columns!O144"))="";TRIM(INDIRECT("Columns!M144"));TRIM(INDIRECT("Columns!O144"))))</v>
      </c>
      <c r="M144" t="str">
        <f t="shared" si="39"/>
        <v>IF(TRIM(INDIRECT("Columns!O144"))="";TRIM(INDIRECT("Columns!M144"));TRIM(INDIRECT("Columns!O144")))</v>
      </c>
    </row>
    <row r="145" spans="2:13">
      <c r="B145">
        <v>145</v>
      </c>
      <c r="C145" t="str">
        <f t="shared" si="40"/>
        <v>=IF(TRIM(INDIRECT("Columns!M145")) ="";"";TRIM(INDIRECT("Columns!M145")))</v>
      </c>
      <c r="D145" t="str">
        <f t="shared" si="41"/>
        <v>TRIM(INDIRECT("Columns!O145"))</v>
      </c>
      <c r="E145" t="str">
        <f t="shared" si="42"/>
        <v>TRIM(INDIRECT("Columns!M145"))</v>
      </c>
      <c r="F145" t="str">
        <f t="shared" si="43"/>
        <v>TRIM(INDIRECT("Columns!D145"))</v>
      </c>
      <c r="G145" t="str">
        <f t="shared" si="44"/>
        <v>=IF(TRIM(INDIRECT("Columns!D145")) ="";C145;TRIM(INDIRECT("Columns!D145")))</v>
      </c>
      <c r="H145" s="190" t="str">
        <f t="shared" si="45"/>
        <v>=IF(TRIM(INDIRECT("Columns!O145"))="";"";TRIM(INDIRECT("Columns!O145")))</v>
      </c>
      <c r="I145" t="str">
        <f t="shared" si="46"/>
        <v>=IF(INDIRECT("Columns!H145")=1;</v>
      </c>
      <c r="J145" t="str">
        <f t="shared" si="47"/>
        <v>=IF(INDIRECT("Columns!H145")=1;"bigint";INDIRECT("Columns!C145"))</v>
      </c>
      <c r="L145" t="str">
        <f t="shared" si="48"/>
        <v>=IF(INDIRECT("Columns!H145")=1;"";"A";IF(TRIM(INDIRECT("Columns!O145"))="";TRIM(INDIRECT("Columns!M145"));TRIM(INDIRECT("Columns!O145"))))</v>
      </c>
      <c r="M145" t="str">
        <f t="shared" si="39"/>
        <v>IF(TRIM(INDIRECT("Columns!O145"))="";TRIM(INDIRECT("Columns!M145"));TRIM(INDIRECT("Columns!O145")))</v>
      </c>
    </row>
    <row r="146" spans="2:13">
      <c r="B146">
        <v>146</v>
      </c>
      <c r="C146" t="str">
        <f t="shared" si="40"/>
        <v>=IF(TRIM(INDIRECT("Columns!M146")) ="";"";TRIM(INDIRECT("Columns!M146")))</v>
      </c>
      <c r="D146" t="str">
        <f t="shared" si="41"/>
        <v>TRIM(INDIRECT("Columns!O146"))</v>
      </c>
      <c r="E146" t="str">
        <f t="shared" si="42"/>
        <v>TRIM(INDIRECT("Columns!M146"))</v>
      </c>
      <c r="F146" t="str">
        <f t="shared" si="43"/>
        <v>TRIM(INDIRECT("Columns!D146"))</v>
      </c>
      <c r="G146" t="str">
        <f t="shared" si="44"/>
        <v>=IF(TRIM(INDIRECT("Columns!D146")) ="";C146;TRIM(INDIRECT("Columns!D146")))</v>
      </c>
      <c r="H146" s="190" t="str">
        <f t="shared" si="45"/>
        <v>=IF(TRIM(INDIRECT("Columns!O146"))="";"";TRIM(INDIRECT("Columns!O146")))</v>
      </c>
      <c r="I146" t="str">
        <f t="shared" si="46"/>
        <v>=IF(INDIRECT("Columns!H146")=1;</v>
      </c>
      <c r="J146" t="str">
        <f t="shared" si="47"/>
        <v>=IF(INDIRECT("Columns!H146")=1;"bigint";INDIRECT("Columns!C146"))</v>
      </c>
      <c r="L146" t="str">
        <f t="shared" si="48"/>
        <v>=IF(INDIRECT("Columns!H146")=1;"";"A";IF(TRIM(INDIRECT("Columns!O146"))="";TRIM(INDIRECT("Columns!M146"));TRIM(INDIRECT("Columns!O146"))))</v>
      </c>
      <c r="M146" t="str">
        <f t="shared" si="39"/>
        <v>IF(TRIM(INDIRECT("Columns!O146"))="";TRIM(INDIRECT("Columns!M146"));TRIM(INDIRECT("Columns!O146")))</v>
      </c>
    </row>
    <row r="147" spans="2:13">
      <c r="B147">
        <v>147</v>
      </c>
      <c r="C147" t="str">
        <f t="shared" si="40"/>
        <v>=IF(TRIM(INDIRECT("Columns!M147")) ="";"";TRIM(INDIRECT("Columns!M147")))</v>
      </c>
      <c r="D147" t="str">
        <f t="shared" si="41"/>
        <v>TRIM(INDIRECT("Columns!O147"))</v>
      </c>
      <c r="E147" t="str">
        <f t="shared" si="42"/>
        <v>TRIM(INDIRECT("Columns!M147"))</v>
      </c>
      <c r="F147" t="str">
        <f t="shared" si="43"/>
        <v>TRIM(INDIRECT("Columns!D147"))</v>
      </c>
      <c r="G147" t="str">
        <f t="shared" si="44"/>
        <v>=IF(TRIM(INDIRECT("Columns!D147")) ="";C147;TRIM(INDIRECT("Columns!D147")))</v>
      </c>
      <c r="H147" s="190" t="str">
        <f t="shared" si="45"/>
        <v>=IF(TRIM(INDIRECT("Columns!O147"))="";"";TRIM(INDIRECT("Columns!O147")))</v>
      </c>
      <c r="I147" t="str">
        <f t="shared" si="46"/>
        <v>=IF(INDIRECT("Columns!H147")=1;</v>
      </c>
      <c r="J147" t="str">
        <f t="shared" si="47"/>
        <v>=IF(INDIRECT("Columns!H147")=1;"bigint";INDIRECT("Columns!C147"))</v>
      </c>
      <c r="L147" t="str">
        <f t="shared" si="48"/>
        <v>=IF(INDIRECT("Columns!H147")=1;"";"A";IF(TRIM(INDIRECT("Columns!O147"))="";TRIM(INDIRECT("Columns!M147"));TRIM(INDIRECT("Columns!O147"))))</v>
      </c>
      <c r="M147" t="str">
        <f t="shared" si="39"/>
        <v>IF(TRIM(INDIRECT("Columns!O147"))="";TRIM(INDIRECT("Columns!M147"));TRIM(INDIRECT("Columns!O147")))</v>
      </c>
    </row>
    <row r="148" spans="2:13">
      <c r="B148">
        <v>148</v>
      </c>
      <c r="C148" t="str">
        <f t="shared" si="40"/>
        <v>=IF(TRIM(INDIRECT("Columns!M148")) ="";"";TRIM(INDIRECT("Columns!M148")))</v>
      </c>
      <c r="D148" t="str">
        <f t="shared" si="41"/>
        <v>TRIM(INDIRECT("Columns!O148"))</v>
      </c>
      <c r="E148" t="str">
        <f t="shared" si="42"/>
        <v>TRIM(INDIRECT("Columns!M148"))</v>
      </c>
      <c r="F148" t="str">
        <f t="shared" si="43"/>
        <v>TRIM(INDIRECT("Columns!D148"))</v>
      </c>
      <c r="G148" t="str">
        <f t="shared" si="44"/>
        <v>=IF(TRIM(INDIRECT("Columns!D148")) ="";C148;TRIM(INDIRECT("Columns!D148")))</v>
      </c>
      <c r="H148" s="190" t="str">
        <f t="shared" si="45"/>
        <v>=IF(TRIM(INDIRECT("Columns!O148"))="";"";TRIM(INDIRECT("Columns!O148")))</v>
      </c>
      <c r="I148" t="str">
        <f t="shared" si="46"/>
        <v>=IF(INDIRECT("Columns!H148")=1;</v>
      </c>
      <c r="J148" t="str">
        <f t="shared" si="47"/>
        <v>=IF(INDIRECT("Columns!H148")=1;"bigint";INDIRECT("Columns!C148"))</v>
      </c>
      <c r="L148" t="str">
        <f t="shared" si="48"/>
        <v>=IF(INDIRECT("Columns!H148")=1;"";"A";IF(TRIM(INDIRECT("Columns!O148"))="";TRIM(INDIRECT("Columns!M148"));TRIM(INDIRECT("Columns!O148"))))</v>
      </c>
      <c r="M148" t="str">
        <f t="shared" si="39"/>
        <v>IF(TRIM(INDIRECT("Columns!O148"))="";TRIM(INDIRECT("Columns!M148"));TRIM(INDIRECT("Columns!O148")))</v>
      </c>
    </row>
    <row r="149" spans="2:13">
      <c r="B149">
        <v>149</v>
      </c>
      <c r="C149" t="str">
        <f t="shared" si="40"/>
        <v>=IF(TRIM(INDIRECT("Columns!M149")) ="";"";TRIM(INDIRECT("Columns!M149")))</v>
      </c>
      <c r="D149" t="str">
        <f t="shared" si="41"/>
        <v>TRIM(INDIRECT("Columns!O149"))</v>
      </c>
      <c r="E149" t="str">
        <f t="shared" si="42"/>
        <v>TRIM(INDIRECT("Columns!M149"))</v>
      </c>
      <c r="F149" t="str">
        <f t="shared" si="43"/>
        <v>TRIM(INDIRECT("Columns!D149"))</v>
      </c>
      <c r="G149" t="str">
        <f t="shared" si="44"/>
        <v>=IF(TRIM(INDIRECT("Columns!D149")) ="";C149;TRIM(INDIRECT("Columns!D149")))</v>
      </c>
      <c r="H149" s="190" t="str">
        <f t="shared" si="45"/>
        <v>=IF(TRIM(INDIRECT("Columns!O149"))="";"";TRIM(INDIRECT("Columns!O149")))</v>
      </c>
      <c r="I149" t="str">
        <f t="shared" si="46"/>
        <v>=IF(INDIRECT("Columns!H149")=1;</v>
      </c>
      <c r="J149" t="str">
        <f t="shared" si="47"/>
        <v>=IF(INDIRECT("Columns!H149")=1;"bigint";INDIRECT("Columns!C149"))</v>
      </c>
      <c r="L149" t="str">
        <f t="shared" si="48"/>
        <v>=IF(INDIRECT("Columns!H149")=1;"";"A";IF(TRIM(INDIRECT("Columns!O149"))="";TRIM(INDIRECT("Columns!M149"));TRIM(INDIRECT("Columns!O149"))))</v>
      </c>
      <c r="M149" t="str">
        <f t="shared" si="39"/>
        <v>IF(TRIM(INDIRECT("Columns!O149"))="";TRIM(INDIRECT("Columns!M149"));TRIM(INDIRECT("Columns!O149")))</v>
      </c>
    </row>
    <row r="150" spans="2:13">
      <c r="B150">
        <v>150</v>
      </c>
      <c r="C150" t="str">
        <f t="shared" si="40"/>
        <v>=IF(TRIM(INDIRECT("Columns!M150")) ="";"";TRIM(INDIRECT("Columns!M150")))</v>
      </c>
      <c r="D150" t="str">
        <f t="shared" si="41"/>
        <v>TRIM(INDIRECT("Columns!O150"))</v>
      </c>
      <c r="E150" t="str">
        <f t="shared" si="42"/>
        <v>TRIM(INDIRECT("Columns!M150"))</v>
      </c>
      <c r="F150" t="str">
        <f t="shared" si="43"/>
        <v>TRIM(INDIRECT("Columns!D150"))</v>
      </c>
      <c r="G150" t="str">
        <f t="shared" si="44"/>
        <v>=IF(TRIM(INDIRECT("Columns!D150")) ="";C150;TRIM(INDIRECT("Columns!D150")))</v>
      </c>
      <c r="H150" s="190" t="str">
        <f t="shared" si="45"/>
        <v>=IF(TRIM(INDIRECT("Columns!O150"))="";"";TRIM(INDIRECT("Columns!O150")))</v>
      </c>
      <c r="I150" t="str">
        <f t="shared" si="46"/>
        <v>=IF(INDIRECT("Columns!H150")=1;</v>
      </c>
      <c r="J150" t="str">
        <f t="shared" si="47"/>
        <v>=IF(INDIRECT("Columns!H150")=1;"bigint";INDIRECT("Columns!C150"))</v>
      </c>
      <c r="L150" t="str">
        <f t="shared" si="48"/>
        <v>=IF(INDIRECT("Columns!H150")=1;"";"A";IF(TRIM(INDIRECT("Columns!O150"))="";TRIM(INDIRECT("Columns!M150"));TRIM(INDIRECT("Columns!O150"))))</v>
      </c>
      <c r="M150" t="str">
        <f t="shared" si="39"/>
        <v>IF(TRIM(INDIRECT("Columns!O150"))="";TRIM(INDIRECT("Columns!M150"));TRIM(INDIRECT("Columns!O150")))</v>
      </c>
    </row>
  </sheetData>
  <pageMargins left="0.7" right="0.7" top="0.75" bottom="0.75" header="0.3" footer="0.3"/>
  <pageSetup paperSize="9"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rgb="FF00B0F0"/>
  </sheetPr>
  <dimension ref="A1:CD426"/>
  <sheetViews>
    <sheetView tabSelected="1" topLeftCell="BQ1" zoomScaleNormal="100" workbookViewId="0">
      <selection activeCell="BS11" sqref="BS11"/>
    </sheetView>
  </sheetViews>
  <sheetFormatPr defaultRowHeight="15"/>
  <cols>
    <col min="1" max="1" width="48.5703125" style="164" customWidth="1"/>
    <col min="2" max="2" width="77.42578125" style="164" customWidth="1"/>
    <col min="3" max="3" width="23" style="164" customWidth="1"/>
    <col min="4" max="4" width="29.7109375" style="164" customWidth="1"/>
    <col min="5" max="5" width="14.140625" style="164" customWidth="1"/>
    <col min="6" max="6" width="12.7109375" style="164" customWidth="1"/>
    <col min="7" max="7" width="60.42578125" style="164" customWidth="1"/>
    <col min="8" max="8" width="22.140625" style="164" customWidth="1"/>
    <col min="9" max="9" width="16.85546875" style="164" customWidth="1"/>
    <col min="10" max="10" width="29" style="164" bestFit="1" customWidth="1"/>
    <col min="11" max="11" width="24.28515625" style="164" bestFit="1" customWidth="1"/>
    <col min="12" max="14" width="46.5703125" style="164" customWidth="1"/>
    <col min="15" max="18" width="46.5703125" style="283" customWidth="1"/>
    <col min="19" max="19" width="45.7109375" style="283" bestFit="1" customWidth="1"/>
    <col min="20" max="20" width="42.5703125" style="283" customWidth="1"/>
    <col min="21" max="21" width="65.85546875" style="283" customWidth="1"/>
    <col min="22" max="22" width="48" style="283" bestFit="1" customWidth="1"/>
    <col min="23" max="24" width="64.85546875" style="283" customWidth="1"/>
    <col min="25" max="25" width="36.140625" style="283" customWidth="1"/>
    <col min="26" max="26" width="21.140625" style="283" bestFit="1" customWidth="1"/>
    <col min="27" max="27" width="81.28515625" style="283" customWidth="1"/>
    <col min="28" max="28" width="26.5703125" style="283" customWidth="1"/>
    <col min="29" max="29" width="98.42578125" style="283" customWidth="1"/>
    <col min="30" max="30" width="68.42578125" style="283" customWidth="1"/>
    <col min="31" max="31" width="43.85546875" style="283" customWidth="1"/>
    <col min="32" max="32" width="66.7109375" style="283" customWidth="1"/>
    <col min="33" max="33" width="33" style="283" customWidth="1"/>
    <col min="34" max="37" width="85.42578125" style="283" customWidth="1"/>
    <col min="38" max="38" width="43.28515625" style="283" customWidth="1"/>
    <col min="39" max="39" width="73.7109375" style="283" customWidth="1"/>
    <col min="40" max="40" width="31.7109375" style="283" bestFit="1" customWidth="1"/>
    <col min="41" max="41" width="27.28515625" style="283" bestFit="1" customWidth="1"/>
    <col min="42" max="42" width="73.42578125" style="283" customWidth="1"/>
    <col min="43" max="44" width="67.7109375" style="283" customWidth="1"/>
    <col min="45" max="45" width="45.5703125" style="283" customWidth="1"/>
    <col min="46" max="46" width="29.85546875" style="283" customWidth="1"/>
    <col min="47" max="47" width="51.42578125" style="283" customWidth="1"/>
    <col min="48" max="48" width="51.42578125" style="190" customWidth="1"/>
    <col min="49" max="49" width="51.42578125" style="283" customWidth="1"/>
    <col min="50" max="50" width="39.28515625" style="283" customWidth="1"/>
    <col min="51" max="51" width="96.7109375" style="283" customWidth="1"/>
    <col min="52" max="52" width="30" style="283" customWidth="1"/>
    <col min="53" max="53" width="47.140625" style="283" customWidth="1"/>
    <col min="54" max="54" width="28.5703125" style="283" bestFit="1" customWidth="1"/>
    <col min="55" max="55" width="48.28515625" style="283" customWidth="1"/>
    <col min="56" max="56" width="19.85546875" style="283" customWidth="1"/>
    <col min="57" max="57" width="26.140625" style="283" customWidth="1"/>
    <col min="58" max="58" width="87.140625" style="283" customWidth="1"/>
    <col min="59" max="59" width="29.28515625" style="283" customWidth="1"/>
    <col min="60" max="60" width="103.85546875" style="283" customWidth="1"/>
    <col min="61" max="61" width="52.85546875" style="283" customWidth="1"/>
    <col min="62" max="62" width="22.5703125" style="283" customWidth="1"/>
    <col min="63" max="63" width="21.28515625" style="283" customWidth="1"/>
    <col min="64" max="64" width="46.42578125" style="283" customWidth="1"/>
    <col min="65" max="66" width="97.42578125" style="283" customWidth="1"/>
    <col min="67" max="67" width="38.42578125" style="283" customWidth="1"/>
    <col min="68" max="68" width="28.140625" style="283" bestFit="1" customWidth="1"/>
    <col min="69" max="69" width="34.7109375" style="283" bestFit="1" customWidth="1"/>
    <col min="70" max="70" width="40.140625" style="283" bestFit="1" customWidth="1"/>
    <col min="71" max="71" width="41.5703125" style="283" customWidth="1"/>
    <col min="72" max="72" width="54.42578125" style="283" customWidth="1"/>
    <col min="73" max="73" width="50" style="283" customWidth="1"/>
    <col min="74" max="74" width="25.5703125" style="283" bestFit="1" customWidth="1"/>
    <col min="75" max="75" width="49.42578125" style="283" customWidth="1"/>
    <col min="76" max="76" width="49.140625" style="283" customWidth="1"/>
    <col min="77" max="77" width="88.5703125" style="283" customWidth="1"/>
    <col min="78" max="78" width="27.28515625" style="283" customWidth="1"/>
    <col min="79" max="79" width="25.85546875" style="283" bestFit="1" customWidth="1"/>
    <col min="80" max="80" width="234.85546875" style="283" customWidth="1"/>
    <col min="81" max="81" width="27" style="283" bestFit="1" customWidth="1"/>
    <col min="82" max="82" width="78.140625" style="283" customWidth="1"/>
  </cols>
  <sheetData>
    <row r="1" spans="1:82" s="168" customFormat="1" ht="23.25" customHeight="1">
      <c r="A1" s="167" t="str">
        <f>COLUMNS!A1</f>
        <v>Target Column Name</v>
      </c>
      <c r="B1" s="167" t="str">
        <f>COLUMNS!B1</f>
        <v>Source Column Name</v>
      </c>
      <c r="C1" s="167" t="str">
        <f>COLUMNS!C1</f>
        <v>Target Data Type</v>
      </c>
      <c r="D1" s="167" t="s">
        <v>141</v>
      </c>
      <c r="E1" s="167" t="s">
        <v>608</v>
      </c>
      <c r="F1" s="167" t="str">
        <f>COLUMNS!G1</f>
        <v>Partition by</v>
      </c>
      <c r="G1" s="167" t="s">
        <v>143</v>
      </c>
      <c r="H1" s="167" t="s">
        <v>461</v>
      </c>
      <c r="I1" s="167" t="s">
        <v>609</v>
      </c>
      <c r="J1" s="167" t="str">
        <f>COLUMNS!J1</f>
        <v>Lookup Dimension</v>
      </c>
      <c r="K1" s="167" t="str">
        <f>COLUMNS!K1</f>
        <v>JOIN TYPE (LEFT or INNER)</v>
      </c>
      <c r="L1" s="167" t="str">
        <f>COLUMNS!L1</f>
        <v>Inferred Members</v>
      </c>
      <c r="M1" s="167" t="s">
        <v>610</v>
      </c>
      <c r="N1" s="167" t="str">
        <f>COLUMNS!N1</f>
        <v xml:space="preserve">Sample Condition </v>
      </c>
      <c r="O1" s="191" t="s">
        <v>611</v>
      </c>
      <c r="P1" s="191" t="s">
        <v>612</v>
      </c>
      <c r="Q1" s="191" t="s">
        <v>613</v>
      </c>
      <c r="R1" s="191" t="s">
        <v>614</v>
      </c>
      <c r="S1" s="165" t="s">
        <v>615</v>
      </c>
      <c r="T1" s="165" t="s">
        <v>616</v>
      </c>
      <c r="U1" s="165" t="s">
        <v>617</v>
      </c>
      <c r="V1" s="165" t="s">
        <v>618</v>
      </c>
      <c r="W1" s="165" t="s">
        <v>619</v>
      </c>
      <c r="X1" s="165" t="s">
        <v>620</v>
      </c>
      <c r="Y1" s="165" t="s">
        <v>621</v>
      </c>
      <c r="Z1" s="165" t="s">
        <v>622</v>
      </c>
      <c r="AA1" s="165" t="s">
        <v>623</v>
      </c>
      <c r="AB1" s="165" t="s">
        <v>624</v>
      </c>
      <c r="AC1" s="165" t="s">
        <v>625</v>
      </c>
      <c r="AD1" s="165" t="s">
        <v>626</v>
      </c>
      <c r="AE1" s="165" t="s">
        <v>461</v>
      </c>
      <c r="AF1" s="165" t="s">
        <v>627</v>
      </c>
      <c r="AG1" s="165" t="s">
        <v>628</v>
      </c>
      <c r="AH1" s="165" t="s">
        <v>629</v>
      </c>
      <c r="AI1" s="165" t="s">
        <v>630</v>
      </c>
      <c r="AJ1" s="165" t="s">
        <v>631</v>
      </c>
      <c r="AK1" s="165" t="s">
        <v>632</v>
      </c>
      <c r="AL1" s="165" t="s">
        <v>633</v>
      </c>
      <c r="AM1" s="165" t="s">
        <v>634</v>
      </c>
      <c r="AN1" s="165" t="s">
        <v>635</v>
      </c>
      <c r="AO1" s="165" t="s">
        <v>636</v>
      </c>
      <c r="AP1" s="165" t="s">
        <v>637</v>
      </c>
      <c r="AQ1" s="165" t="s">
        <v>638</v>
      </c>
      <c r="AR1" s="165"/>
      <c r="AS1" s="165" t="s">
        <v>507</v>
      </c>
      <c r="AT1" s="165" t="s">
        <v>639</v>
      </c>
      <c r="AU1" s="165" t="s">
        <v>640</v>
      </c>
      <c r="AV1" s="165" t="s">
        <v>641</v>
      </c>
      <c r="AW1" s="165" t="s">
        <v>642</v>
      </c>
      <c r="AX1" s="165"/>
      <c r="AY1" s="165" t="s">
        <v>643</v>
      </c>
      <c r="AZ1" s="165" t="s">
        <v>644</v>
      </c>
      <c r="BA1" s="165"/>
      <c r="BB1" s="165" t="s">
        <v>645</v>
      </c>
      <c r="BC1" s="165" t="s">
        <v>646</v>
      </c>
      <c r="BD1" s="165" t="s">
        <v>647</v>
      </c>
      <c r="BE1" s="165"/>
      <c r="BF1" s="165" t="s">
        <v>648</v>
      </c>
      <c r="BG1" s="166" t="s">
        <v>649</v>
      </c>
      <c r="BH1" s="165" t="s">
        <v>650</v>
      </c>
      <c r="BI1" s="165" t="s">
        <v>651</v>
      </c>
      <c r="BJ1" s="165" t="s">
        <v>652</v>
      </c>
      <c r="BK1" s="165" t="s">
        <v>653</v>
      </c>
      <c r="BL1" s="165" t="s">
        <v>654</v>
      </c>
      <c r="BM1" s="165" t="s">
        <v>655</v>
      </c>
      <c r="BN1" s="165"/>
      <c r="BO1" s="165" t="s">
        <v>656</v>
      </c>
      <c r="BP1" s="165" t="s">
        <v>657</v>
      </c>
      <c r="BQ1" s="165" t="s">
        <v>658</v>
      </c>
      <c r="BR1" s="165" t="s">
        <v>659</v>
      </c>
      <c r="BS1" s="165" t="s">
        <v>660</v>
      </c>
      <c r="BT1" s="165" t="s">
        <v>661</v>
      </c>
      <c r="BU1" s="165" t="s">
        <v>662</v>
      </c>
      <c r="BV1" s="165" t="s">
        <v>663</v>
      </c>
      <c r="BW1" s="30" t="s">
        <v>664</v>
      </c>
      <c r="BX1" s="30" t="s">
        <v>665</v>
      </c>
      <c r="BY1" s="30" t="s">
        <v>666</v>
      </c>
      <c r="BZ1" s="165" t="s">
        <v>667</v>
      </c>
      <c r="CA1" s="165" t="s">
        <v>668</v>
      </c>
      <c r="CB1" s="168" t="s">
        <v>669</v>
      </c>
      <c r="CC1" s="168" t="s">
        <v>670</v>
      </c>
      <c r="CD1" s="168" t="s">
        <v>671</v>
      </c>
    </row>
    <row r="2" spans="1:82">
      <c r="A2" s="161" t="str">
        <f t="array" aca="1" ref="A2" ca="1">IF(TRIM(INDIRECT("Columns!A2")) ="","",TRIM(INDIRECT("Columns!A2")))</f>
        <v>wkVehicle</v>
      </c>
      <c r="B2" s="161" t="str">
        <f t="shared" ref="B2:B33" ca="1" si="0">IF(I2="1","",IF(O2="",IF(G2="",A2,G2 &amp; " AS " &amp; A2),O2))</f>
        <v>wkVehicle</v>
      </c>
      <c r="C2" s="161" t="str">
        <f t="shared" ref="C2:C33" ca="1" si="1">IF(I2="1","bigint",P2)</f>
        <v>bigint</v>
      </c>
      <c r="D2" s="161" t="str">
        <f t="shared" ref="D2:D33" ca="1" si="2">IF(Q2 ="",C2,Q2)</f>
        <v>bigint</v>
      </c>
      <c r="E2" s="161" t="str">
        <f t="array" aca="1" ref="E2" ca="1">IF(TRIM(INDIRECT("Columns!E2"))="","",TRIM(INDIRECT("Columns!E2")))</f>
        <v/>
      </c>
      <c r="F2" s="161" t="str">
        <f t="array" aca="1" ref="F2" ca="1">IF(TRIM(INDIRECT("Columns!G2"))="","",TRIM(INDIRECT("Columns!G2")))</f>
        <v/>
      </c>
      <c r="G2" s="161" t="str">
        <f t="array" aca="1" ref="G2" ca="1">IF(TRIM(INDIRECT("Columns!F2"))="","",TRIM(INDIRECT("Columns!F2")))</f>
        <v/>
      </c>
      <c r="H2" s="161" t="str">
        <f t="array" aca="1" ref="H2" ca="1">IF(TRIM(INDIRECT("Columns!H2"))="","",TRIM(INDIRECT("Columns!H2")))</f>
        <v>1</v>
      </c>
      <c r="I2" s="161" t="str">
        <f t="array" aca="1" ref="I2" ca="1">IF(TRIM(INDIRECT("Columns!I2"))="","",TRIM(INDIRECT("Columns!I2")))</f>
        <v/>
      </c>
      <c r="J2" s="161" t="str">
        <f t="array" aca="1" ref="J2" ca="1">IF(TRIM(INDIRECT("Columns!J2"))="","",TRIM(INDIRECT("Columns!J2")))</f>
        <v/>
      </c>
      <c r="K2" s="161" t="str">
        <f t="array" aca="1" ref="K2" ca="1">IF(TRIM(INDIRECT("Columns!K2"))="","",TRIM(INDIRECT("Columns!K2")))</f>
        <v/>
      </c>
      <c r="L2" s="161" t="str">
        <f t="array" aca="1" ref="L2" ca="1">IF(TRIM(INDIRECT("Columns!L2"))="","",TRIM(INDIRECT("Columns!L2")))</f>
        <v/>
      </c>
      <c r="M2" s="161" t="str">
        <f t="array" aca="1" ref="M2" ca="1">IF(TRIM(INDIRECT("Columns!M2"))="","",TRIM(INDIRECT("Columns!M2")))</f>
        <v/>
      </c>
      <c r="N2" s="161" t="str">
        <f t="array" aca="1" ref="N2" ca="1">IF(TRIM(INDIRECT("Columns!N2"))="","",TRIM(INDIRECT("Columns!N2")))</f>
        <v/>
      </c>
      <c r="O2" s="227" t="str">
        <f t="array" aca="1" ref="O2" ca="1">IF(TRIM(INDIRECT("Columns!B2"))="","",TRIM(INDIRECT("Columns!B2")))</f>
        <v/>
      </c>
      <c r="P2" s="227" t="str">
        <f t="array" aca="1" ref="P2" ca="1">IF(TRIM(INDIRECT("Columns!C2"))="","",TRIM(INDIRECT("Columns!C2")))</f>
        <v>bigint</v>
      </c>
      <c r="Q2" s="227" t="str">
        <f t="array" aca="1" ref="Q2" ca="1">IF(TRIM(INDIRECT("Columns!D2"))="","",TRIM(INDIRECT("Columns!D2")))</f>
        <v/>
      </c>
      <c r="R2" s="227" t="str">
        <f t="array" aca="1" ref="R2" ca="1">IF(TRIM(INDIRECT("Columns!O2"))="","",TRIM(INDIRECT("Columns!O2")))</f>
        <v/>
      </c>
      <c r="S2" t="str">
        <f t="shared" ref="S2:S33" ca="1" si="3">IF(A2="","",A2 &amp; " " &amp; IF(C2="array&lt;varchar&gt;","array&lt;string&gt;",C2))</f>
        <v>wkVehicle bigint</v>
      </c>
      <c r="T2" t="str">
        <f t="shared" ref="T2:T33" ca="1" si="4">IF(AND(H2="1",I2=""),B2,"")</f>
        <v>wkVehicle</v>
      </c>
      <c r="U2" t="str">
        <f t="shared" ref="U2:U33" ca="1" si="5">IF(AND(H2="1",I2=""),IF(G2="",B2,A2),"")</f>
        <v>wkVehicle</v>
      </c>
      <c r="V2" t="str">
        <f t="shared" ref="V2:V33" ca="1" si="6">IF(A2="","",IF(F2&lt;&gt;"1",S2,""))</f>
        <v>wkVehicle bigint</v>
      </c>
      <c r="W2" t="str">
        <f t="shared" ref="W2:W33" ca="1" si="7">IF(I2="1",A2&amp;"_history bigint",IF(OR(E2="4"),S2,""))</f>
        <v/>
      </c>
      <c r="X2" t="str">
        <f t="shared" ref="X2:X33" ca="1" si="8">IF(I2="1",A2&amp;"_history",IF(OR(E2="4"),A2,""))</f>
        <v/>
      </c>
      <c r="Y2" t="str">
        <f t="shared" ref="Y2:Y33" ca="1" si="9">IF(F2="1",A2 &amp; " " &amp; C2,"" )</f>
        <v/>
      </c>
      <c r="Z2" t="str">
        <f ca="1">IF(A2="","", IF(F2="1",B2,""  ))</f>
        <v/>
      </c>
      <c r="AA2" t="str">
        <f ca="1">IF(E2="1",   IF( A2="","",IF(OR(F2="1",H2="1",I2="1"),"","COALESCE (CAST("&amp;A2&amp;" as varchar(" &amp; Options!$B$49&amp; ")),'')")),"")</f>
        <v/>
      </c>
      <c r="AB2" t="str">
        <f ca="1">IF(E2="1", IF(C2="string",  IF( A2="","",IF(OR(F2="1",H2="1",I2="1"),"","COALESCE (CAST(lower("&amp;A2&amp;") as varchar(" &amp;Options!$B$49 &amp; ")),'')")),AA2),"")</f>
        <v/>
      </c>
      <c r="AC2" t="str">
        <f ca="1">IF(E2="4",   IF( A2="","",IF(OR(F2="1",H2="1",I2="1"),"","COALESCE (CAST("  &amp;A2&amp;" as varchar(" &amp; Options!$B$49&amp; ")),'')")),"")</f>
        <v/>
      </c>
      <c r="AD2" t="str">
        <f ca="1">IF(E2="4",   IF( A2="","",IF(OR(F2="1",H2="1",I2="1"),"","COALESCE (CAST(" &amp; HELPER!$B$94 &amp; "."  &amp;A2&amp;" as varchar(" &amp; Options!$B$49&amp; ")),'')")),"")</f>
        <v/>
      </c>
      <c r="AE2" t="str">
        <f t="shared" ref="AE2:AE33" ca="1" si="10">IF(H2="1",A2,"")</f>
        <v>wkVehicle</v>
      </c>
      <c r="AF2" t="str">
        <f ca="1">IF(AE2&lt;&gt;"", HELPER!$B$93 &amp;  "." &amp; AE2,"")</f>
        <v>trg.wkVehicle</v>
      </c>
      <c r="AG2" t="str">
        <f ca="1">IF(AE2&lt;&gt;"", HELPER!$B$94 &amp; "." &amp; AE2,"")</f>
        <v>src.wkVehicle</v>
      </c>
      <c r="AH2" t="str">
        <f t="shared" ref="AH2:AH30" ca="1" si="11">IF(AE2&lt;&gt;"",AF2&amp;" = "&amp;AU2,"")</f>
        <v>trg.wkVehicle = src.wkVehicle</v>
      </c>
      <c r="AI2" t="str">
        <f t="shared" ref="AI2:AI33" ca="1" si="12">IF(E2="4","d." &amp; A2 &amp; " = m." &amp; A2,"")</f>
        <v/>
      </c>
      <c r="AJ2" t="str">
        <f t="shared" ref="AJ2:AJ33" ca="1" si="13">IF(E2="4", A2,"")</f>
        <v/>
      </c>
      <c r="AK2" t="str">
        <f ca="1">IF(E2="4", HELPER!$B$94 &amp;  "." &amp; A2,"")</f>
        <v/>
      </c>
      <c r="AL2" t="str">
        <f ca="1">IF(E2="4", HELPER!$B$93 &amp;  "." &amp; A2,"")</f>
        <v/>
      </c>
      <c r="AM2" t="str">
        <f t="shared" ref="AM2:AM33" ca="1" si="14">IF(E2="4",AL2&amp;" = "&amp;AU2,"")</f>
        <v/>
      </c>
      <c r="AN2" t="str">
        <f t="shared" ref="AN2:AN33" ca="1" si="15">IF(A2="","", IF(OR(F2="1",H2="1",I2="1"),"", A2))</f>
        <v/>
      </c>
      <c r="AO2" t="str">
        <f ca="1">IF(A2&lt;&gt;"", IF(OR(F2="1",H2="1",I2="1"),""," "&amp; HELPER!$B$94 &amp; "." &amp; A2),"")</f>
        <v/>
      </c>
      <c r="AP2" t="str">
        <f t="shared" ref="AP2:AP33" ca="1" si="16">IF(A2="","", IF(E2="2","", IF(AN2="","",AN2 &amp; " = " &amp; AO2)))</f>
        <v/>
      </c>
      <c r="AS2" t="str">
        <f ca="1">IF(A2="","",  HELPER!$B$94 &amp;  "." &amp; A2)</f>
        <v>src.wkVehicle</v>
      </c>
      <c r="AT2" t="str">
        <f t="shared" ref="AT2:AT33" ca="1" si="17">IF(I2="1",A2,"")</f>
        <v/>
      </c>
      <c r="AU2" t="str">
        <f t="shared" ref="AU2:AU33" ca="1" si="18">IF(C2="string","COALESCE(" &amp; AS2 &amp; ",'')",AS2)</f>
        <v>src.wkVehicle</v>
      </c>
      <c r="AV2" s="190" t="str">
        <f t="shared" ref="AV2:AV33" ca="1" si="19">IF(OR(H2="1",I2="1",E2="4",F2="1"),A2,"")</f>
        <v>wkVehicle</v>
      </c>
      <c r="AW2" t="str">
        <f t="shared" ref="AW2:AW33" ca="1" si="20">IF(OR(H2="1",I2="1",E2="4",F2="1"),AU2,"")</f>
        <v>src.wkVehicle</v>
      </c>
      <c r="AX2" t="str">
        <f ca="1">IF(J2="","","LEFT JOIN "&amp; Options!$B$23 &amp; "." &amp; J2 &amp; " ON ")</f>
        <v/>
      </c>
      <c r="AY2" t="str">
        <f t="shared" ref="AY2:AY33" ca="1" si="21">IF(A2="","",IF(I2="1","", IF(B2="",A2, B2) &amp;" AS "&amp;A2))</f>
        <v>wkVehicle AS wkVehicle</v>
      </c>
      <c r="AZ2" t="str">
        <f t="shared" ref="AZ2:AZ33" ca="1" si="22">IF(I2="1","",IF(H2="1",IF(B2="",A2,B2),""))</f>
        <v>wkVehicle</v>
      </c>
      <c r="BA2" t="str">
        <f ca="1">IF(AZ2="","", "CAST(" &amp; AZ2 &amp; " AS varchar(" &amp; Options!$B$49 &amp; "))")</f>
        <v>CAST(wkVehicle AS varchar(150))</v>
      </c>
      <c r="BB2" t="str">
        <f t="shared" ref="BB2:BB33" ca="1" si="23">IF(F2="1",IF(B2="",A2,B2),"")</f>
        <v/>
      </c>
      <c r="BC2" t="str">
        <f ca="1">IF(AZ2="","","COALESCE(" &amp;  AZ2 &amp; "," &amp; IF(C2="string","''",0  ) &amp; ") AS " &amp; A2)</f>
        <v>COALESCE(wkVehicle,0) AS wkVehicle</v>
      </c>
      <c r="BE2" t="str">
        <f t="shared" ref="BE2:BE33" ca="1" si="24">IF(AE2="","","t1." &amp; AE2 &amp; " =  t2." &amp; AE2)</f>
        <v>t1.wkVehicle =  t2.wkVehicle</v>
      </c>
      <c r="BF2" t="str">
        <f t="shared" ref="BF2:BF33" ca="1" si="25">IF(A2="","",IF(I2="1","",B2&amp;" AS "&amp;A2))</f>
        <v>wkVehicle AS wkVehicle</v>
      </c>
      <c r="BG2" t="str">
        <f t="shared" ref="BG2:BG33" ca="1" si="26">IF(AT2="","",AT2 &amp; "=-1")</f>
        <v/>
      </c>
      <c r="BH2" s="285" t="str">
        <f ca="1">IF(G2="",   IF(B2="","","COALESCE(" &amp;  B2 &amp; "," &amp; IF(C2="string","''",0  ) &amp; ") AS " &amp; A2),G2 &amp; " AS " &amp;A2 )</f>
        <v>COALESCE(wkVehicle,0) AS wkVehicle</v>
      </c>
      <c r="BI2" t="str">
        <f t="shared" ref="BI2:BI33" ca="1" si="27">IF(G2="", IF(A2="","",IF(I2="1","", IF(B2="","f." &amp; A2, "f." &amp; B2) &amp;" AS "&amp;A2)),BH2)</f>
        <v>f.wkVehicle AS wkVehicle</v>
      </c>
      <c r="BJ2" t="str">
        <f t="shared" ref="BJ2:BJ33" ca="1" si="28">IF(A2="","",IF(I2="1","-1",IF(C2="string","'missing'","0")))</f>
        <v>0</v>
      </c>
      <c r="BK2" t="str">
        <f ca="1">IF(A2="","", IF(OR(F2="1",E2="4", I2="1",H2="1"),  IF(I2="1","-1",IF(C2="string","'missing'","0")),""))</f>
        <v>0</v>
      </c>
      <c r="BL2" t="str">
        <f t="shared" ref="BL2:BL33" ca="1" si="29">IF(AND( H2="1",I2="1"),A2 &amp; " &gt; -1","")</f>
        <v/>
      </c>
      <c r="BM2" t="str">
        <f ca="1">IF(A2="","",IF(I2="1","",IF(C2&lt;&gt;D2,  IF(AND(D2="string",C2="timestamp"),"cast(from_iso8601_timestamp(" &amp; BO2 &amp; ") as timestamp) AS " &amp; A2, IF(AND(D2="string",C2="date"),"cast( from_iso8601_timestamp(" &amp; BO2 &amp;") as date) AS " &amp; A2,"")),BO2 &amp; " AS " &amp; A2)))</f>
        <v>f.wkVehicle AS wkVehicle</v>
      </c>
      <c r="BN2" t="str">
        <f ca="1">IF(A2="","",IF(I2="1","",IF(C2&lt;&gt;D2,  IF(AND(D2="string",C2="timestamp"),"cast(from_iso8601_timestamp(" &amp; BO2 &amp; ") as timestamp) AS " &amp; A2, IF(AND(D2="string",C2="date"),"cast( from_iso8601_timestamp(" &amp; BO2 &amp;") as date) AS " &amp; A2,"")),BO2 &amp; " AS " &amp; A2)))</f>
        <v>f.wkVehicle AS wkVehicle</v>
      </c>
      <c r="BO2" t="str">
        <f t="shared" ref="BO2:BO33" ca="1" si="30">IF(G2="", IF(B2="","","f." &amp; B2),G2)</f>
        <v>f.wkVehicle</v>
      </c>
      <c r="BP2" t="b">
        <f ca="1">COUNTIF(COLHELPER!A2:'COLHELPER'!A2,COLHELPER!A2)&gt;1</f>
        <v>0</v>
      </c>
      <c r="BQ2">
        <f t="shared" ref="BQ2:BQ33" ca="1" si="31">IF(BP2=TRUE,1,0)</f>
        <v>0</v>
      </c>
      <c r="BR2" s="290" t="str">
        <f t="shared" ref="BR2:BR3" ca="1" si="32">SUBSTITUTE(IF(M2&lt;&gt;"",A2 &amp; M2,""),"$eq","=")</f>
        <v/>
      </c>
      <c r="BS2" t="str">
        <f t="shared" ref="BS2:BS33" ca="1" si="33">IF(F2="1",SUBSTITUTE(BR2,"'",""),"")</f>
        <v/>
      </c>
      <c r="BT2" t="str">
        <f ca="1">IF(N2="","", SUBSTITUTE( SUBSTITUTE(BR2,"[:date_yyyy_mm_dd]",  N2),"[:date_yyymm]",N2))</f>
        <v/>
      </c>
      <c r="BU2" t="str">
        <f t="shared" ref="BU2:BU33" ca="1" si="34">IF(N2="","",SUBSTITUTE(BS2,"[:date_yyyy_mm_dd]",SUBSTITUTE(N2,"'","")))</f>
        <v/>
      </c>
      <c r="BV2">
        <f t="shared" ref="BV2:BV33" si="35">IF(A1="",0,1)</f>
        <v>1</v>
      </c>
      <c r="BW2" t="str">
        <f t="shared" ref="BW2:BW33" ca="1" si="36">IF(AE2="","", "t3." &amp;AE2 &amp; " = t4." &amp; AE2)</f>
        <v>t3.wkVehicle = t4.wkVehicle</v>
      </c>
      <c r="BX2" t="str">
        <f t="shared" ref="BX2:BX33" ca="1" si="37">IF(AE2="","", "t3." &amp;AE2 )</f>
        <v>t3.wkVehicle</v>
      </c>
      <c r="BY2" t="str">
        <f ca="1">IF(R2="","",IF(R2&gt;Options!$B$3,"ALTER TABLE "&amp;HELPER!$B$4&amp;" ADD COLUMNS ("&amp;A2&amp;" "&amp;C2&amp;")",""))</f>
        <v/>
      </c>
      <c r="BZ2" t="str">
        <f ca="1">IF(R2="","",IF(R2&gt;Options!$B$3,A2,""))</f>
        <v/>
      </c>
      <c r="CA2" t="str">
        <f ca="1">IF(R2="","",IF(R2&gt;Options!$B$3,B2,""))</f>
        <v/>
      </c>
      <c r="CB2" t="str">
        <f t="shared" ref="CB2:CB33" ca="1" si="38">IF(A2&lt;&gt;"","&lt;tr&gt;&lt;td&gt;" &amp; _xlfn.TEXTJOIN("&lt;td&gt;",FALSE,A2:K2) &amp; "&lt;/td&gt;&lt;/tr&gt;","")</f>
        <v>&lt;tr&gt;&lt;td&gt;wkVehicle&lt;td&gt;wkVehicle&lt;td&gt;bigint&lt;td&gt;bigint&lt;td&gt;&lt;td&gt;&lt;td&gt;&lt;td&gt;1&lt;td&gt;&lt;td&gt;&lt;td&gt;&lt;/td&gt;&lt;/tr&gt;</v>
      </c>
      <c r="CC2">
        <f t="shared" ref="CC2:CC33" ca="1" si="39">IF(E2="4",1,0)</f>
        <v>0</v>
      </c>
      <c r="CD2" t="str">
        <f ca="1">IF(J2="","",Options!$B$23 &amp; "." &amp; J2)</f>
        <v/>
      </c>
    </row>
    <row r="3" spans="1:82">
      <c r="A3" s="161" t="str">
        <f t="array" aca="1" ref="A3" ca="1">IF(TRIM(INDIRECT("Columns!A3")) ="","",TRIM(INDIRECT("Columns!A3")))</f>
        <v>has_communicated_last_90_days</v>
      </c>
      <c r="B3" s="161" t="str">
        <f t="shared" ca="1" si="0"/>
        <v>1 AS has_communicated_last_90_days</v>
      </c>
      <c r="C3" s="161" t="str">
        <f t="shared" ca="1" si="1"/>
        <v>bigint</v>
      </c>
      <c r="D3" s="161" t="str">
        <f t="shared" ca="1" si="2"/>
        <v>bigint</v>
      </c>
      <c r="E3" s="161" t="str">
        <f t="array" aca="1" ref="E3" ca="1">IF(TRIM(INDIRECT("Columns!E3"))="","",TRIM(INDIRECT("Columns!E3")))</f>
        <v/>
      </c>
      <c r="F3" s="161" t="str">
        <f t="array" aca="1" ref="F3" ca="1">IF(TRIM(INDIRECT("Columns!G3"))="","",TRIM(INDIRECT("Columns!G3")))</f>
        <v/>
      </c>
      <c r="G3" s="161" t="str">
        <f t="array" aca="1" ref="G3" ca="1">IF(TRIM(INDIRECT("Columns!F3"))="","",TRIM(INDIRECT("Columns!F3")))</f>
        <v>1</v>
      </c>
      <c r="H3" s="161" t="str">
        <f t="array" aca="1" ref="H3" ca="1">IF(TRIM(INDIRECT("Columns!H3"))="","",TRIM(INDIRECT("Columns!H3")))</f>
        <v/>
      </c>
      <c r="I3" s="161" t="str">
        <f t="array" aca="1" ref="I3" ca="1">IF(TRIM(INDIRECT("Columns!I3"))="","",TRIM(INDIRECT("Columns!I3")))</f>
        <v/>
      </c>
      <c r="J3" s="161" t="str">
        <f t="array" aca="1" ref="J3" ca="1">IF(TRIM(INDIRECT("Columns!J3"))="","",TRIM(INDIRECT("Columns!J3")))</f>
        <v/>
      </c>
      <c r="K3" s="161" t="str">
        <f t="array" aca="1" ref="K3" ca="1">IF(TRIM(INDIRECT("Columns!K3"))="","",TRIM(INDIRECT("Columns!K3")))</f>
        <v/>
      </c>
      <c r="L3" s="161" t="str">
        <f t="array" aca="1" ref="L3" ca="1">IF(TRIM(INDIRECT("Columns!L3"))="","",TRIM(INDIRECT("Columns!L3")))</f>
        <v/>
      </c>
      <c r="M3" s="161" t="str">
        <f t="array" aca="1" ref="M3" ca="1">IF(TRIM(INDIRECT("Columns!M3"))="","",TRIM(INDIRECT("Columns!M3")))</f>
        <v/>
      </c>
      <c r="N3" s="161" t="str">
        <f t="array" aca="1" ref="N3" ca="1">IF(TRIM(INDIRECT("Columns!N3"))="","",TRIM(INDIRECT("Columns!N3")))</f>
        <v/>
      </c>
      <c r="O3" s="227" t="str">
        <f t="array" aca="1" ref="O3" ca="1">IF(TRIM(INDIRECT("Columns!B3"))="","",TRIM(INDIRECT("Columns!B3")))</f>
        <v/>
      </c>
      <c r="P3" s="227" t="str">
        <f t="array" aca="1" ref="P3" ca="1">IF(TRIM(INDIRECT("Columns!C3"))="","",TRIM(INDIRECT("Columns!C3")))</f>
        <v>bigint</v>
      </c>
      <c r="Q3" s="227" t="str">
        <f t="array" aca="1" ref="Q3" ca="1">IF(TRIM(INDIRECT("Columns!D3"))="","",TRIM(INDIRECT("Columns!D3")))</f>
        <v/>
      </c>
      <c r="R3" s="227" t="str">
        <f t="array" aca="1" ref="R3" ca="1">IF(TRIM(INDIRECT("Columns!O3"))="","",TRIM(INDIRECT("Columns!O3")))</f>
        <v/>
      </c>
      <c r="S3" t="str">
        <f t="shared" ca="1" si="3"/>
        <v>has_communicated_last_90_days bigint</v>
      </c>
      <c r="T3" t="str">
        <f t="shared" ca="1" si="4"/>
        <v/>
      </c>
      <c r="U3" t="str">
        <f t="shared" ca="1" si="5"/>
        <v/>
      </c>
      <c r="V3" t="str">
        <f t="shared" ca="1" si="6"/>
        <v>has_communicated_last_90_days bigint</v>
      </c>
      <c r="W3" t="str">
        <f t="shared" ca="1" si="7"/>
        <v/>
      </c>
      <c r="X3" t="str">
        <f t="shared" ca="1" si="8"/>
        <v/>
      </c>
      <c r="Y3" t="str">
        <f t="shared" ca="1" si="9"/>
        <v/>
      </c>
      <c r="Z3" t="str">
        <f t="shared" ref="Z3:Z33" ca="1" si="40">IF(A3="","", IF(F3="1",B3,"" ))</f>
        <v/>
      </c>
      <c r="AA3" t="str">
        <f ca="1">IF(E3="1",   IF( A3="","",IF(OR(F3="1",H3="1",I3="1"),"","COALESCE (CAST("&amp;A3&amp;" as varchar(" &amp; Options!$B$49&amp; ")),'')")),"")</f>
        <v/>
      </c>
      <c r="AB3" t="str">
        <f ca="1">IF(E3="1", IF(C3="string",  IF( A3="","",IF(OR(F3="1",H3="1",I3="1"),"","COALESCE (CAST(lower("&amp;A3&amp;") as varchar(" &amp;Options!$B$49 &amp; ")),'')")),AA3),"")</f>
        <v/>
      </c>
      <c r="AC3" t="str">
        <f ca="1">IF(E3="4",   IF( A3="","",IF(OR(F3="1",H3="1",I3="1"),"","COALESCE (CAST("  &amp;A3&amp;" as varchar(" &amp; Options!$B$49&amp; ")),'')")),"")</f>
        <v/>
      </c>
      <c r="AD3" t="str">
        <f ca="1">IF(E3="4",   IF( A3="","",IF(OR(F3="1",H3="1",I3="1"),"","COALESCE (CAST(" &amp; HELPER!$B$94 &amp; "."  &amp;A3&amp;" as varchar(" &amp; Options!$B$49&amp; ")),'')")),"")</f>
        <v/>
      </c>
      <c r="AE3" t="str">
        <f t="shared" ca="1" si="10"/>
        <v/>
      </c>
      <c r="AF3" t="str">
        <f ca="1">IF(AE3&lt;&gt;"", HELPER!$B$93 &amp;  "." &amp; AE3,"")</f>
        <v/>
      </c>
      <c r="AG3" t="str">
        <f ca="1">IF(AE3&lt;&gt;"", HELPER!$B$94 &amp; "." &amp; AE3,"")</f>
        <v/>
      </c>
      <c r="AH3" t="str">
        <f t="shared" ca="1" si="11"/>
        <v/>
      </c>
      <c r="AI3" t="str">
        <f t="shared" ca="1" si="12"/>
        <v/>
      </c>
      <c r="AJ3" t="str">
        <f t="shared" ca="1" si="13"/>
        <v/>
      </c>
      <c r="AK3" t="str">
        <f ca="1">IF(E3="4", HELPER!$B$94 &amp;  "." &amp; A3,"")</f>
        <v/>
      </c>
      <c r="AL3" t="str">
        <f ca="1">IF(E3="4", HELPER!$B$93 &amp;  "." &amp; A3,"")</f>
        <v/>
      </c>
      <c r="AM3" t="str">
        <f t="shared" ca="1" si="14"/>
        <v/>
      </c>
      <c r="AN3" t="str">
        <f t="shared" ca="1" si="15"/>
        <v>has_communicated_last_90_days</v>
      </c>
      <c r="AO3" t="str">
        <f ca="1">IF(A3&lt;&gt;"", IF(OR(F3="1",H3="1",I3="1"),""," "&amp; HELPER!$B$94 &amp; "." &amp; A3),"")</f>
        <v xml:space="preserve"> src.has_communicated_last_90_days</v>
      </c>
      <c r="AP3" t="str">
        <f t="shared" ca="1" si="16"/>
        <v>has_communicated_last_90_days =  src.has_communicated_last_90_days</v>
      </c>
      <c r="AS3" t="str">
        <f ca="1">IF(A3="","",  HELPER!$B$94 &amp;  "." &amp; A3)</f>
        <v>src.has_communicated_last_90_days</v>
      </c>
      <c r="AT3" t="str">
        <f t="shared" ca="1" si="17"/>
        <v/>
      </c>
      <c r="AU3" t="str">
        <f t="shared" ca="1" si="18"/>
        <v>src.has_communicated_last_90_days</v>
      </c>
      <c r="AV3" s="190" t="str">
        <f t="shared" ca="1" si="19"/>
        <v/>
      </c>
      <c r="AW3" t="str">
        <f t="shared" ca="1" si="20"/>
        <v/>
      </c>
      <c r="AX3" t="str">
        <f ca="1">IF(J3="","","LEFT JOIN "&amp; Options!$B$23 &amp; "." &amp; J3 &amp; " ON ")</f>
        <v/>
      </c>
      <c r="AY3" t="str">
        <f t="shared" ca="1" si="21"/>
        <v>1 AS has_communicated_last_90_days AS has_communicated_last_90_days</v>
      </c>
      <c r="AZ3" t="str">
        <f t="shared" ca="1" si="22"/>
        <v/>
      </c>
      <c r="BA3" t="str">
        <f ca="1">IF(AZ3="","", "CAST(" &amp; AZ3 &amp; " AS varchar(" &amp; Options!$B$49 &amp; "))")</f>
        <v/>
      </c>
      <c r="BB3" t="str">
        <f t="shared" ca="1" si="23"/>
        <v/>
      </c>
      <c r="BC3" t="str">
        <f t="shared" ref="BC3:BC33" ca="1" si="41">IF(AZ3="","","COALESCE(" &amp; AZ3 &amp; "," &amp; IF(C3="string","''",0 ) &amp; ") AS " &amp; A3)</f>
        <v/>
      </c>
      <c r="BE3" t="str">
        <f t="shared" ca="1" si="24"/>
        <v/>
      </c>
      <c r="BF3" t="str">
        <f t="shared" ca="1" si="25"/>
        <v>1 AS has_communicated_last_90_days AS has_communicated_last_90_days</v>
      </c>
      <c r="BG3" t="str">
        <f t="shared" ca="1" si="26"/>
        <v/>
      </c>
      <c r="BH3" s="285" t="str">
        <f t="shared" ref="BH3:BH33" ca="1" si="42">IF(G3="", IF(B3="","","COALESCE(" &amp; B3 &amp; "," &amp; IF(C3="string","''",0 ) &amp; ") AS " &amp; A3),G3 &amp; " AS " &amp;A3 )</f>
        <v>1 AS has_communicated_last_90_days</v>
      </c>
      <c r="BI3" t="str">
        <f t="shared" ca="1" si="27"/>
        <v>1 AS has_communicated_last_90_days</v>
      </c>
      <c r="BJ3" t="str">
        <f t="shared" ca="1" si="28"/>
        <v>0</v>
      </c>
      <c r="BK3" t="str">
        <f t="shared" ref="BK3:BK33" ca="1" si="43">IF(A3="","", IF(OR(F3="1",E3="4", I3="1",H3="1"), IF(I3="1","-1",IF(C3="string","'missing'","0")),""))</f>
        <v/>
      </c>
      <c r="BL3" t="str">
        <f t="shared" ca="1" si="29"/>
        <v/>
      </c>
      <c r="BM3" t="str">
        <f t="shared" ref="BM3:BM33" ca="1" si="44">IF(A3="","",IF(I3="1","",IF(C3&lt;&gt;D3, IF(AND(D3="string",C3="timestamp"),"cast(from_iso8601_timestamp(" &amp; BO3 &amp; ") as timestamp) AS " &amp; A3, IF(AND(D3="string",C3="date"),"cast( from_iso8601_timestamp(" &amp; BO3 &amp;") as date) AS " &amp; A3,"")),BO3 &amp; " AS " &amp; A3)))</f>
        <v>1 AS has_communicated_last_90_days</v>
      </c>
      <c r="BN3" t="str">
        <f t="shared" ref="BN3:BN33" ca="1" si="45">IF(A3="","",IF(I3="1","",IF(C3&lt;&gt;D3, IF(AND(D3="string",C3="timestamp"),"cast(from_iso8601_timestamp(" &amp; BO3 &amp; ") as timestamp) AS " &amp; A3, IF(AND(D3="string",C3="date"),"cast( from_iso8601_timestamp(" &amp; BO3 &amp;") as date) AS " &amp; A3,"")),BO3 &amp; " AS " &amp; A3)))</f>
        <v>1 AS has_communicated_last_90_days</v>
      </c>
      <c r="BO3" t="str">
        <f t="shared" ca="1" si="30"/>
        <v>1</v>
      </c>
      <c r="BP3" t="b">
        <f ca="1">COUNTIF(COLHELPER!A3:'COLHELPER'!A3,COLHELPER!A3)&gt;1</f>
        <v>0</v>
      </c>
      <c r="BQ3">
        <f t="shared" ca="1" si="31"/>
        <v>0</v>
      </c>
      <c r="BR3" s="290" t="str">
        <f t="shared" ca="1" si="32"/>
        <v/>
      </c>
      <c r="BS3" t="str">
        <f t="shared" ca="1" si="33"/>
        <v/>
      </c>
      <c r="BT3" t="str">
        <f t="shared" ref="BT3:BT33" ca="1" si="46">IF(N3="","", SUBSTITUTE( SUBSTITUTE(BR3,"[:date_yyyy_mm_dd]", N3),"[:date_yyymm]",N3))</f>
        <v/>
      </c>
      <c r="BU3" t="str">
        <f t="shared" ca="1" si="34"/>
        <v/>
      </c>
      <c r="BV3">
        <f t="shared" ca="1" si="35"/>
        <v>1</v>
      </c>
      <c r="BW3" t="str">
        <f t="shared" ca="1" si="36"/>
        <v/>
      </c>
      <c r="BX3" t="str">
        <f t="shared" ca="1" si="37"/>
        <v/>
      </c>
      <c r="BY3" t="str">
        <f ca="1">IF(R3="","",IF(R3&gt;Options!$B$3,"ALTER TABLE "&amp;HELPER!$B$4&amp;" ADD COLUMNS ("&amp;A3&amp;" "&amp;C3&amp;")",""))</f>
        <v/>
      </c>
      <c r="BZ3" t="str">
        <f ca="1">IF(R3="","",IF(R3&gt;Options!$B$3,A3,""))</f>
        <v/>
      </c>
      <c r="CA3" t="str">
        <f ca="1">IF(R3="","",IF(R3&gt;Options!$B$3,B3,""))</f>
        <v/>
      </c>
      <c r="CB3" t="str">
        <f t="shared" ca="1" si="38"/>
        <v>&lt;tr&gt;&lt;td&gt;has_communicated_last_90_days&lt;td&gt;1 AS has_communicated_last_90_days&lt;td&gt;bigint&lt;td&gt;bigint&lt;td&gt;&lt;td&gt;&lt;td&gt;1&lt;td&gt;&lt;td&gt;&lt;td&gt;&lt;td&gt;&lt;/td&gt;&lt;/tr&gt;</v>
      </c>
      <c r="CC3">
        <f t="shared" ca="1" si="39"/>
        <v>0</v>
      </c>
      <c r="CD3" t="str">
        <f ca="1">IF(J3="","",Options!$B$23 &amp; "." &amp; J3)</f>
        <v/>
      </c>
    </row>
    <row r="4" spans="1:82">
      <c r="A4" s="161" t="str">
        <f t="array" aca="1" ref="A4" ca="1">IF(TRIM(INDIRECT("Columns!A4")) ="","",TRIM(INDIRECT("Columns!A4")))</f>
        <v>lake_arrival_date</v>
      </c>
      <c r="B4" s="161" t="str">
        <f t="shared" ca="1" si="0"/>
        <v>lake_arrival_date</v>
      </c>
      <c r="C4" s="161" t="str">
        <f t="shared" ca="1" si="1"/>
        <v>string</v>
      </c>
      <c r="D4" s="161" t="str">
        <f t="shared" ca="1" si="2"/>
        <v>string</v>
      </c>
      <c r="E4" s="161" t="str">
        <f t="array" aca="1" ref="E4" ca="1">IF(TRIM(INDIRECT("Columns!E4"))="","",TRIM(INDIRECT("Columns!E4")))</f>
        <v/>
      </c>
      <c r="F4" s="161" t="str">
        <f t="array" aca="1" ref="F4" ca="1">IF(TRIM(INDIRECT("Columns!G4"))="","",TRIM(INDIRECT("Columns!G4")))</f>
        <v>1</v>
      </c>
      <c r="G4" s="161" t="str">
        <f t="array" aca="1" ref="G4" ca="1">IF(TRIM(INDIRECT("Columns!F4"))="","",TRIM(INDIRECT("Columns!F4")))</f>
        <v/>
      </c>
      <c r="H4" s="161" t="str">
        <f t="array" aca="1" ref="H4" ca="1">IF(TRIM(INDIRECT("Columns!H4"))="","",TRIM(INDIRECT("Columns!H4")))</f>
        <v/>
      </c>
      <c r="I4" s="161" t="str">
        <f t="array" aca="1" ref="I4" ca="1">IF(TRIM(INDIRECT("Columns!I4"))="","",TRIM(INDIRECT("Columns!I4")))</f>
        <v/>
      </c>
      <c r="J4" s="161" t="str">
        <f t="array" aca="1" ref="J4" ca="1">IF(TRIM(INDIRECT("Columns!J4"))="","",TRIM(INDIRECT("Columns!J4")))</f>
        <v/>
      </c>
      <c r="K4" s="161" t="str">
        <f t="array" aca="1" ref="K4" ca="1">IF(TRIM(INDIRECT("Columns!K4"))="","",TRIM(INDIRECT("Columns!K4")))</f>
        <v/>
      </c>
      <c r="L4" s="161" t="str">
        <f t="array" aca="1" ref="L4" ca="1">IF(TRIM(INDIRECT("Columns!L4"))="","",TRIM(INDIRECT("Columns!L4")))</f>
        <v/>
      </c>
      <c r="M4" s="161" t="str">
        <f t="array" aca="1" ref="M4" ca="1">IF(TRIM(INDIRECT("Columns!M4"))="","",TRIM(INDIRECT("Columns!M4")))</f>
        <v>$eq'[:date_yyyy_mm_dd]'</v>
      </c>
      <c r="N4" s="161" t="str">
        <f t="array" aca="1" ref="N4" ca="1">IF(TRIM(INDIRECT("Columns!N4"))="","",TRIM(INDIRECT("Columns!N4")))</f>
        <v>2023-11-01</v>
      </c>
      <c r="O4" s="227" t="str">
        <f t="array" aca="1" ref="O4" ca="1">IF(TRIM(INDIRECT("Columns!B4"))="","",TRIM(INDIRECT("Columns!B4")))</f>
        <v/>
      </c>
      <c r="P4" s="227" t="str">
        <f t="array" aca="1" ref="P4" ca="1">IF(TRIM(INDIRECT("Columns!C4"))="","",TRIM(INDIRECT("Columns!C4")))</f>
        <v>string</v>
      </c>
      <c r="Q4" s="227" t="str">
        <f t="array" aca="1" ref="Q4" ca="1">IF(TRIM(INDIRECT("Columns!D4"))="","",TRIM(INDIRECT("Columns!D4")))</f>
        <v/>
      </c>
      <c r="R4" s="227" t="str">
        <f t="array" aca="1" ref="R4" ca="1">IF(TRIM(INDIRECT("Columns!O4"))="","",TRIM(INDIRECT("Columns!O4")))</f>
        <v/>
      </c>
      <c r="S4" t="str">
        <f t="shared" ca="1" si="3"/>
        <v>lake_arrival_date string</v>
      </c>
      <c r="T4" t="str">
        <f t="shared" ca="1" si="4"/>
        <v/>
      </c>
      <c r="U4" t="str">
        <f t="shared" ca="1" si="5"/>
        <v/>
      </c>
      <c r="V4" t="str">
        <f t="shared" ca="1" si="6"/>
        <v/>
      </c>
      <c r="W4" t="str">
        <f t="shared" ca="1" si="7"/>
        <v/>
      </c>
      <c r="X4" t="str">
        <f t="shared" ca="1" si="8"/>
        <v/>
      </c>
      <c r="Y4" t="str">
        <f t="shared" ca="1" si="9"/>
        <v>lake_arrival_date string</v>
      </c>
      <c r="Z4" t="str">
        <f t="shared" ca="1" si="40"/>
        <v>lake_arrival_date</v>
      </c>
      <c r="AA4" t="str">
        <f ca="1">IF(E4="1",   IF( A4="","",IF(OR(F4="1",H4="1",I4="1"),"","COALESCE (CAST("&amp;A4&amp;" as varchar(" &amp; Options!$B$49&amp; ")),'')")),"")</f>
        <v/>
      </c>
      <c r="AB4" t="str">
        <f ca="1">IF(E4="1", IF(C4="string",  IF( A4="","",IF(OR(F4="1",H4="1",I4="1"),"","COALESCE (CAST(lower("&amp;A4&amp;") as varchar(" &amp;Options!$B$49 &amp; ")),'')")),AA4),"")</f>
        <v/>
      </c>
      <c r="AC4" t="str">
        <f ca="1">IF(E4="4",   IF( A4="","",IF(OR(F4="1",H4="1",I4="1"),"","COALESCE (CAST("  &amp;A4&amp;" as varchar(" &amp; Options!$B$49&amp; ")),'')")),"")</f>
        <v/>
      </c>
      <c r="AD4" t="str">
        <f ca="1">IF(E4="4",   IF( A4="","",IF(OR(F4="1",H4="1",I4="1"),"","COALESCE (CAST(" &amp; HELPER!$B$94 &amp; "."  &amp;A4&amp;" as varchar(" &amp; Options!$B$49&amp; ")),'')")),"")</f>
        <v/>
      </c>
      <c r="AE4" t="str">
        <f t="shared" ca="1" si="10"/>
        <v/>
      </c>
      <c r="AF4" t="str">
        <f ca="1">IF(AE4&lt;&gt;"", HELPER!$B$93 &amp;  "." &amp; AE4,"")</f>
        <v/>
      </c>
      <c r="AG4" t="str">
        <f ca="1">IF(AE4&lt;&gt;"", HELPER!$B$94 &amp; "." &amp; AE4,"")</f>
        <v/>
      </c>
      <c r="AH4" t="str">
        <f t="shared" ca="1" si="11"/>
        <v/>
      </c>
      <c r="AI4" t="str">
        <f t="shared" ca="1" si="12"/>
        <v/>
      </c>
      <c r="AJ4" t="str">
        <f t="shared" ca="1" si="13"/>
        <v/>
      </c>
      <c r="AK4" t="str">
        <f ca="1">IF(E4="4", HELPER!$B$94 &amp;  "." &amp; A4,"")</f>
        <v/>
      </c>
      <c r="AL4" t="str">
        <f ca="1">IF(E4="4", HELPER!$B$93 &amp;  "." &amp; A4,"")</f>
        <v/>
      </c>
      <c r="AM4" t="str">
        <f t="shared" ca="1" si="14"/>
        <v/>
      </c>
      <c r="AN4" t="str">
        <f t="shared" ca="1" si="15"/>
        <v/>
      </c>
      <c r="AO4" t="str">
        <f ca="1">IF(A4&lt;&gt;"", IF(OR(F4="1",H4="1",I4="1"),""," "&amp; HELPER!$B$94 &amp; "." &amp; A4),"")</f>
        <v/>
      </c>
      <c r="AP4" t="str">
        <f t="shared" ca="1" si="16"/>
        <v/>
      </c>
      <c r="AQ4" t="str">
        <f t="shared" ref="AQ4:AQ35" ca="1" si="47">IF(A4="","", IF(E4="4", IF(AN4="","",AN4 &amp; " = " &amp; AO4),""))</f>
        <v/>
      </c>
      <c r="AS4" t="str">
        <f ca="1">IF(A4="","",  HELPER!$B$94 &amp;  "." &amp; A4)</f>
        <v>src.lake_arrival_date</v>
      </c>
      <c r="AT4" t="str">
        <f t="shared" ca="1" si="17"/>
        <v/>
      </c>
      <c r="AU4" t="str">
        <f t="shared" ca="1" si="18"/>
        <v>COALESCE(src.lake_arrival_date,'')</v>
      </c>
      <c r="AV4" s="190" t="str">
        <f t="shared" ca="1" si="19"/>
        <v>lake_arrival_date</v>
      </c>
      <c r="AW4" t="str">
        <f t="shared" ca="1" si="20"/>
        <v>COALESCE(src.lake_arrival_date,'')</v>
      </c>
      <c r="AX4" t="str">
        <f ca="1">IF(J4="","","LEFT JOIN "&amp; Options!$B$23 &amp; "." &amp; J4 &amp; " ON ")</f>
        <v/>
      </c>
      <c r="AY4" t="str">
        <f t="shared" ca="1" si="21"/>
        <v>lake_arrival_date AS lake_arrival_date</v>
      </c>
      <c r="AZ4" t="str">
        <f t="shared" ca="1" si="22"/>
        <v/>
      </c>
      <c r="BA4" t="str">
        <f ca="1">IF(AZ4="","", "CAST(" &amp; AZ4 &amp; " AS varchar(" &amp; Options!$B$49 &amp; "))")</f>
        <v/>
      </c>
      <c r="BB4" t="str">
        <f t="shared" ca="1" si="23"/>
        <v>lake_arrival_date</v>
      </c>
      <c r="BC4" t="str">
        <f t="shared" ca="1" si="41"/>
        <v/>
      </c>
      <c r="BE4" t="str">
        <f t="shared" ca="1" si="24"/>
        <v/>
      </c>
      <c r="BF4" t="str">
        <f t="shared" ca="1" si="25"/>
        <v>lake_arrival_date AS lake_arrival_date</v>
      </c>
      <c r="BG4" t="str">
        <f t="shared" ca="1" si="26"/>
        <v/>
      </c>
      <c r="BH4" s="285" t="str">
        <f t="shared" ca="1" si="42"/>
        <v>COALESCE(lake_arrival_date,'') AS lake_arrival_date</v>
      </c>
      <c r="BI4" t="str">
        <f t="shared" ca="1" si="27"/>
        <v>f.lake_arrival_date AS lake_arrival_date</v>
      </c>
      <c r="BJ4" t="str">
        <f t="shared" ca="1" si="28"/>
        <v>'missing'</v>
      </c>
      <c r="BK4" t="str">
        <f t="shared" ca="1" si="43"/>
        <v>'missing'</v>
      </c>
      <c r="BL4" t="str">
        <f t="shared" ca="1" si="29"/>
        <v/>
      </c>
      <c r="BM4" t="str">
        <f t="shared" ca="1" si="44"/>
        <v>f.lake_arrival_date AS lake_arrival_date</v>
      </c>
      <c r="BN4" t="str">
        <f t="shared" ca="1" si="45"/>
        <v>f.lake_arrival_date AS lake_arrival_date</v>
      </c>
      <c r="BO4" t="str">
        <f t="shared" ca="1" si="30"/>
        <v>f.lake_arrival_date</v>
      </c>
      <c r="BP4" t="b">
        <f ca="1">COUNTIF(COLHELPER!A4:'COLHELPER'!A4,COLHELPER!A4)&gt;1</f>
        <v>0</v>
      </c>
      <c r="BQ4">
        <f t="shared" ca="1" si="31"/>
        <v>0</v>
      </c>
      <c r="BR4" s="289" t="str">
        <f ca="1">SUBSTITUTE(IF(M4&lt;&gt;"",A4 &amp; M4,""),"$eq","=")</f>
        <v>lake_arrival_date='[:date_yyyy_mm_dd]'</v>
      </c>
      <c r="BS4" t="str">
        <f t="shared" ca="1" si="33"/>
        <v>lake_arrival_date=[:date_yyyy_mm_dd]</v>
      </c>
      <c r="BT4" t="str">
        <f t="shared" ca="1" si="46"/>
        <v>lake_arrival_date='2023-11-01'</v>
      </c>
      <c r="BU4" t="str">
        <f t="shared" ca="1" si="34"/>
        <v>lake_arrival_date=2023-11-01</v>
      </c>
      <c r="BV4">
        <f t="shared" ca="1" si="35"/>
        <v>1</v>
      </c>
      <c r="BW4" t="str">
        <f t="shared" ca="1" si="36"/>
        <v/>
      </c>
      <c r="BX4" t="str">
        <f t="shared" ca="1" si="37"/>
        <v/>
      </c>
      <c r="BY4" t="str">
        <f ca="1">IF(R4="","",IF(R4&gt;Options!$B$3,"ALTER TABLE "&amp;HELPER!$B$4&amp;" ADD COLUMNS ("&amp;A4&amp;" "&amp;C4&amp;")",""))</f>
        <v/>
      </c>
      <c r="BZ4" t="str">
        <f ca="1">IF(R4="","",IF(R4&gt;Options!$B$3,A4,""))</f>
        <v/>
      </c>
      <c r="CA4" t="str">
        <f ca="1">IF(R4="","",IF(R4&gt;Options!$B$3,B4,""))</f>
        <v/>
      </c>
      <c r="CB4" t="str">
        <f t="shared" ca="1" si="38"/>
        <v>&lt;tr&gt;&lt;td&gt;lake_arrival_date&lt;td&gt;lake_arrival_date&lt;td&gt;string&lt;td&gt;string&lt;td&gt;&lt;td&gt;1&lt;td&gt;&lt;td&gt;&lt;td&gt;&lt;td&gt;&lt;td&gt;&lt;/td&gt;&lt;/tr&gt;</v>
      </c>
      <c r="CC4">
        <f t="shared" ca="1" si="39"/>
        <v>0</v>
      </c>
      <c r="CD4" t="str">
        <f ca="1">IF(J4="","",Options!$B$23 &amp; "." &amp; J4)</f>
        <v/>
      </c>
    </row>
    <row r="5" spans="1:82">
      <c r="A5" s="161" t="str">
        <f t="array" aca="1" ref="A5" ca="1">IF(TRIM(INDIRECT("Columns!A5")) ="","",TRIM(INDIRECT("Columns!A5")))</f>
        <v/>
      </c>
      <c r="B5" s="161" t="str">
        <f t="shared" ca="1" si="0"/>
        <v/>
      </c>
      <c r="C5" s="161" t="str">
        <f t="shared" ca="1" si="1"/>
        <v/>
      </c>
      <c r="D5" s="161" t="str">
        <f t="shared" ca="1" si="2"/>
        <v/>
      </c>
      <c r="E5" s="161" t="str">
        <f t="array" aca="1" ref="E5" ca="1">IF(TRIM(INDIRECT("Columns!E5"))="","",TRIM(INDIRECT("Columns!E5")))</f>
        <v/>
      </c>
      <c r="F5" s="161" t="str">
        <f t="array" aca="1" ref="F5" ca="1">IF(TRIM(INDIRECT("Columns!G5"))="","",TRIM(INDIRECT("Columns!G5")))</f>
        <v/>
      </c>
      <c r="G5" s="161" t="str">
        <f t="array" aca="1" ref="G5" ca="1">IF(TRIM(INDIRECT("Columns!F5"))="","",TRIM(INDIRECT("Columns!F5")))</f>
        <v/>
      </c>
      <c r="H5" s="161" t="str">
        <f t="array" aca="1" ref="H5" ca="1">IF(TRIM(INDIRECT("Columns!H5"))="","",TRIM(INDIRECT("Columns!H5")))</f>
        <v/>
      </c>
      <c r="I5" s="161" t="str">
        <f t="array" aca="1" ref="I5" ca="1">IF(TRIM(INDIRECT("Columns!I5"))="","",TRIM(INDIRECT("Columns!I5")))</f>
        <v/>
      </c>
      <c r="J5" s="161" t="str">
        <f t="array" aca="1" ref="J5" ca="1">IF(TRIM(INDIRECT("Columns!J5"))="","",TRIM(INDIRECT("Columns!J5")))</f>
        <v/>
      </c>
      <c r="K5" s="161" t="str">
        <f t="array" aca="1" ref="K5" ca="1">IF(TRIM(INDIRECT("Columns!K5"))="","",TRIM(INDIRECT("Columns!K5")))</f>
        <v/>
      </c>
      <c r="L5" s="161" t="str">
        <f t="array" aca="1" ref="L5" ca="1">IF(TRIM(INDIRECT("Columns!L5"))="","",TRIM(INDIRECT("Columns!L5")))</f>
        <v/>
      </c>
      <c r="M5" s="161" t="str">
        <f t="array" aca="1" ref="M5" ca="1">IF(TRIM(INDIRECT("Columns!M5"))="","",TRIM(INDIRECT("Columns!M5")))</f>
        <v/>
      </c>
      <c r="N5" s="161" t="str">
        <f t="array" aca="1" ref="N5" ca="1">IF(TRIM(INDIRECT("Columns!N5"))="","",TRIM(INDIRECT("Columns!N5")))</f>
        <v/>
      </c>
      <c r="O5" s="227" t="str">
        <f t="array" aca="1" ref="O5" ca="1">IF(TRIM(INDIRECT("Columns!B5"))="","",TRIM(INDIRECT("Columns!B5")))</f>
        <v/>
      </c>
      <c r="P5" s="227" t="str">
        <f t="array" aca="1" ref="P5" ca="1">IF(TRIM(INDIRECT("Columns!C5"))="","",TRIM(INDIRECT("Columns!C5")))</f>
        <v/>
      </c>
      <c r="Q5" s="227" t="str">
        <f t="array" aca="1" ref="Q5" ca="1">IF(TRIM(INDIRECT("Columns!D5"))="","",TRIM(INDIRECT("Columns!D5")))</f>
        <v/>
      </c>
      <c r="R5" s="227" t="str">
        <f t="array" aca="1" ref="R5" ca="1">IF(TRIM(INDIRECT("Columns!O5"))="","",TRIM(INDIRECT("Columns!O5")))</f>
        <v/>
      </c>
      <c r="S5" t="str">
        <f t="shared" ca="1" si="3"/>
        <v/>
      </c>
      <c r="T5" t="str">
        <f t="shared" ca="1" si="4"/>
        <v/>
      </c>
      <c r="U5" t="str">
        <f t="shared" ca="1" si="5"/>
        <v/>
      </c>
      <c r="V5" t="str">
        <f t="shared" ca="1" si="6"/>
        <v/>
      </c>
      <c r="W5" t="str">
        <f t="shared" ca="1" si="7"/>
        <v/>
      </c>
      <c r="X5" t="str">
        <f t="shared" ca="1" si="8"/>
        <v/>
      </c>
      <c r="Y5" t="str">
        <f t="shared" ca="1" si="9"/>
        <v/>
      </c>
      <c r="Z5" t="str">
        <f t="shared" ca="1" si="40"/>
        <v/>
      </c>
      <c r="AA5" t="str">
        <f ca="1">IF(E5="1",   IF( A5="","",IF(OR(F5="1",H5="1",I5="1"),"","COALESCE (CAST("&amp;A5&amp;" as varchar(" &amp; Options!$B$49&amp; ")),'')")),"")</f>
        <v/>
      </c>
      <c r="AB5" t="str">
        <f ca="1">IF(E5="1", IF(C5="string",  IF( A5="","",IF(OR(F5="1",H5="1",I5="1"),"","COALESCE (CAST(lower("&amp;A5&amp;") as varchar(" &amp;Options!$B$49 &amp; ")),'')")),AA5),"")</f>
        <v/>
      </c>
      <c r="AC5" t="str">
        <f ca="1">IF(E5="4",   IF( A5="","",IF(OR(F5="1",H5="1",I5="1"),"","COALESCE (CAST("  &amp;A5&amp;" as varchar(" &amp; Options!$B$49&amp; ")),'')")),"")</f>
        <v/>
      </c>
      <c r="AD5" t="str">
        <f ca="1">IF(E5="4",   IF( A5="","",IF(OR(F5="1",H5="1",I5="1"),"","COALESCE (CAST(" &amp; HELPER!$B$94 &amp; "."  &amp;A5&amp;" as varchar(" &amp; Options!$B$49&amp; ")),'')")),"")</f>
        <v/>
      </c>
      <c r="AE5" t="str">
        <f t="shared" ca="1" si="10"/>
        <v/>
      </c>
      <c r="AF5" t="str">
        <f ca="1">IF(AE5&lt;&gt;"", HELPER!$B$93 &amp;  "." &amp; AE5,"")</f>
        <v/>
      </c>
      <c r="AG5" t="str">
        <f ca="1">IF(AE5&lt;&gt;"", HELPER!$B$94 &amp; "." &amp; AE5,"")</f>
        <v/>
      </c>
      <c r="AH5" t="str">
        <f t="shared" ca="1" si="11"/>
        <v/>
      </c>
      <c r="AI5" t="str">
        <f t="shared" ca="1" si="12"/>
        <v/>
      </c>
      <c r="AJ5" t="str">
        <f t="shared" ca="1" si="13"/>
        <v/>
      </c>
      <c r="AK5" t="str">
        <f ca="1">IF(E5="4", HELPER!$B$94 &amp;  "." &amp; A5,"")</f>
        <v/>
      </c>
      <c r="AL5" t="str">
        <f ca="1">IF(E5="4", HELPER!$B$93 &amp;  "." &amp; A5,"")</f>
        <v/>
      </c>
      <c r="AM5" t="str">
        <f t="shared" ca="1" si="14"/>
        <v/>
      </c>
      <c r="AN5" t="str">
        <f t="shared" ca="1" si="15"/>
        <v/>
      </c>
      <c r="AO5" t="str">
        <f ca="1">IF(A5&lt;&gt;"", IF(OR(F5="1",H5="1",I5="1"),""," "&amp; HELPER!$B$94 &amp; "." &amp; A5),"")</f>
        <v/>
      </c>
      <c r="AP5" t="str">
        <f t="shared" ca="1" si="16"/>
        <v/>
      </c>
      <c r="AQ5" t="str">
        <f t="shared" ca="1" si="47"/>
        <v/>
      </c>
      <c r="AS5" t="str">
        <f ca="1">IF(A5="","",  HELPER!$B$94 &amp;  "." &amp; A5)</f>
        <v/>
      </c>
      <c r="AT5" t="str">
        <f t="shared" ca="1" si="17"/>
        <v/>
      </c>
      <c r="AU5" t="str">
        <f t="shared" ca="1" si="18"/>
        <v/>
      </c>
      <c r="AV5" s="190" t="str">
        <f t="shared" ca="1" si="19"/>
        <v/>
      </c>
      <c r="AW5" t="str">
        <f t="shared" ca="1" si="20"/>
        <v/>
      </c>
      <c r="AX5" t="str">
        <f ca="1">IF(J5="","","LEFT JOIN "&amp; Options!$B$23 &amp; "." &amp; J5 &amp; " ON ")</f>
        <v/>
      </c>
      <c r="AY5" t="str">
        <f t="shared" ca="1" si="21"/>
        <v/>
      </c>
      <c r="AZ5" t="str">
        <f t="shared" ca="1" si="22"/>
        <v/>
      </c>
      <c r="BA5" t="str">
        <f ca="1">IF(AZ5="","", "CAST(" &amp; AZ5 &amp; " AS varchar(" &amp; Options!$B$49 &amp; "))")</f>
        <v/>
      </c>
      <c r="BB5" t="str">
        <f t="shared" ca="1" si="23"/>
        <v/>
      </c>
      <c r="BC5" t="str">
        <f t="shared" ca="1" si="41"/>
        <v/>
      </c>
      <c r="BE5" t="str">
        <f t="shared" ca="1" si="24"/>
        <v/>
      </c>
      <c r="BF5" t="str">
        <f t="shared" ca="1" si="25"/>
        <v/>
      </c>
      <c r="BG5" t="str">
        <f t="shared" ca="1" si="26"/>
        <v/>
      </c>
      <c r="BH5" s="285" t="str">
        <f t="shared" ca="1" si="42"/>
        <v/>
      </c>
      <c r="BI5" t="str">
        <f t="shared" ca="1" si="27"/>
        <v/>
      </c>
      <c r="BJ5" t="str">
        <f t="shared" ca="1" si="28"/>
        <v/>
      </c>
      <c r="BK5" t="str">
        <f t="shared" ca="1" si="43"/>
        <v/>
      </c>
      <c r="BL5" t="str">
        <f t="shared" ca="1" si="29"/>
        <v/>
      </c>
      <c r="BM5" t="str">
        <f t="shared" ca="1" si="44"/>
        <v/>
      </c>
      <c r="BN5" t="str">
        <f t="shared" ca="1" si="45"/>
        <v/>
      </c>
      <c r="BO5" t="str">
        <f t="shared" ca="1" si="30"/>
        <v/>
      </c>
      <c r="BP5" t="b">
        <f ca="1">COUNTIF(COLHELPER!A5:'COLHELPER'!A5,COLHELPER!A5)&gt;1</f>
        <v>0</v>
      </c>
      <c r="BQ5">
        <f t="shared" ca="1" si="31"/>
        <v>0</v>
      </c>
      <c r="BR5" s="290" t="str">
        <f t="shared" ref="BR5:BR68" ca="1" si="48">SUBSTITUTE(IF(M5&lt;&gt;"",A5 &amp; M5,""),"$eq","=")</f>
        <v/>
      </c>
      <c r="BS5" t="str">
        <f t="shared" ca="1" si="33"/>
        <v/>
      </c>
      <c r="BT5" t="str">
        <f t="shared" ca="1" si="46"/>
        <v/>
      </c>
      <c r="BU5" t="str">
        <f t="shared" ca="1" si="34"/>
        <v/>
      </c>
      <c r="BV5">
        <f t="shared" ca="1" si="35"/>
        <v>1</v>
      </c>
      <c r="BW5" t="str">
        <f t="shared" ca="1" si="36"/>
        <v/>
      </c>
      <c r="BX5" t="str">
        <f t="shared" ca="1" si="37"/>
        <v/>
      </c>
      <c r="BY5" t="str">
        <f ca="1">IF(R5="","",IF(R5&gt;Options!$B$3,"ALTER TABLE "&amp;HELPER!$B$4&amp;" ADD COLUMNS ("&amp;A5&amp;" "&amp;C5&amp;")",""))</f>
        <v/>
      </c>
      <c r="BZ5" t="str">
        <f ca="1">IF(R5="","",IF(R5&gt;Options!$B$3,A5,""))</f>
        <v/>
      </c>
      <c r="CA5" t="str">
        <f ca="1">IF(R5="","",IF(R5&gt;Options!$B$3,B5,""))</f>
        <v/>
      </c>
      <c r="CB5" t="str">
        <f t="shared" ca="1" si="38"/>
        <v/>
      </c>
      <c r="CC5">
        <f t="shared" ca="1" si="39"/>
        <v>0</v>
      </c>
      <c r="CD5" t="str">
        <f ca="1">IF(J5="","",Options!$B$23 &amp; "." &amp; J5)</f>
        <v/>
      </c>
    </row>
    <row r="6" spans="1:82">
      <c r="A6" s="161" t="str">
        <f t="array" aca="1" ref="A6" ca="1">IF(TRIM(INDIRECT("Columns!A6")) ="","",TRIM(INDIRECT("Columns!A6")))</f>
        <v/>
      </c>
      <c r="B6" s="161" t="str">
        <f t="shared" ca="1" si="0"/>
        <v/>
      </c>
      <c r="C6" s="161" t="str">
        <f t="shared" ca="1" si="1"/>
        <v/>
      </c>
      <c r="D6" s="161" t="str">
        <f t="shared" ca="1" si="2"/>
        <v/>
      </c>
      <c r="E6" s="161" t="str">
        <f t="array" aca="1" ref="E6" ca="1">IF(TRIM(INDIRECT("Columns!E6"))="","",TRIM(INDIRECT("Columns!E6")))</f>
        <v/>
      </c>
      <c r="F6" s="161" t="str">
        <f t="array" aca="1" ref="F6" ca="1">IF(TRIM(INDIRECT("Columns!G6"))="","",TRIM(INDIRECT("Columns!G6")))</f>
        <v/>
      </c>
      <c r="G6" s="161" t="str">
        <f t="array" aca="1" ref="G6" ca="1">IF(TRIM(INDIRECT("Columns!F6"))="","",TRIM(INDIRECT("Columns!F6")))</f>
        <v/>
      </c>
      <c r="H6" s="161" t="str">
        <f t="array" aca="1" ref="H6" ca="1">IF(TRIM(INDIRECT("Columns!H6"))="","",TRIM(INDIRECT("Columns!H6")))</f>
        <v/>
      </c>
      <c r="I6" s="161" t="str">
        <f t="array" aca="1" ref="I6" ca="1">IF(TRIM(INDIRECT("Columns!I6"))="","",TRIM(INDIRECT("Columns!I6")))</f>
        <v/>
      </c>
      <c r="J6" s="161" t="str">
        <f t="array" aca="1" ref="J6" ca="1">IF(TRIM(INDIRECT("Columns!J6"))="","",TRIM(INDIRECT("Columns!J6")))</f>
        <v/>
      </c>
      <c r="K6" s="161" t="str">
        <f t="array" aca="1" ref="K6" ca="1">IF(TRIM(INDIRECT("Columns!K6"))="","",TRIM(INDIRECT("Columns!K6")))</f>
        <v/>
      </c>
      <c r="L6" s="161" t="str">
        <f t="array" aca="1" ref="L6" ca="1">IF(TRIM(INDIRECT("Columns!L6"))="","",TRIM(INDIRECT("Columns!L6")))</f>
        <v/>
      </c>
      <c r="M6" s="161" t="str">
        <f t="array" aca="1" ref="M6" ca="1">IF(TRIM(INDIRECT("Columns!M6"))="","",TRIM(INDIRECT("Columns!M6")))</f>
        <v/>
      </c>
      <c r="N6" s="161" t="str">
        <f t="array" aca="1" ref="N6" ca="1">IF(TRIM(INDIRECT("Columns!N6"))="","",TRIM(INDIRECT("Columns!N6")))</f>
        <v/>
      </c>
      <c r="O6" s="227" t="str">
        <f t="array" aca="1" ref="O6" ca="1">IF(TRIM(INDIRECT("Columns!B6"))="","",TRIM(INDIRECT("Columns!B6")))</f>
        <v/>
      </c>
      <c r="P6" s="227" t="str">
        <f t="array" aca="1" ref="P6" ca="1">IF(TRIM(INDIRECT("Columns!C6"))="","",TRIM(INDIRECT("Columns!C6")))</f>
        <v/>
      </c>
      <c r="Q6" s="227" t="str">
        <f t="array" aca="1" ref="Q6" ca="1">IF(TRIM(INDIRECT("Columns!D6"))="","",TRIM(INDIRECT("Columns!D6")))</f>
        <v/>
      </c>
      <c r="R6" s="227" t="str">
        <f t="array" aca="1" ref="R6" ca="1">IF(TRIM(INDIRECT("Columns!O6"))="","",TRIM(INDIRECT("Columns!O6")))</f>
        <v/>
      </c>
      <c r="S6" t="str">
        <f t="shared" ca="1" si="3"/>
        <v/>
      </c>
      <c r="T6" t="str">
        <f t="shared" ca="1" si="4"/>
        <v/>
      </c>
      <c r="U6" t="str">
        <f t="shared" ca="1" si="5"/>
        <v/>
      </c>
      <c r="V6" t="str">
        <f t="shared" ca="1" si="6"/>
        <v/>
      </c>
      <c r="W6" t="str">
        <f t="shared" ca="1" si="7"/>
        <v/>
      </c>
      <c r="X6" t="str">
        <f t="shared" ca="1" si="8"/>
        <v/>
      </c>
      <c r="Y6" t="str">
        <f t="shared" ca="1" si="9"/>
        <v/>
      </c>
      <c r="Z6" t="str">
        <f t="shared" ca="1" si="40"/>
        <v/>
      </c>
      <c r="AA6" t="str">
        <f ca="1">IF(E6="1",   IF( A6="","",IF(OR(F6="1",H6="1",I6="1"),"","COALESCE (CAST("&amp;A6&amp;" as varchar(" &amp; Options!$B$49&amp; ")),'')")),"")</f>
        <v/>
      </c>
      <c r="AB6" t="str">
        <f ca="1">IF(E6="1", IF(C6="string",  IF( A6="","",IF(OR(F6="1",H6="1",I6="1"),"","COALESCE (CAST(lower("&amp;A6&amp;") as varchar(" &amp;Options!$B$49 &amp; ")),'')")),AA6),"")</f>
        <v/>
      </c>
      <c r="AC6" t="str">
        <f ca="1">IF(E6="4",   IF( A6="","",IF(OR(F6="1",H6="1",I6="1"),"","COALESCE (CAST("  &amp;A6&amp;" as varchar(" &amp; Options!$B$49&amp; ")),'')")),"")</f>
        <v/>
      </c>
      <c r="AD6" t="str">
        <f ca="1">IF(E6="4",   IF( A6="","",IF(OR(F6="1",H6="1",I6="1"),"","COALESCE (CAST(" &amp; HELPER!$B$94 &amp; "."  &amp;A6&amp;" as varchar(" &amp; Options!$B$49&amp; ")),'')")),"")</f>
        <v/>
      </c>
      <c r="AE6" t="str">
        <f t="shared" ca="1" si="10"/>
        <v/>
      </c>
      <c r="AF6" t="str">
        <f ca="1">IF(AE6&lt;&gt;"", HELPER!$B$93 &amp;  "." &amp; AE6,"")</f>
        <v/>
      </c>
      <c r="AG6" t="str">
        <f ca="1">IF(AE6&lt;&gt;"", HELPER!$B$94 &amp; "." &amp; AE6,"")</f>
        <v/>
      </c>
      <c r="AH6" t="str">
        <f t="shared" ca="1" si="11"/>
        <v/>
      </c>
      <c r="AI6" t="str">
        <f t="shared" ca="1" si="12"/>
        <v/>
      </c>
      <c r="AJ6" t="str">
        <f t="shared" ca="1" si="13"/>
        <v/>
      </c>
      <c r="AK6" t="str">
        <f ca="1">IF(E6="4", HELPER!$B$94 &amp;  "." &amp; A6,"")</f>
        <v/>
      </c>
      <c r="AL6" t="str">
        <f ca="1">IF(E6="4", HELPER!$B$93 &amp;  "." &amp; A6,"")</f>
        <v/>
      </c>
      <c r="AM6" t="str">
        <f t="shared" ca="1" si="14"/>
        <v/>
      </c>
      <c r="AN6" t="str">
        <f t="shared" ca="1" si="15"/>
        <v/>
      </c>
      <c r="AO6" t="str">
        <f ca="1">IF(A6&lt;&gt;"", IF(OR(F6="1",H6="1",I6="1"),""," "&amp; HELPER!$B$94 &amp; "." &amp; A6),"")</f>
        <v/>
      </c>
      <c r="AP6" t="str">
        <f t="shared" ca="1" si="16"/>
        <v/>
      </c>
      <c r="AQ6" t="str">
        <f t="shared" ca="1" si="47"/>
        <v/>
      </c>
      <c r="AS6" t="str">
        <f ca="1">IF(A6="","",  HELPER!$B$94 &amp;  "." &amp; A6)</f>
        <v/>
      </c>
      <c r="AT6" t="str">
        <f t="shared" ca="1" si="17"/>
        <v/>
      </c>
      <c r="AU6" t="str">
        <f t="shared" ca="1" si="18"/>
        <v/>
      </c>
      <c r="AV6" s="190" t="str">
        <f t="shared" ca="1" si="19"/>
        <v/>
      </c>
      <c r="AW6" t="str">
        <f t="shared" ca="1" si="20"/>
        <v/>
      </c>
      <c r="AX6" t="str">
        <f ca="1">IF(J6="","","LEFT JOIN "&amp; Options!$B$23 &amp; "." &amp; J6 &amp; " ON ")</f>
        <v/>
      </c>
      <c r="AY6" t="str">
        <f t="shared" ca="1" si="21"/>
        <v/>
      </c>
      <c r="AZ6" t="str">
        <f t="shared" ca="1" si="22"/>
        <v/>
      </c>
      <c r="BA6" t="str">
        <f ca="1">IF(AZ6="","", "CAST(" &amp; AZ6 &amp; " AS varchar(" &amp; Options!$B$49 &amp; "))")</f>
        <v/>
      </c>
      <c r="BB6" t="str">
        <f t="shared" ca="1" si="23"/>
        <v/>
      </c>
      <c r="BC6" t="str">
        <f t="shared" ca="1" si="41"/>
        <v/>
      </c>
      <c r="BE6" t="str">
        <f t="shared" ca="1" si="24"/>
        <v/>
      </c>
      <c r="BF6" t="str">
        <f t="shared" ca="1" si="25"/>
        <v/>
      </c>
      <c r="BG6" t="str">
        <f t="shared" ca="1" si="26"/>
        <v/>
      </c>
      <c r="BH6" s="285" t="str">
        <f t="shared" ca="1" si="42"/>
        <v/>
      </c>
      <c r="BI6" t="str">
        <f t="shared" ca="1" si="27"/>
        <v/>
      </c>
      <c r="BJ6" t="str">
        <f t="shared" ca="1" si="28"/>
        <v/>
      </c>
      <c r="BK6" t="str">
        <f t="shared" ca="1" si="43"/>
        <v/>
      </c>
      <c r="BL6" t="str">
        <f t="shared" ca="1" si="29"/>
        <v/>
      </c>
      <c r="BM6" t="str">
        <f t="shared" ca="1" si="44"/>
        <v/>
      </c>
      <c r="BN6" t="str">
        <f t="shared" ca="1" si="45"/>
        <v/>
      </c>
      <c r="BO6" t="str">
        <f t="shared" ca="1" si="30"/>
        <v/>
      </c>
      <c r="BP6" t="b">
        <f ca="1">COUNTIF(COLHELPER!A6:'COLHELPER'!A6,COLHELPER!A6)&gt;1</f>
        <v>0</v>
      </c>
      <c r="BQ6">
        <f t="shared" ca="1" si="31"/>
        <v>0</v>
      </c>
      <c r="BR6" s="290" t="str">
        <f t="shared" ca="1" si="48"/>
        <v/>
      </c>
      <c r="BS6" t="str">
        <f t="shared" ca="1" si="33"/>
        <v/>
      </c>
      <c r="BT6" t="str">
        <f t="shared" ca="1" si="46"/>
        <v/>
      </c>
      <c r="BU6" t="str">
        <f t="shared" ca="1" si="34"/>
        <v/>
      </c>
      <c r="BV6">
        <f t="shared" ca="1" si="35"/>
        <v>0</v>
      </c>
      <c r="BW6" t="str">
        <f t="shared" ca="1" si="36"/>
        <v/>
      </c>
      <c r="BX6" t="str">
        <f t="shared" ca="1" si="37"/>
        <v/>
      </c>
      <c r="BY6" t="str">
        <f ca="1">IF(R6="","",IF(R6&gt;Options!$B$3,"ALTER TABLE "&amp;HELPER!$B$4&amp;" ADD COLUMNS ("&amp;A6&amp;" "&amp;C6&amp;")",""))</f>
        <v/>
      </c>
      <c r="BZ6" t="str">
        <f ca="1">IF(R6="","",IF(R6&gt;Options!$B$3,A6,""))</f>
        <v/>
      </c>
      <c r="CA6" t="str">
        <f ca="1">IF(R6="","",IF(R6&gt;Options!$B$3,B6,""))</f>
        <v/>
      </c>
      <c r="CB6" t="str">
        <f t="shared" ca="1" si="38"/>
        <v/>
      </c>
      <c r="CC6">
        <f t="shared" ca="1" si="39"/>
        <v>0</v>
      </c>
      <c r="CD6" t="str">
        <f ca="1">IF(J6="","",Options!$B$23 &amp; "." &amp; J6)</f>
        <v/>
      </c>
    </row>
    <row r="7" spans="1:82" ht="14.25" customHeight="1">
      <c r="A7" s="161" t="str">
        <f t="array" aca="1" ref="A7" ca="1">IF(TRIM(INDIRECT("Columns!A7")) ="","",TRIM(INDIRECT("Columns!A7")))</f>
        <v/>
      </c>
      <c r="B7" s="161" t="str">
        <f t="shared" ca="1" si="0"/>
        <v/>
      </c>
      <c r="C7" s="161" t="str">
        <f t="shared" ca="1" si="1"/>
        <v/>
      </c>
      <c r="D7" s="161" t="str">
        <f t="shared" ca="1" si="2"/>
        <v/>
      </c>
      <c r="E7" s="161" t="str">
        <f t="array" aca="1" ref="E7" ca="1">IF(TRIM(INDIRECT("Columns!E7"))="","",TRIM(INDIRECT("Columns!E7")))</f>
        <v/>
      </c>
      <c r="F7" s="161" t="str">
        <f t="array" aca="1" ref="F7" ca="1">IF(TRIM(INDIRECT("Columns!G7"))="","",TRIM(INDIRECT("Columns!G7")))</f>
        <v/>
      </c>
      <c r="G7" s="161" t="str">
        <f t="array" aca="1" ref="G7" ca="1">IF(TRIM(INDIRECT("Columns!F7"))="","",TRIM(INDIRECT("Columns!F7")))</f>
        <v/>
      </c>
      <c r="H7" s="161" t="str">
        <f t="array" aca="1" ref="H7" ca="1">IF(TRIM(INDIRECT("Columns!H7"))="","",TRIM(INDIRECT("Columns!H7")))</f>
        <v/>
      </c>
      <c r="I7" s="161" t="str">
        <f t="array" aca="1" ref="I7" ca="1">IF(TRIM(INDIRECT("Columns!I7"))="","",TRIM(INDIRECT("Columns!I7")))</f>
        <v/>
      </c>
      <c r="J7" s="161" t="str">
        <f t="array" aca="1" ref="J7" ca="1">IF(TRIM(INDIRECT("Columns!J7"))="","",TRIM(INDIRECT("Columns!J7")))</f>
        <v/>
      </c>
      <c r="K7" s="161" t="str">
        <f t="array" aca="1" ref="K7" ca="1">IF(TRIM(INDIRECT("Columns!K7"))="","",TRIM(INDIRECT("Columns!K7")))</f>
        <v/>
      </c>
      <c r="L7" s="161" t="str">
        <f t="array" aca="1" ref="L7" ca="1">IF(TRIM(INDIRECT("Columns!L7"))="","",TRIM(INDIRECT("Columns!L7")))</f>
        <v/>
      </c>
      <c r="M7" s="161" t="str">
        <f t="array" aca="1" ref="M7" ca="1">IF(TRIM(INDIRECT("Columns!M7"))="","",TRIM(INDIRECT("Columns!M7")))</f>
        <v/>
      </c>
      <c r="N7" s="161" t="str">
        <f t="array" aca="1" ref="N7" ca="1">IF(TRIM(INDIRECT("Columns!N7"))="","",TRIM(INDIRECT("Columns!N7")))</f>
        <v/>
      </c>
      <c r="O7" s="227" t="str">
        <f t="array" aca="1" ref="O7" ca="1">IF(TRIM(INDIRECT("Columns!B7"))="","",TRIM(INDIRECT("Columns!B7")))</f>
        <v/>
      </c>
      <c r="P7" s="227" t="str">
        <f t="array" aca="1" ref="P7" ca="1">IF(TRIM(INDIRECT("Columns!C7"))="","",TRIM(INDIRECT("Columns!C7")))</f>
        <v/>
      </c>
      <c r="Q7" s="227" t="str">
        <f t="array" aca="1" ref="Q7" ca="1">IF(TRIM(INDIRECT("Columns!D7"))="","",TRIM(INDIRECT("Columns!D7")))</f>
        <v/>
      </c>
      <c r="R7" s="227" t="str">
        <f t="array" aca="1" ref="R7" ca="1">IF(TRIM(INDIRECT("Columns!O7"))="","",TRIM(INDIRECT("Columns!O7")))</f>
        <v/>
      </c>
      <c r="S7" t="str">
        <f t="shared" ca="1" si="3"/>
        <v/>
      </c>
      <c r="T7" t="str">
        <f t="shared" ca="1" si="4"/>
        <v/>
      </c>
      <c r="U7" t="str">
        <f t="shared" ca="1" si="5"/>
        <v/>
      </c>
      <c r="V7" t="str">
        <f t="shared" ca="1" si="6"/>
        <v/>
      </c>
      <c r="W7" t="str">
        <f t="shared" ca="1" si="7"/>
        <v/>
      </c>
      <c r="X7" t="str">
        <f t="shared" ca="1" si="8"/>
        <v/>
      </c>
      <c r="Y7" t="str">
        <f t="shared" ca="1" si="9"/>
        <v/>
      </c>
      <c r="Z7" t="str">
        <f t="shared" ca="1" si="40"/>
        <v/>
      </c>
      <c r="AA7" t="str">
        <f ca="1">IF(E7="1",   IF( A7="","",IF(OR(F7="1",H7="1",I7="1"),"","COALESCE (CAST("&amp;A7&amp;" as varchar(" &amp; Options!$B$49&amp; ")),'')")),"")</f>
        <v/>
      </c>
      <c r="AB7" t="str">
        <f ca="1">IF(E7="1", IF(C7="string",  IF( A7="","",IF(OR(F7="1",H7="1",I7="1"),"","COALESCE (CAST(lower("&amp;A7&amp;") as varchar(" &amp;Options!$B$49 &amp; ")),'')")),AA7),"")</f>
        <v/>
      </c>
      <c r="AC7" t="str">
        <f ca="1">IF(E7="4",   IF( A7="","",IF(OR(F7="1",H7="1",I7="1"),"","COALESCE (CAST("  &amp;A7&amp;" as varchar(" &amp; Options!$B$49&amp; ")),'')")),"")</f>
        <v/>
      </c>
      <c r="AD7" t="str">
        <f ca="1">IF(E7="4",   IF( A7="","",IF(OR(F7="1",H7="1",I7="1"),"","COALESCE (CAST(" &amp; HELPER!$B$94 &amp; "."  &amp;A7&amp;" as varchar(" &amp; Options!$B$49&amp; ")),'')")),"")</f>
        <v/>
      </c>
      <c r="AE7" t="str">
        <f t="shared" ca="1" si="10"/>
        <v/>
      </c>
      <c r="AF7" t="str">
        <f ca="1">IF(AE7&lt;&gt;"", HELPER!$B$93 &amp;  "." &amp; AE7,"")</f>
        <v/>
      </c>
      <c r="AG7" t="str">
        <f ca="1">IF(AE7&lt;&gt;"", HELPER!$B$94 &amp; "." &amp; AE7,"")</f>
        <v/>
      </c>
      <c r="AH7" t="str">
        <f t="shared" ca="1" si="11"/>
        <v/>
      </c>
      <c r="AI7" t="str">
        <f t="shared" ca="1" si="12"/>
        <v/>
      </c>
      <c r="AJ7" t="str">
        <f t="shared" ca="1" si="13"/>
        <v/>
      </c>
      <c r="AK7" t="str">
        <f ca="1">IF(E7="4", HELPER!$B$94 &amp;  "." &amp; A7,"")</f>
        <v/>
      </c>
      <c r="AL7" t="str">
        <f ca="1">IF(E7="4", HELPER!$B$93 &amp;  "." &amp; A7,"")</f>
        <v/>
      </c>
      <c r="AM7" t="str">
        <f t="shared" ca="1" si="14"/>
        <v/>
      </c>
      <c r="AN7" t="str">
        <f t="shared" ca="1" si="15"/>
        <v/>
      </c>
      <c r="AO7" t="str">
        <f ca="1">IF(A7&lt;&gt;"", IF(OR(F7="1",H7="1",I7="1"),""," "&amp; HELPER!$B$94 &amp; "." &amp; A7),"")</f>
        <v/>
      </c>
      <c r="AP7" t="str">
        <f t="shared" ca="1" si="16"/>
        <v/>
      </c>
      <c r="AQ7" t="str">
        <f t="shared" ca="1" si="47"/>
        <v/>
      </c>
      <c r="AS7" t="str">
        <f ca="1">IF(A7="","",  HELPER!$B$94 &amp;  "." &amp; A7)</f>
        <v/>
      </c>
      <c r="AT7" t="str">
        <f t="shared" ca="1" si="17"/>
        <v/>
      </c>
      <c r="AU7" t="str">
        <f t="shared" ca="1" si="18"/>
        <v/>
      </c>
      <c r="AV7" s="190" t="str">
        <f t="shared" ca="1" si="19"/>
        <v/>
      </c>
      <c r="AW7" t="str">
        <f t="shared" ca="1" si="20"/>
        <v/>
      </c>
      <c r="AX7" t="str">
        <f ca="1">IF(J7="","","LEFT JOIN "&amp; Options!$B$23 &amp; "." &amp; J7 &amp; " ON ")</f>
        <v/>
      </c>
      <c r="AY7" t="str">
        <f t="shared" ca="1" si="21"/>
        <v/>
      </c>
      <c r="AZ7" t="str">
        <f t="shared" ca="1" si="22"/>
        <v/>
      </c>
      <c r="BA7" t="str">
        <f ca="1">IF(AZ7="","", "CAST(" &amp; AZ7 &amp; " AS varchar(" &amp; Options!$B$49 &amp; "))")</f>
        <v/>
      </c>
      <c r="BB7" t="str">
        <f t="shared" ca="1" si="23"/>
        <v/>
      </c>
      <c r="BC7" t="str">
        <f t="shared" ca="1" si="41"/>
        <v/>
      </c>
      <c r="BE7" t="str">
        <f t="shared" ca="1" si="24"/>
        <v/>
      </c>
      <c r="BF7" t="str">
        <f t="shared" ca="1" si="25"/>
        <v/>
      </c>
      <c r="BG7" t="str">
        <f t="shared" ca="1" si="26"/>
        <v/>
      </c>
      <c r="BH7" s="285" t="str">
        <f t="shared" ca="1" si="42"/>
        <v/>
      </c>
      <c r="BI7" t="str">
        <f t="shared" ca="1" si="27"/>
        <v/>
      </c>
      <c r="BJ7" t="str">
        <f t="shared" ca="1" si="28"/>
        <v/>
      </c>
      <c r="BK7" t="str">
        <f t="shared" ca="1" si="43"/>
        <v/>
      </c>
      <c r="BL7" t="str">
        <f t="shared" ca="1" si="29"/>
        <v/>
      </c>
      <c r="BM7" t="str">
        <f t="shared" ca="1" si="44"/>
        <v/>
      </c>
      <c r="BN7" t="str">
        <f t="shared" ca="1" si="45"/>
        <v/>
      </c>
      <c r="BO7" t="str">
        <f t="shared" ca="1" si="30"/>
        <v/>
      </c>
      <c r="BP7" t="b">
        <f ca="1">COUNTIF(COLHELPER!A7:'COLHELPER'!A7,COLHELPER!A7)&gt;1</f>
        <v>0</v>
      </c>
      <c r="BQ7">
        <f t="shared" ca="1" si="31"/>
        <v>0</v>
      </c>
      <c r="BR7" s="290" t="str">
        <f t="shared" ca="1" si="48"/>
        <v/>
      </c>
      <c r="BS7" t="str">
        <f t="shared" ca="1" si="33"/>
        <v/>
      </c>
      <c r="BT7" t="str">
        <f t="shared" ca="1" si="46"/>
        <v/>
      </c>
      <c r="BU7" t="str">
        <f t="shared" ca="1" si="34"/>
        <v/>
      </c>
      <c r="BV7">
        <f t="shared" ca="1" si="35"/>
        <v>0</v>
      </c>
      <c r="BW7" t="str">
        <f t="shared" ca="1" si="36"/>
        <v/>
      </c>
      <c r="BX7" t="str">
        <f t="shared" ca="1" si="37"/>
        <v/>
      </c>
      <c r="BY7" t="str">
        <f ca="1">IF(R7="","",IF(R7&gt;Options!$B$3,"ALTER TABLE "&amp;HELPER!$B$4&amp;" ADD COLUMNS ("&amp;A7&amp;" "&amp;C7&amp;")",""))</f>
        <v/>
      </c>
      <c r="BZ7" t="str">
        <f ca="1">IF(R7="","",IF(R7&gt;Options!$B$3,A7,""))</f>
        <v/>
      </c>
      <c r="CA7" t="str">
        <f ca="1">IF(R7="","",IF(R7&gt;Options!$B$3,B7,""))</f>
        <v/>
      </c>
      <c r="CB7" t="str">
        <f t="shared" ca="1" si="38"/>
        <v/>
      </c>
      <c r="CC7">
        <f t="shared" ca="1" si="39"/>
        <v>0</v>
      </c>
      <c r="CD7" t="str">
        <f ca="1">IF(J7="","",Options!$B$23 &amp; "." &amp; J7)</f>
        <v/>
      </c>
    </row>
    <row r="8" spans="1:82">
      <c r="A8" s="161" t="str">
        <f t="array" aca="1" ref="A8" ca="1">IF(TRIM(INDIRECT("Columns!A8")) ="","",TRIM(INDIRECT("Columns!A8")))</f>
        <v/>
      </c>
      <c r="B8" s="161" t="str">
        <f t="shared" ca="1" si="0"/>
        <v/>
      </c>
      <c r="C8" s="161" t="str">
        <f t="shared" ca="1" si="1"/>
        <v/>
      </c>
      <c r="D8" s="161" t="str">
        <f t="shared" ca="1" si="2"/>
        <v/>
      </c>
      <c r="E8" s="161" t="str">
        <f t="array" aca="1" ref="E8" ca="1">IF(TRIM(INDIRECT("Columns!E8"))="","",TRIM(INDIRECT("Columns!E8")))</f>
        <v/>
      </c>
      <c r="F8" s="161" t="str">
        <f t="array" aca="1" ref="F8" ca="1">IF(TRIM(INDIRECT("Columns!G8"))="","",TRIM(INDIRECT("Columns!G8")))</f>
        <v/>
      </c>
      <c r="G8" s="161" t="str">
        <f t="array" aca="1" ref="G8" ca="1">IF(TRIM(INDIRECT("Columns!F8"))="","",TRIM(INDIRECT("Columns!F8")))</f>
        <v/>
      </c>
      <c r="H8" s="161" t="str">
        <f t="array" aca="1" ref="H8" ca="1">IF(TRIM(INDIRECT("Columns!H8"))="","",TRIM(INDIRECT("Columns!H8")))</f>
        <v/>
      </c>
      <c r="I8" s="161" t="str">
        <f t="array" aca="1" ref="I8" ca="1">IF(TRIM(INDIRECT("Columns!I8"))="","",TRIM(INDIRECT("Columns!I8")))</f>
        <v/>
      </c>
      <c r="J8" s="161" t="str">
        <f t="array" aca="1" ref="J8" ca="1">IF(TRIM(INDIRECT("Columns!J8"))="","",TRIM(INDIRECT("Columns!J8")))</f>
        <v/>
      </c>
      <c r="K8" s="161" t="str">
        <f t="array" aca="1" ref="K8" ca="1">IF(TRIM(INDIRECT("Columns!K8"))="","",TRIM(INDIRECT("Columns!K8")))</f>
        <v/>
      </c>
      <c r="L8" s="161" t="str">
        <f t="array" aca="1" ref="L8" ca="1">IF(TRIM(INDIRECT("Columns!L8"))="","",TRIM(INDIRECT("Columns!L8")))</f>
        <v/>
      </c>
      <c r="M8" s="161" t="str">
        <f t="array" aca="1" ref="M8" ca="1">IF(TRIM(INDIRECT("Columns!M8"))="","",TRIM(INDIRECT("Columns!M8")))</f>
        <v/>
      </c>
      <c r="N8" s="161" t="str">
        <f t="array" aca="1" ref="N8" ca="1">IF(TRIM(INDIRECT("Columns!N8"))="","",TRIM(INDIRECT("Columns!N8")))</f>
        <v/>
      </c>
      <c r="O8" s="227" t="str">
        <f t="array" aca="1" ref="O8" ca="1">IF(TRIM(INDIRECT("Columns!B8"))="","",TRIM(INDIRECT("Columns!B8")))</f>
        <v/>
      </c>
      <c r="P8" s="227" t="str">
        <f t="array" aca="1" ref="P8" ca="1">IF(TRIM(INDIRECT("Columns!C8"))="","",TRIM(INDIRECT("Columns!C8")))</f>
        <v/>
      </c>
      <c r="Q8" s="227" t="str">
        <f t="array" aca="1" ref="Q8" ca="1">IF(TRIM(INDIRECT("Columns!D8"))="","",TRIM(INDIRECT("Columns!D8")))</f>
        <v/>
      </c>
      <c r="R8" s="227" t="str">
        <f t="array" aca="1" ref="R8" ca="1">IF(TRIM(INDIRECT("Columns!O8"))="","",TRIM(INDIRECT("Columns!O8")))</f>
        <v/>
      </c>
      <c r="S8" t="str">
        <f t="shared" ca="1" si="3"/>
        <v/>
      </c>
      <c r="T8" t="str">
        <f t="shared" ca="1" si="4"/>
        <v/>
      </c>
      <c r="U8" t="str">
        <f t="shared" ca="1" si="5"/>
        <v/>
      </c>
      <c r="V8" t="str">
        <f t="shared" ca="1" si="6"/>
        <v/>
      </c>
      <c r="W8" t="str">
        <f t="shared" ca="1" si="7"/>
        <v/>
      </c>
      <c r="X8" t="str">
        <f t="shared" ca="1" si="8"/>
        <v/>
      </c>
      <c r="Y8" t="str">
        <f t="shared" ca="1" si="9"/>
        <v/>
      </c>
      <c r="Z8" t="str">
        <f t="shared" ca="1" si="40"/>
        <v/>
      </c>
      <c r="AA8" t="str">
        <f ca="1">IF(E8="1",   IF( A8="","",IF(OR(F8="1",H8="1",I8="1"),"","COALESCE (CAST("&amp;A8&amp;" as varchar(" &amp; Options!$B$49&amp; ")),'')")),"")</f>
        <v/>
      </c>
      <c r="AB8" t="str">
        <f ca="1">IF(E8="1", IF(C8="string",  IF( A8="","",IF(OR(F8="1",H8="1",I8="1"),"","COALESCE (CAST(lower("&amp;A8&amp;") as varchar(" &amp;Options!$B$49 &amp; ")),'')")),AA8),"")</f>
        <v/>
      </c>
      <c r="AC8" t="str">
        <f ca="1">IF(E8="4",   IF( A8="","",IF(OR(F8="1",H8="1",I8="1"),"","COALESCE (CAST("  &amp;A8&amp;" as varchar(" &amp; Options!$B$49&amp; ")),'')")),"")</f>
        <v/>
      </c>
      <c r="AD8" t="str">
        <f ca="1">IF(E8="4",   IF( A8="","",IF(OR(F8="1",H8="1",I8="1"),"","COALESCE (CAST(" &amp; HELPER!$B$94 &amp; "."  &amp;A8&amp;" as varchar(" &amp; Options!$B$49&amp; ")),'')")),"")</f>
        <v/>
      </c>
      <c r="AE8" t="str">
        <f t="shared" ca="1" si="10"/>
        <v/>
      </c>
      <c r="AF8" t="str">
        <f ca="1">IF(AE8&lt;&gt;"", HELPER!$B$93 &amp;  "." &amp; AE8,"")</f>
        <v/>
      </c>
      <c r="AG8" t="str">
        <f ca="1">IF(AE8&lt;&gt;"", HELPER!$B$94 &amp; "." &amp; AE8,"")</f>
        <v/>
      </c>
      <c r="AH8" t="str">
        <f t="shared" ca="1" si="11"/>
        <v/>
      </c>
      <c r="AI8" t="str">
        <f t="shared" ca="1" si="12"/>
        <v/>
      </c>
      <c r="AJ8" t="str">
        <f t="shared" ca="1" si="13"/>
        <v/>
      </c>
      <c r="AK8" t="str">
        <f ca="1">IF(E8="4", HELPER!$B$94 &amp;  "." &amp; A8,"")</f>
        <v/>
      </c>
      <c r="AL8" t="str">
        <f ca="1">IF(E8="4", HELPER!$B$93 &amp;  "." &amp; A8,"")</f>
        <v/>
      </c>
      <c r="AM8" t="str">
        <f t="shared" ca="1" si="14"/>
        <v/>
      </c>
      <c r="AN8" t="str">
        <f t="shared" ca="1" si="15"/>
        <v/>
      </c>
      <c r="AO8" t="str">
        <f ca="1">IF(A8&lt;&gt;"", IF(OR(F8="1",H8="1",I8="1"),""," "&amp; HELPER!$B$94 &amp; "." &amp; A8),"")</f>
        <v/>
      </c>
      <c r="AP8" t="str">
        <f t="shared" ca="1" si="16"/>
        <v/>
      </c>
      <c r="AQ8" t="str">
        <f t="shared" ca="1" si="47"/>
        <v/>
      </c>
      <c r="AS8" t="str">
        <f ca="1">IF(A8="","",  HELPER!$B$94 &amp;  "." &amp; A8)</f>
        <v/>
      </c>
      <c r="AT8" t="str">
        <f t="shared" ca="1" si="17"/>
        <v/>
      </c>
      <c r="AU8" t="str">
        <f t="shared" ca="1" si="18"/>
        <v/>
      </c>
      <c r="AV8" s="190" t="str">
        <f t="shared" ca="1" si="19"/>
        <v/>
      </c>
      <c r="AW8" t="str">
        <f t="shared" ca="1" si="20"/>
        <v/>
      </c>
      <c r="AX8" t="str">
        <f ca="1">IF(J8="","","LEFT JOIN "&amp; Options!$B$23 &amp; "." &amp; J8 &amp; " ON ")</f>
        <v/>
      </c>
      <c r="AY8" t="str">
        <f t="shared" ca="1" si="21"/>
        <v/>
      </c>
      <c r="AZ8" t="str">
        <f t="shared" ca="1" si="22"/>
        <v/>
      </c>
      <c r="BA8" t="str">
        <f ca="1">IF(AZ8="","", "CAST(" &amp; AZ8 &amp; " AS varchar(" &amp; Options!$B$49 &amp; "))")</f>
        <v/>
      </c>
      <c r="BB8" t="str">
        <f t="shared" ca="1" si="23"/>
        <v/>
      </c>
      <c r="BC8" t="str">
        <f t="shared" ca="1" si="41"/>
        <v/>
      </c>
      <c r="BE8" t="str">
        <f t="shared" ca="1" si="24"/>
        <v/>
      </c>
      <c r="BF8" t="str">
        <f t="shared" ca="1" si="25"/>
        <v/>
      </c>
      <c r="BG8" t="str">
        <f t="shared" ca="1" si="26"/>
        <v/>
      </c>
      <c r="BH8" s="285" t="str">
        <f t="shared" ca="1" si="42"/>
        <v/>
      </c>
      <c r="BI8" t="str">
        <f t="shared" ca="1" si="27"/>
        <v/>
      </c>
      <c r="BJ8" t="str">
        <f t="shared" ca="1" si="28"/>
        <v/>
      </c>
      <c r="BK8" t="str">
        <f t="shared" ca="1" si="43"/>
        <v/>
      </c>
      <c r="BL8" t="str">
        <f t="shared" ca="1" si="29"/>
        <v/>
      </c>
      <c r="BM8" t="str">
        <f t="shared" ca="1" si="44"/>
        <v/>
      </c>
      <c r="BN8" t="str">
        <f t="shared" ca="1" si="45"/>
        <v/>
      </c>
      <c r="BO8" t="str">
        <f t="shared" ca="1" si="30"/>
        <v/>
      </c>
      <c r="BP8" t="b">
        <f ca="1">COUNTIF(COLHELPER!A8:'COLHELPER'!A8,COLHELPER!A8)&gt;1</f>
        <v>0</v>
      </c>
      <c r="BQ8">
        <f t="shared" ca="1" si="31"/>
        <v>0</v>
      </c>
      <c r="BR8" s="290" t="str">
        <f t="shared" ca="1" si="48"/>
        <v/>
      </c>
      <c r="BS8" t="str">
        <f t="shared" ca="1" si="33"/>
        <v/>
      </c>
      <c r="BT8" t="str">
        <f t="shared" ca="1" si="46"/>
        <v/>
      </c>
      <c r="BU8" t="str">
        <f t="shared" ca="1" si="34"/>
        <v/>
      </c>
      <c r="BV8">
        <f t="shared" ca="1" si="35"/>
        <v>0</v>
      </c>
      <c r="BW8" t="str">
        <f t="shared" ca="1" si="36"/>
        <v/>
      </c>
      <c r="BX8" t="str">
        <f t="shared" ca="1" si="37"/>
        <v/>
      </c>
      <c r="BY8" t="str">
        <f ca="1">IF(R8="","",IF(R8&gt;Options!$B$3,"ALTER TABLE "&amp;HELPER!$B$4&amp;" ADD COLUMNS ("&amp;A8&amp;" "&amp;C8&amp;")",""))</f>
        <v/>
      </c>
      <c r="BZ8" t="str">
        <f ca="1">IF(R8="","",IF(R8&gt;Options!$B$3,A8,""))</f>
        <v/>
      </c>
      <c r="CA8" t="str">
        <f ca="1">IF(R8="","",IF(R8&gt;Options!$B$3,B8,""))</f>
        <v/>
      </c>
      <c r="CB8" t="str">
        <f t="shared" ca="1" si="38"/>
        <v/>
      </c>
      <c r="CC8">
        <f t="shared" ca="1" si="39"/>
        <v>0</v>
      </c>
      <c r="CD8" t="str">
        <f ca="1">IF(J8="","",Options!$B$23 &amp; "." &amp; J8)</f>
        <v/>
      </c>
    </row>
    <row r="9" spans="1:82">
      <c r="A9" s="161" t="str">
        <f t="array" aca="1" ref="A9" ca="1">IF(TRIM(INDIRECT("Columns!A9")) ="","",TRIM(INDIRECT("Columns!A9")))</f>
        <v/>
      </c>
      <c r="B9" s="161" t="str">
        <f t="shared" ca="1" si="0"/>
        <v/>
      </c>
      <c r="C9" s="161" t="str">
        <f t="shared" ca="1" si="1"/>
        <v/>
      </c>
      <c r="D9" s="161" t="str">
        <f t="shared" ca="1" si="2"/>
        <v/>
      </c>
      <c r="E9" s="161" t="str">
        <f t="array" aca="1" ref="E9" ca="1">IF(TRIM(INDIRECT("Columns!E9"))="","",TRIM(INDIRECT("Columns!E9")))</f>
        <v/>
      </c>
      <c r="F9" s="161" t="str">
        <f t="array" aca="1" ref="F9" ca="1">IF(TRIM(INDIRECT("Columns!G9"))="","",TRIM(INDIRECT("Columns!G9")))</f>
        <v/>
      </c>
      <c r="G9" s="161" t="str">
        <f t="array" aca="1" ref="G9" ca="1">IF(TRIM(INDIRECT("Columns!F9"))="","",TRIM(INDIRECT("Columns!F9")))</f>
        <v/>
      </c>
      <c r="H9" s="161" t="str">
        <f t="array" aca="1" ref="H9" ca="1">IF(TRIM(INDIRECT("Columns!H9"))="","",TRIM(INDIRECT("Columns!H9")))</f>
        <v/>
      </c>
      <c r="I9" s="161" t="str">
        <f t="array" aca="1" ref="I9" ca="1">IF(TRIM(INDIRECT("Columns!I9"))="","",TRIM(INDIRECT("Columns!I9")))</f>
        <v/>
      </c>
      <c r="J9" s="161" t="str">
        <f t="array" aca="1" ref="J9" ca="1">IF(TRIM(INDIRECT("Columns!J9"))="","",TRIM(INDIRECT("Columns!J9")))</f>
        <v/>
      </c>
      <c r="K9" s="161" t="str">
        <f t="array" aca="1" ref="K9" ca="1">IF(TRIM(INDIRECT("Columns!K9"))="","",TRIM(INDIRECT("Columns!K9")))</f>
        <v/>
      </c>
      <c r="L9" s="161" t="str">
        <f t="array" aca="1" ref="L9" ca="1">IF(TRIM(INDIRECT("Columns!L9"))="","",TRIM(INDIRECT("Columns!L9")))</f>
        <v/>
      </c>
      <c r="M9" s="161" t="str">
        <f t="array" aca="1" ref="M9" ca="1">IF(TRIM(INDIRECT("Columns!M9"))="","",TRIM(INDIRECT("Columns!M9")))</f>
        <v/>
      </c>
      <c r="N9" s="161" t="str">
        <f t="array" aca="1" ref="N9" ca="1">IF(TRIM(INDIRECT("Columns!N9"))="","",TRIM(INDIRECT("Columns!N9")))</f>
        <v/>
      </c>
      <c r="O9" s="227" t="str">
        <f t="array" aca="1" ref="O9" ca="1">IF(TRIM(INDIRECT("Columns!B9"))="","",TRIM(INDIRECT("Columns!B9")))</f>
        <v/>
      </c>
      <c r="P9" s="227" t="str">
        <f t="array" aca="1" ref="P9" ca="1">IF(TRIM(INDIRECT("Columns!C9"))="","",TRIM(INDIRECT("Columns!C9")))</f>
        <v/>
      </c>
      <c r="Q9" s="227" t="str">
        <f t="array" aca="1" ref="Q9" ca="1">IF(TRIM(INDIRECT("Columns!D9"))="","",TRIM(INDIRECT("Columns!D9")))</f>
        <v/>
      </c>
      <c r="R9" s="227" t="str">
        <f t="array" aca="1" ref="R9" ca="1">IF(TRIM(INDIRECT("Columns!O9"))="","",TRIM(INDIRECT("Columns!O9")))</f>
        <v/>
      </c>
      <c r="S9" t="str">
        <f t="shared" ca="1" si="3"/>
        <v/>
      </c>
      <c r="T9" t="str">
        <f t="shared" ca="1" si="4"/>
        <v/>
      </c>
      <c r="U9" t="str">
        <f t="shared" ca="1" si="5"/>
        <v/>
      </c>
      <c r="V9" t="str">
        <f t="shared" ca="1" si="6"/>
        <v/>
      </c>
      <c r="W9" t="str">
        <f t="shared" ca="1" si="7"/>
        <v/>
      </c>
      <c r="X9" t="str">
        <f t="shared" ca="1" si="8"/>
        <v/>
      </c>
      <c r="Y9" t="str">
        <f t="shared" ca="1" si="9"/>
        <v/>
      </c>
      <c r="Z9" t="str">
        <f t="shared" ca="1" si="40"/>
        <v/>
      </c>
      <c r="AA9" t="str">
        <f ca="1">IF(E9="1",   IF( A9="","",IF(OR(F9="1",H9="1",I9="1"),"","COALESCE (CAST("&amp;A9&amp;" as varchar(" &amp; Options!$B$49&amp; ")),'')")),"")</f>
        <v/>
      </c>
      <c r="AB9" t="str">
        <f ca="1">IF(E9="1", IF(C9="string",  IF( A9="","",IF(OR(F9="1",H9="1",I9="1"),"","COALESCE (CAST(lower("&amp;A9&amp;") as varchar(" &amp;Options!$B$49 &amp; ")),'')")),AA9),"")</f>
        <v/>
      </c>
      <c r="AC9" t="str">
        <f ca="1">IF(E9="4",   IF( A9="","",IF(OR(F9="1",H9="1",I9="1"),"","COALESCE (CAST("  &amp;A9&amp;" as varchar(" &amp; Options!$B$49&amp; ")),'')")),"")</f>
        <v/>
      </c>
      <c r="AD9" t="str">
        <f ca="1">IF(E9="4",   IF( A9="","",IF(OR(F9="1",H9="1",I9="1"),"","COALESCE (CAST(" &amp; HELPER!$B$94 &amp; "."  &amp;A9&amp;" as varchar(" &amp; Options!$B$49&amp; ")),'')")),"")</f>
        <v/>
      </c>
      <c r="AE9" t="str">
        <f t="shared" ca="1" si="10"/>
        <v/>
      </c>
      <c r="AF9" t="str">
        <f ca="1">IF(AE9&lt;&gt;"", HELPER!$B$93 &amp;  "." &amp; AE9,"")</f>
        <v/>
      </c>
      <c r="AG9" t="str">
        <f ca="1">IF(AE9&lt;&gt;"", HELPER!$B$94 &amp; "." &amp; AE9,"")</f>
        <v/>
      </c>
      <c r="AH9" t="str">
        <f t="shared" ca="1" si="11"/>
        <v/>
      </c>
      <c r="AI9" t="str">
        <f t="shared" ca="1" si="12"/>
        <v/>
      </c>
      <c r="AJ9" t="str">
        <f t="shared" ca="1" si="13"/>
        <v/>
      </c>
      <c r="AK9" t="str">
        <f ca="1">IF(E9="4", HELPER!$B$94 &amp;  "." &amp; A9,"")</f>
        <v/>
      </c>
      <c r="AL9" t="str">
        <f ca="1">IF(E9="4", HELPER!$B$93 &amp;  "." &amp; A9,"")</f>
        <v/>
      </c>
      <c r="AM9" t="str">
        <f t="shared" ca="1" si="14"/>
        <v/>
      </c>
      <c r="AN9" t="str">
        <f t="shared" ca="1" si="15"/>
        <v/>
      </c>
      <c r="AO9" t="str">
        <f ca="1">IF(A9&lt;&gt;"", IF(OR(F9="1",H9="1",I9="1"),""," "&amp; HELPER!$B$94 &amp; "." &amp; A9),"")</f>
        <v/>
      </c>
      <c r="AP9" t="str">
        <f t="shared" ca="1" si="16"/>
        <v/>
      </c>
      <c r="AQ9" t="str">
        <f t="shared" ca="1" si="47"/>
        <v/>
      </c>
      <c r="AS9" t="str">
        <f ca="1">IF(A9="","",  HELPER!$B$94 &amp;  "." &amp; A9)</f>
        <v/>
      </c>
      <c r="AT9" t="str">
        <f t="shared" ca="1" si="17"/>
        <v/>
      </c>
      <c r="AU9" t="str">
        <f t="shared" ca="1" si="18"/>
        <v/>
      </c>
      <c r="AV9" s="190" t="str">
        <f t="shared" ca="1" si="19"/>
        <v/>
      </c>
      <c r="AW9" t="str">
        <f t="shared" ca="1" si="20"/>
        <v/>
      </c>
      <c r="AX9" t="str">
        <f ca="1">IF(J9="","","LEFT JOIN "&amp; Options!$B$23 &amp; "." &amp; J9 &amp; " ON ")</f>
        <v/>
      </c>
      <c r="AY9" t="str">
        <f t="shared" ca="1" si="21"/>
        <v/>
      </c>
      <c r="AZ9" t="str">
        <f t="shared" ca="1" si="22"/>
        <v/>
      </c>
      <c r="BA9" t="str">
        <f ca="1">IF(AZ9="","", "CAST(" &amp; AZ9 &amp; " AS varchar(" &amp; Options!$B$49 &amp; "))")</f>
        <v/>
      </c>
      <c r="BB9" t="str">
        <f t="shared" ca="1" si="23"/>
        <v/>
      </c>
      <c r="BC9" t="str">
        <f t="shared" ca="1" si="41"/>
        <v/>
      </c>
      <c r="BE9" t="str">
        <f t="shared" ca="1" si="24"/>
        <v/>
      </c>
      <c r="BF9" t="str">
        <f t="shared" ca="1" si="25"/>
        <v/>
      </c>
      <c r="BG9" t="str">
        <f t="shared" ca="1" si="26"/>
        <v/>
      </c>
      <c r="BH9" s="285" t="str">
        <f t="shared" ca="1" si="42"/>
        <v/>
      </c>
      <c r="BI9" t="str">
        <f t="shared" ca="1" si="27"/>
        <v/>
      </c>
      <c r="BJ9" t="str">
        <f t="shared" ca="1" si="28"/>
        <v/>
      </c>
      <c r="BK9" t="str">
        <f t="shared" ca="1" si="43"/>
        <v/>
      </c>
      <c r="BL9" t="str">
        <f t="shared" ca="1" si="29"/>
        <v/>
      </c>
      <c r="BM9" t="str">
        <f t="shared" ca="1" si="44"/>
        <v/>
      </c>
      <c r="BN9" t="str">
        <f t="shared" ca="1" si="45"/>
        <v/>
      </c>
      <c r="BO9" t="str">
        <f t="shared" ca="1" si="30"/>
        <v/>
      </c>
      <c r="BP9" t="b">
        <f ca="1">COUNTIF(COLHELPER!A9:'COLHELPER'!A9,COLHELPER!A9)&gt;1</f>
        <v>0</v>
      </c>
      <c r="BQ9">
        <f t="shared" ca="1" si="31"/>
        <v>0</v>
      </c>
      <c r="BR9" s="290" t="str">
        <f t="shared" ca="1" si="48"/>
        <v/>
      </c>
      <c r="BS9" t="str">
        <f t="shared" ca="1" si="33"/>
        <v/>
      </c>
      <c r="BT9" t="str">
        <f t="shared" ca="1" si="46"/>
        <v/>
      </c>
      <c r="BU9" t="str">
        <f t="shared" ca="1" si="34"/>
        <v/>
      </c>
      <c r="BV9">
        <f t="shared" ca="1" si="35"/>
        <v>0</v>
      </c>
      <c r="BW9" t="str">
        <f t="shared" ca="1" si="36"/>
        <v/>
      </c>
      <c r="BX9" t="str">
        <f t="shared" ca="1" si="37"/>
        <v/>
      </c>
      <c r="BY9" t="str">
        <f ca="1">IF(R9="","",IF(R9&gt;Options!$B$3,"ALTER TABLE "&amp;HELPER!$B$4&amp;" ADD COLUMNS ("&amp;A9&amp;" "&amp;C9&amp;")",""))</f>
        <v/>
      </c>
      <c r="BZ9" t="str">
        <f ca="1">IF(R9="","",IF(R9&gt;Options!$B$3,A9,""))</f>
        <v/>
      </c>
      <c r="CA9" t="str">
        <f ca="1">IF(R9="","",IF(R9&gt;Options!$B$3,B9,""))</f>
        <v/>
      </c>
      <c r="CB9" t="str">
        <f t="shared" ca="1" si="38"/>
        <v/>
      </c>
      <c r="CC9">
        <f t="shared" ca="1" si="39"/>
        <v>0</v>
      </c>
      <c r="CD9" t="str">
        <f ca="1">IF(J9="","",Options!$B$23 &amp; "." &amp; J9)</f>
        <v/>
      </c>
    </row>
    <row r="10" spans="1:82">
      <c r="A10" s="161" t="str">
        <f t="array" aca="1" ref="A10" ca="1">IF(TRIM(INDIRECT("Columns!A10")) ="","",TRIM(INDIRECT("Columns!A10")))</f>
        <v/>
      </c>
      <c r="B10" s="161" t="str">
        <f t="shared" ca="1" si="0"/>
        <v/>
      </c>
      <c r="C10" s="161" t="str">
        <f t="shared" ca="1" si="1"/>
        <v/>
      </c>
      <c r="D10" s="161" t="str">
        <f t="shared" ca="1" si="2"/>
        <v/>
      </c>
      <c r="E10" s="161" t="str">
        <f t="array" aca="1" ref="E10" ca="1">IF(TRIM(INDIRECT("Columns!E10"))="","",TRIM(INDIRECT("Columns!E10")))</f>
        <v/>
      </c>
      <c r="F10" s="161" t="str">
        <f t="array" aca="1" ref="F10" ca="1">IF(TRIM(INDIRECT("Columns!G10"))="","",TRIM(INDIRECT("Columns!G10")))</f>
        <v/>
      </c>
      <c r="G10" s="161" t="str">
        <f t="array" aca="1" ref="G10" ca="1">IF(TRIM(INDIRECT("Columns!F10"))="","",TRIM(INDIRECT("Columns!F10")))</f>
        <v/>
      </c>
      <c r="H10" s="161" t="str">
        <f t="array" aca="1" ref="H10" ca="1">IF(TRIM(INDIRECT("Columns!H10"))="","",TRIM(INDIRECT("Columns!H10")))</f>
        <v/>
      </c>
      <c r="I10" s="161" t="str">
        <f t="array" aca="1" ref="I10" ca="1">IF(TRIM(INDIRECT("Columns!I10"))="","",TRIM(INDIRECT("Columns!I10")))</f>
        <v/>
      </c>
      <c r="J10" s="161" t="str">
        <f t="array" aca="1" ref="J10" ca="1">IF(TRIM(INDIRECT("Columns!J10"))="","",TRIM(INDIRECT("Columns!J10")))</f>
        <v/>
      </c>
      <c r="K10" s="161" t="str">
        <f t="array" aca="1" ref="K10" ca="1">IF(TRIM(INDIRECT("Columns!K10"))="","",TRIM(INDIRECT("Columns!K10")))</f>
        <v/>
      </c>
      <c r="L10" s="161" t="str">
        <f t="array" aca="1" ref="L10" ca="1">IF(TRIM(INDIRECT("Columns!L10"))="","",TRIM(INDIRECT("Columns!L10")))</f>
        <v/>
      </c>
      <c r="M10" s="161" t="str">
        <f t="array" aca="1" ref="M10" ca="1">IF(TRIM(INDIRECT("Columns!M10"))="","",TRIM(INDIRECT("Columns!M10")))</f>
        <v/>
      </c>
      <c r="N10" s="161" t="str">
        <f t="array" aca="1" ref="N10" ca="1">IF(TRIM(INDIRECT("Columns!N10"))="","",TRIM(INDIRECT("Columns!N10")))</f>
        <v/>
      </c>
      <c r="O10" s="227" t="str">
        <f t="array" aca="1" ref="O10" ca="1">IF(TRIM(INDIRECT("Columns!B10"))="","",TRIM(INDIRECT("Columns!B10")))</f>
        <v/>
      </c>
      <c r="P10" s="227" t="str">
        <f t="array" aca="1" ref="P10" ca="1">IF(TRIM(INDIRECT("Columns!C10"))="","",TRIM(INDIRECT("Columns!C10")))</f>
        <v/>
      </c>
      <c r="Q10" s="227" t="str">
        <f t="array" aca="1" ref="Q10" ca="1">IF(TRIM(INDIRECT("Columns!D10"))="","",TRIM(INDIRECT("Columns!D10")))</f>
        <v/>
      </c>
      <c r="R10" s="227" t="str">
        <f t="array" aca="1" ref="R10" ca="1">IF(TRIM(INDIRECT("Columns!O10"))="","",TRIM(INDIRECT("Columns!O10")))</f>
        <v/>
      </c>
      <c r="S10" t="str">
        <f t="shared" ca="1" si="3"/>
        <v/>
      </c>
      <c r="T10" t="str">
        <f t="shared" ca="1" si="4"/>
        <v/>
      </c>
      <c r="U10" t="str">
        <f t="shared" ca="1" si="5"/>
        <v/>
      </c>
      <c r="V10" t="str">
        <f t="shared" ca="1" si="6"/>
        <v/>
      </c>
      <c r="W10" t="str">
        <f t="shared" ca="1" si="7"/>
        <v/>
      </c>
      <c r="X10" t="str">
        <f t="shared" ca="1" si="8"/>
        <v/>
      </c>
      <c r="Y10" t="str">
        <f t="shared" ca="1" si="9"/>
        <v/>
      </c>
      <c r="Z10" t="str">
        <f t="shared" ca="1" si="40"/>
        <v/>
      </c>
      <c r="AA10" t="str">
        <f ca="1">IF(E10="1",   IF( A10="","",IF(OR(F10="1",H10="1",I10="1"),"","COALESCE (CAST("&amp;A10&amp;" as varchar(" &amp; Options!$B$49&amp; ")),'')")),"")</f>
        <v/>
      </c>
      <c r="AB10" t="str">
        <f ca="1">IF(E10="1", IF(C10="string",  IF( A10="","",IF(OR(F10="1",H10="1",I10="1"),"","COALESCE (CAST(lower("&amp;A10&amp;") as varchar(" &amp;Options!$B$49 &amp; ")),'')")),AA10),"")</f>
        <v/>
      </c>
      <c r="AC10" t="str">
        <f ca="1">IF(E10="4",   IF( A10="","",IF(OR(F10="1",H10="1",I10="1"),"","COALESCE (CAST("  &amp;A10&amp;" as varchar(" &amp; Options!$B$49&amp; ")),'')")),"")</f>
        <v/>
      </c>
      <c r="AD10" t="str">
        <f ca="1">IF(E10="4",   IF( A10="","",IF(OR(F10="1",H10="1",I10="1"),"","COALESCE (CAST(" &amp; HELPER!$B$94 &amp; "."  &amp;A10&amp;" as varchar(" &amp; Options!$B$49&amp; ")),'')")),"")</f>
        <v/>
      </c>
      <c r="AE10" t="str">
        <f t="shared" ca="1" si="10"/>
        <v/>
      </c>
      <c r="AF10" t="str">
        <f ca="1">IF(AE10&lt;&gt;"", HELPER!$B$93 &amp;  "." &amp; AE10,"")</f>
        <v/>
      </c>
      <c r="AG10" t="str">
        <f ca="1">IF(AE10&lt;&gt;"", HELPER!$B$94 &amp; "." &amp; AE10,"")</f>
        <v/>
      </c>
      <c r="AH10" t="str">
        <f t="shared" ca="1" si="11"/>
        <v/>
      </c>
      <c r="AI10" t="str">
        <f t="shared" ca="1" si="12"/>
        <v/>
      </c>
      <c r="AJ10" t="str">
        <f t="shared" ca="1" si="13"/>
        <v/>
      </c>
      <c r="AK10" t="str">
        <f ca="1">IF(E10="4", HELPER!$B$94 &amp;  "." &amp; A10,"")</f>
        <v/>
      </c>
      <c r="AL10" t="str">
        <f ca="1">IF(E10="4", HELPER!$B$93 &amp;  "." &amp; A10,"")</f>
        <v/>
      </c>
      <c r="AM10" t="str">
        <f t="shared" ca="1" si="14"/>
        <v/>
      </c>
      <c r="AN10" t="str">
        <f t="shared" ca="1" si="15"/>
        <v/>
      </c>
      <c r="AO10" t="str">
        <f ca="1">IF(A10&lt;&gt;"", IF(OR(F10="1",H10="1",I10="1"),""," "&amp; HELPER!$B$94 &amp; "." &amp; A10),"")</f>
        <v/>
      </c>
      <c r="AP10" t="str">
        <f t="shared" ca="1" si="16"/>
        <v/>
      </c>
      <c r="AQ10" t="str">
        <f t="shared" ca="1" si="47"/>
        <v/>
      </c>
      <c r="AS10" t="str">
        <f ca="1">IF(A10="","",  HELPER!$B$94 &amp;  "." &amp; A10)</f>
        <v/>
      </c>
      <c r="AT10" t="str">
        <f t="shared" ca="1" si="17"/>
        <v/>
      </c>
      <c r="AU10" t="str">
        <f t="shared" ca="1" si="18"/>
        <v/>
      </c>
      <c r="AV10" s="190" t="str">
        <f t="shared" ca="1" si="19"/>
        <v/>
      </c>
      <c r="AW10" t="str">
        <f t="shared" ca="1" si="20"/>
        <v/>
      </c>
      <c r="AX10" t="str">
        <f ca="1">IF(J10="","","LEFT JOIN "&amp; Options!$B$23 &amp; "." &amp; J10 &amp; " ON ")</f>
        <v/>
      </c>
      <c r="AY10" t="str">
        <f t="shared" ca="1" si="21"/>
        <v/>
      </c>
      <c r="AZ10" t="str">
        <f t="shared" ca="1" si="22"/>
        <v/>
      </c>
      <c r="BA10" t="str">
        <f ca="1">IF(AZ10="","", "CAST(" &amp; AZ10 &amp; " AS varchar(" &amp; Options!$B$49 &amp; "))")</f>
        <v/>
      </c>
      <c r="BB10" t="str">
        <f t="shared" ca="1" si="23"/>
        <v/>
      </c>
      <c r="BC10" t="str">
        <f t="shared" ca="1" si="41"/>
        <v/>
      </c>
      <c r="BE10" t="str">
        <f t="shared" ca="1" si="24"/>
        <v/>
      </c>
      <c r="BF10" t="str">
        <f t="shared" ca="1" si="25"/>
        <v/>
      </c>
      <c r="BG10" t="str">
        <f t="shared" ca="1" si="26"/>
        <v/>
      </c>
      <c r="BH10" s="285" t="str">
        <f t="shared" ca="1" si="42"/>
        <v/>
      </c>
      <c r="BI10" t="str">
        <f t="shared" ca="1" si="27"/>
        <v/>
      </c>
      <c r="BJ10" t="str">
        <f t="shared" ca="1" si="28"/>
        <v/>
      </c>
      <c r="BK10" t="str">
        <f t="shared" ca="1" si="43"/>
        <v/>
      </c>
      <c r="BL10" t="str">
        <f t="shared" ca="1" si="29"/>
        <v/>
      </c>
      <c r="BM10" t="str">
        <f t="shared" ca="1" si="44"/>
        <v/>
      </c>
      <c r="BN10" t="str">
        <f t="shared" ca="1" si="45"/>
        <v/>
      </c>
      <c r="BO10" t="str">
        <f t="shared" ca="1" si="30"/>
        <v/>
      </c>
      <c r="BP10" t="b">
        <f ca="1">COUNTIF(COLHELPER!A10:'COLHELPER'!A10,COLHELPER!A10)&gt;1</f>
        <v>0</v>
      </c>
      <c r="BQ10">
        <f t="shared" ca="1" si="31"/>
        <v>0</v>
      </c>
      <c r="BR10" s="290" t="str">
        <f t="shared" ca="1" si="48"/>
        <v/>
      </c>
      <c r="BS10" t="str">
        <f t="shared" ca="1" si="33"/>
        <v/>
      </c>
      <c r="BT10" t="str">
        <f t="shared" ca="1" si="46"/>
        <v/>
      </c>
      <c r="BU10" t="str">
        <f t="shared" ca="1" si="34"/>
        <v/>
      </c>
      <c r="BV10">
        <f t="shared" ca="1" si="35"/>
        <v>0</v>
      </c>
      <c r="BW10" t="str">
        <f t="shared" ca="1" si="36"/>
        <v/>
      </c>
      <c r="BX10" t="str">
        <f t="shared" ca="1" si="37"/>
        <v/>
      </c>
      <c r="BY10" t="str">
        <f ca="1">IF(R10="","",IF(R10&gt;Options!$B$3,"ALTER TABLE "&amp;HELPER!$B$4&amp;" ADD COLUMNS ("&amp;A10&amp;" "&amp;C10&amp;")",""))</f>
        <v/>
      </c>
      <c r="BZ10" t="str">
        <f ca="1">IF(R10="","",IF(R10&gt;Options!$B$3,A10,""))</f>
        <v/>
      </c>
      <c r="CA10" t="str">
        <f ca="1">IF(R10="","",IF(R10&gt;Options!$B$3,B10,""))</f>
        <v/>
      </c>
      <c r="CB10" t="str">
        <f t="shared" ca="1" si="38"/>
        <v/>
      </c>
      <c r="CC10">
        <f t="shared" ca="1" si="39"/>
        <v>0</v>
      </c>
      <c r="CD10" t="str">
        <f ca="1">IF(J10="","",Options!$B$23 &amp; "." &amp; J10)</f>
        <v/>
      </c>
    </row>
    <row r="11" spans="1:82">
      <c r="A11" s="161" t="str">
        <f t="array" aca="1" ref="A11" ca="1">IF(TRIM(INDIRECT("Columns!A11")) ="","",TRIM(INDIRECT("Columns!A11")))</f>
        <v/>
      </c>
      <c r="B11" s="161" t="str">
        <f t="shared" ca="1" si="0"/>
        <v/>
      </c>
      <c r="C11" s="161" t="str">
        <f t="shared" ca="1" si="1"/>
        <v/>
      </c>
      <c r="D11" s="161" t="str">
        <f t="shared" ca="1" si="2"/>
        <v/>
      </c>
      <c r="E11" s="161" t="str">
        <f t="array" aca="1" ref="E11" ca="1">IF(TRIM(INDIRECT("Columns!E11"))="","",TRIM(INDIRECT("Columns!E11")))</f>
        <v/>
      </c>
      <c r="F11" s="161" t="str">
        <f t="array" aca="1" ref="F11" ca="1">IF(TRIM(INDIRECT("Columns!G11"))="","",TRIM(INDIRECT("Columns!G11")))</f>
        <v/>
      </c>
      <c r="G11" s="161" t="str">
        <f t="array" aca="1" ref="G11" ca="1">IF(TRIM(INDIRECT("Columns!F11"))="","",TRIM(INDIRECT("Columns!F11")))</f>
        <v/>
      </c>
      <c r="H11" s="161" t="str">
        <f t="array" aca="1" ref="H11" ca="1">IF(TRIM(INDIRECT("Columns!H11"))="","",TRIM(INDIRECT("Columns!H11")))</f>
        <v/>
      </c>
      <c r="I11" s="161" t="str">
        <f t="array" aca="1" ref="I11" ca="1">IF(TRIM(INDIRECT("Columns!I11"))="","",TRIM(INDIRECT("Columns!I11")))</f>
        <v/>
      </c>
      <c r="J11" s="161" t="str">
        <f t="array" aca="1" ref="J11" ca="1">IF(TRIM(INDIRECT("Columns!J11"))="","",TRIM(INDIRECT("Columns!J11")))</f>
        <v/>
      </c>
      <c r="K11" s="161" t="str">
        <f t="array" aca="1" ref="K11" ca="1">IF(TRIM(INDIRECT("Columns!K11"))="","",TRIM(INDIRECT("Columns!K11")))</f>
        <v/>
      </c>
      <c r="L11" s="161" t="str">
        <f t="array" aca="1" ref="L11" ca="1">IF(TRIM(INDIRECT("Columns!L11"))="","",TRIM(INDIRECT("Columns!L11")))</f>
        <v/>
      </c>
      <c r="M11" s="161" t="str">
        <f t="array" aca="1" ref="M11" ca="1">IF(TRIM(INDIRECT("Columns!M11"))="","",TRIM(INDIRECT("Columns!M11")))</f>
        <v/>
      </c>
      <c r="N11" s="161" t="str">
        <f t="array" aca="1" ref="N11" ca="1">IF(TRIM(INDIRECT("Columns!N11"))="","",TRIM(INDIRECT("Columns!N11")))</f>
        <v/>
      </c>
      <c r="O11" s="227" t="str">
        <f t="array" aca="1" ref="O11" ca="1">IF(TRIM(INDIRECT("Columns!B11"))="","",TRIM(INDIRECT("Columns!B11")))</f>
        <v/>
      </c>
      <c r="P11" s="227" t="str">
        <f t="array" aca="1" ref="P11" ca="1">IF(TRIM(INDIRECT("Columns!C11"))="","",TRIM(INDIRECT("Columns!C11")))</f>
        <v/>
      </c>
      <c r="Q11" s="227" t="str">
        <f t="array" aca="1" ref="Q11" ca="1">IF(TRIM(INDIRECT("Columns!D11"))="","",TRIM(INDIRECT("Columns!D11")))</f>
        <v/>
      </c>
      <c r="R11" s="227" t="str">
        <f t="array" aca="1" ref="R11" ca="1">IF(TRIM(INDIRECT("Columns!O11"))="","",TRIM(INDIRECT("Columns!O11")))</f>
        <v/>
      </c>
      <c r="S11" t="str">
        <f t="shared" ca="1" si="3"/>
        <v/>
      </c>
      <c r="T11" t="str">
        <f t="shared" ca="1" si="4"/>
        <v/>
      </c>
      <c r="U11" t="str">
        <f t="shared" ca="1" si="5"/>
        <v/>
      </c>
      <c r="V11" t="str">
        <f t="shared" ca="1" si="6"/>
        <v/>
      </c>
      <c r="W11" t="str">
        <f t="shared" ca="1" si="7"/>
        <v/>
      </c>
      <c r="X11" t="str">
        <f t="shared" ca="1" si="8"/>
        <v/>
      </c>
      <c r="Y11" t="str">
        <f t="shared" ca="1" si="9"/>
        <v/>
      </c>
      <c r="Z11" t="str">
        <f t="shared" ca="1" si="40"/>
        <v/>
      </c>
      <c r="AA11" t="str">
        <f ca="1">IF(E11="1",   IF( A11="","",IF(OR(F11="1",H11="1",I11="1"),"","COALESCE (CAST("&amp;A11&amp;" as varchar(" &amp; Options!$B$49&amp; ")),'')")),"")</f>
        <v/>
      </c>
      <c r="AB11" t="str">
        <f ca="1">IF(E11="1", IF(C11="string",  IF( A11="","",IF(OR(F11="1",H11="1",I11="1"),"","COALESCE (CAST(lower("&amp;A11&amp;") as varchar(" &amp;Options!$B$49 &amp; ")),'')")),AA11),"")</f>
        <v/>
      </c>
      <c r="AC11" t="str">
        <f ca="1">IF(E11="4",   IF( A11="","",IF(OR(F11="1",H11="1",I11="1"),"","COALESCE (CAST("  &amp;A11&amp;" as varchar(" &amp; Options!$B$49&amp; ")),'')")),"")</f>
        <v/>
      </c>
      <c r="AD11" t="str">
        <f ca="1">IF(E11="4",   IF( A11="","",IF(OR(F11="1",H11="1",I11="1"),"","COALESCE (CAST(" &amp; HELPER!$B$94 &amp; "."  &amp;A11&amp;" as varchar(" &amp; Options!$B$49&amp; ")),'')")),"")</f>
        <v/>
      </c>
      <c r="AE11" t="str">
        <f t="shared" ca="1" si="10"/>
        <v/>
      </c>
      <c r="AF11" t="str">
        <f ca="1">IF(AE11&lt;&gt;"", HELPER!$B$93 &amp;  "." &amp; AE11,"")</f>
        <v/>
      </c>
      <c r="AG11" t="str">
        <f ca="1">IF(AE11&lt;&gt;"", HELPER!$B$94 &amp; "." &amp; AE11,"")</f>
        <v/>
      </c>
      <c r="AH11" t="str">
        <f t="shared" ca="1" si="11"/>
        <v/>
      </c>
      <c r="AI11" t="str">
        <f t="shared" ca="1" si="12"/>
        <v/>
      </c>
      <c r="AJ11" t="str">
        <f t="shared" ca="1" si="13"/>
        <v/>
      </c>
      <c r="AK11" t="str">
        <f ca="1">IF(E11="4", HELPER!$B$94 &amp;  "." &amp; A11,"")</f>
        <v/>
      </c>
      <c r="AL11" t="str">
        <f ca="1">IF(E11="4", HELPER!$B$93 &amp;  "." &amp; A11,"")</f>
        <v/>
      </c>
      <c r="AM11" t="str">
        <f t="shared" ca="1" si="14"/>
        <v/>
      </c>
      <c r="AN11" t="str">
        <f t="shared" ca="1" si="15"/>
        <v/>
      </c>
      <c r="AO11" t="str">
        <f ca="1">IF(A11&lt;&gt;"", IF(OR(F11="1",H11="1",I11="1"),""," "&amp; HELPER!$B$94 &amp; "." &amp; A11),"")</f>
        <v/>
      </c>
      <c r="AP11" t="str">
        <f t="shared" ca="1" si="16"/>
        <v/>
      </c>
      <c r="AQ11" t="str">
        <f t="shared" ca="1" si="47"/>
        <v/>
      </c>
      <c r="AS11" t="str">
        <f ca="1">IF(A11="","",  HELPER!$B$94 &amp;  "." &amp; A11)</f>
        <v/>
      </c>
      <c r="AT11" t="str">
        <f t="shared" ca="1" si="17"/>
        <v/>
      </c>
      <c r="AU11" t="str">
        <f t="shared" ca="1" si="18"/>
        <v/>
      </c>
      <c r="AV11" s="190" t="str">
        <f t="shared" ca="1" si="19"/>
        <v/>
      </c>
      <c r="AW11" t="str">
        <f t="shared" ca="1" si="20"/>
        <v/>
      </c>
      <c r="AX11" t="str">
        <f ca="1">IF(J11="","","LEFT JOIN "&amp; Options!$B$23 &amp; "." &amp; J11 &amp; " ON ")</f>
        <v/>
      </c>
      <c r="AY11" t="str">
        <f t="shared" ca="1" si="21"/>
        <v/>
      </c>
      <c r="AZ11" t="str">
        <f t="shared" ca="1" si="22"/>
        <v/>
      </c>
      <c r="BA11" t="str">
        <f ca="1">IF(AZ11="","", "CAST(" &amp; AZ11 &amp; " AS varchar(" &amp; Options!$B$49 &amp; "))")</f>
        <v/>
      </c>
      <c r="BB11" t="str">
        <f t="shared" ca="1" si="23"/>
        <v/>
      </c>
      <c r="BC11" t="str">
        <f t="shared" ca="1" si="41"/>
        <v/>
      </c>
      <c r="BE11" t="str">
        <f t="shared" ca="1" si="24"/>
        <v/>
      </c>
      <c r="BF11" t="str">
        <f t="shared" ca="1" si="25"/>
        <v/>
      </c>
      <c r="BG11" t="str">
        <f t="shared" ca="1" si="26"/>
        <v/>
      </c>
      <c r="BH11" s="285" t="str">
        <f t="shared" ca="1" si="42"/>
        <v/>
      </c>
      <c r="BI11" t="str">
        <f t="shared" ca="1" si="27"/>
        <v/>
      </c>
      <c r="BJ11" t="str">
        <f t="shared" ca="1" si="28"/>
        <v/>
      </c>
      <c r="BK11" t="str">
        <f t="shared" ca="1" si="43"/>
        <v/>
      </c>
      <c r="BL11" t="str">
        <f t="shared" ca="1" si="29"/>
        <v/>
      </c>
      <c r="BM11" t="str">
        <f t="shared" ca="1" si="44"/>
        <v/>
      </c>
      <c r="BN11" t="str">
        <f t="shared" ca="1" si="45"/>
        <v/>
      </c>
      <c r="BO11" t="str">
        <f t="shared" ca="1" si="30"/>
        <v/>
      </c>
      <c r="BP11" t="b">
        <f ca="1">COUNTIF(COLHELPER!A11:'COLHELPER'!A11,COLHELPER!A11)&gt;1</f>
        <v>0</v>
      </c>
      <c r="BQ11">
        <f t="shared" ca="1" si="31"/>
        <v>0</v>
      </c>
      <c r="BR11" s="290" t="str">
        <f t="shared" ca="1" si="48"/>
        <v/>
      </c>
      <c r="BS11" t="str">
        <f t="shared" ca="1" si="33"/>
        <v/>
      </c>
      <c r="BT11" t="str">
        <f t="shared" ca="1" si="46"/>
        <v/>
      </c>
      <c r="BU11" t="str">
        <f t="shared" ca="1" si="34"/>
        <v/>
      </c>
      <c r="BV11">
        <f t="shared" ca="1" si="35"/>
        <v>0</v>
      </c>
      <c r="BW11" t="str">
        <f t="shared" ca="1" si="36"/>
        <v/>
      </c>
      <c r="BX11" t="str">
        <f t="shared" ca="1" si="37"/>
        <v/>
      </c>
      <c r="BY11" t="str">
        <f ca="1">IF(R11="","",IF(R11&gt;Options!$B$3,"ALTER TABLE "&amp;HELPER!$B$4&amp;" ADD COLUMNS ("&amp;A11&amp;" "&amp;C11&amp;")",""))</f>
        <v/>
      </c>
      <c r="BZ11" t="str">
        <f ca="1">IF(R11="","",IF(R11&gt;Options!$B$3,A11,""))</f>
        <v/>
      </c>
      <c r="CA11" t="str">
        <f ca="1">IF(R11="","",IF(R11&gt;Options!$B$3,B11,""))</f>
        <v/>
      </c>
      <c r="CB11" t="str">
        <f t="shared" ca="1" si="38"/>
        <v/>
      </c>
      <c r="CC11">
        <f t="shared" ca="1" si="39"/>
        <v>0</v>
      </c>
      <c r="CD11" t="str">
        <f ca="1">IF(J11="","",Options!$B$23 &amp; "." &amp; J11)</f>
        <v/>
      </c>
    </row>
    <row r="12" spans="1:82">
      <c r="A12" s="161" t="str">
        <f t="array" aca="1" ref="A12" ca="1">IF(TRIM(INDIRECT("Columns!A12")) ="","",TRIM(INDIRECT("Columns!A12")))</f>
        <v/>
      </c>
      <c r="B12" s="161" t="str">
        <f t="shared" ca="1" si="0"/>
        <v/>
      </c>
      <c r="C12" s="161" t="str">
        <f t="shared" ca="1" si="1"/>
        <v/>
      </c>
      <c r="D12" s="161" t="str">
        <f t="shared" ca="1" si="2"/>
        <v/>
      </c>
      <c r="E12" s="161" t="str">
        <f t="array" aca="1" ref="E12" ca="1">IF(TRIM(INDIRECT("Columns!E12"))="","",TRIM(INDIRECT("Columns!E12")))</f>
        <v/>
      </c>
      <c r="F12" s="161" t="str">
        <f t="array" aca="1" ref="F12" ca="1">IF(TRIM(INDIRECT("Columns!G12"))="","",TRIM(INDIRECT("Columns!G12")))</f>
        <v/>
      </c>
      <c r="G12" s="161" t="str">
        <f t="array" aca="1" ref="G12" ca="1">IF(TRIM(INDIRECT("Columns!F12"))="","",TRIM(INDIRECT("Columns!F12")))</f>
        <v/>
      </c>
      <c r="H12" s="161" t="str">
        <f t="array" aca="1" ref="H12" ca="1">IF(TRIM(INDIRECT("Columns!H12"))="","",TRIM(INDIRECT("Columns!H12")))</f>
        <v/>
      </c>
      <c r="I12" s="161" t="str">
        <f t="array" aca="1" ref="I12" ca="1">IF(TRIM(INDIRECT("Columns!I12"))="","",TRIM(INDIRECT("Columns!I12")))</f>
        <v/>
      </c>
      <c r="J12" s="161" t="str">
        <f t="array" aca="1" ref="J12" ca="1">IF(TRIM(INDIRECT("Columns!J12"))="","",TRIM(INDIRECT("Columns!J12")))</f>
        <v/>
      </c>
      <c r="K12" s="161" t="str">
        <f t="array" aca="1" ref="K12" ca="1">IF(TRIM(INDIRECT("Columns!K12"))="","",TRIM(INDIRECT("Columns!K12")))</f>
        <v/>
      </c>
      <c r="L12" s="161" t="str">
        <f t="array" aca="1" ref="L12" ca="1">IF(TRIM(INDIRECT("Columns!L12"))="","",TRIM(INDIRECT("Columns!L12")))</f>
        <v/>
      </c>
      <c r="M12" s="161" t="str">
        <f t="array" aca="1" ref="M12" ca="1">IF(TRIM(INDIRECT("Columns!M12"))="","",TRIM(INDIRECT("Columns!M12")))</f>
        <v/>
      </c>
      <c r="N12" s="161" t="str">
        <f t="array" aca="1" ref="N12" ca="1">IF(TRIM(INDIRECT("Columns!N12"))="","",TRIM(INDIRECT("Columns!N12")))</f>
        <v/>
      </c>
      <c r="O12" s="227" t="str">
        <f t="array" aca="1" ref="O12" ca="1">IF(TRIM(INDIRECT("Columns!B12"))="","",TRIM(INDIRECT("Columns!B12")))</f>
        <v/>
      </c>
      <c r="P12" s="227" t="str">
        <f t="array" aca="1" ref="P12" ca="1">IF(TRIM(INDIRECT("Columns!C12"))="","",TRIM(INDIRECT("Columns!C12")))</f>
        <v/>
      </c>
      <c r="Q12" s="227" t="str">
        <f t="array" aca="1" ref="Q12" ca="1">IF(TRIM(INDIRECT("Columns!D12"))="","",TRIM(INDIRECT("Columns!D12")))</f>
        <v/>
      </c>
      <c r="R12" s="227" t="str">
        <f t="array" aca="1" ref="R12" ca="1">IF(TRIM(INDIRECT("Columns!O12"))="","",TRIM(INDIRECT("Columns!O12")))</f>
        <v/>
      </c>
      <c r="S12" t="str">
        <f t="shared" ca="1" si="3"/>
        <v/>
      </c>
      <c r="T12" t="str">
        <f t="shared" ca="1" si="4"/>
        <v/>
      </c>
      <c r="U12" t="str">
        <f t="shared" ca="1" si="5"/>
        <v/>
      </c>
      <c r="V12" t="str">
        <f t="shared" ca="1" si="6"/>
        <v/>
      </c>
      <c r="W12" t="str">
        <f t="shared" ca="1" si="7"/>
        <v/>
      </c>
      <c r="X12" t="str">
        <f t="shared" ca="1" si="8"/>
        <v/>
      </c>
      <c r="Y12" t="str">
        <f t="shared" ca="1" si="9"/>
        <v/>
      </c>
      <c r="Z12" t="str">
        <f t="shared" ca="1" si="40"/>
        <v/>
      </c>
      <c r="AA12" t="str">
        <f ca="1">IF(E12="1",   IF( A12="","",IF(OR(F12="1",H12="1",I12="1"),"","COALESCE (CAST("&amp;A12&amp;" as varchar(" &amp; Options!$B$49&amp; ")),'')")),"")</f>
        <v/>
      </c>
      <c r="AB12" t="str">
        <f ca="1">IF(E12="1", IF(C12="string",  IF( A12="","",IF(OR(F12="1",H12="1",I12="1"),"","COALESCE (CAST(lower("&amp;A12&amp;") as varchar(" &amp;Options!$B$49 &amp; ")),'')")),AA12),"")</f>
        <v/>
      </c>
      <c r="AC12" t="str">
        <f ca="1">IF(E12="4",   IF( A12="","",IF(OR(F12="1",H12="1",I12="1"),"","COALESCE (CAST("  &amp;A12&amp;" as varchar(" &amp; Options!$B$49&amp; ")),'')")),"")</f>
        <v/>
      </c>
      <c r="AD12" t="str">
        <f ca="1">IF(E12="4",   IF( A12="","",IF(OR(F12="1",H12="1",I12="1"),"","COALESCE (CAST(" &amp; HELPER!$B$94 &amp; "."  &amp;A12&amp;" as varchar(" &amp; Options!$B$49&amp; ")),'')")),"")</f>
        <v/>
      </c>
      <c r="AE12" t="str">
        <f t="shared" ca="1" si="10"/>
        <v/>
      </c>
      <c r="AF12" t="str">
        <f ca="1">IF(AE12&lt;&gt;"", HELPER!$B$93 &amp;  "." &amp; AE12,"")</f>
        <v/>
      </c>
      <c r="AG12" t="str">
        <f ca="1">IF(AE12&lt;&gt;"", HELPER!$B$94 &amp; "." &amp; AE12,"")</f>
        <v/>
      </c>
      <c r="AH12" t="str">
        <f t="shared" ca="1" si="11"/>
        <v/>
      </c>
      <c r="AI12" t="str">
        <f t="shared" ca="1" si="12"/>
        <v/>
      </c>
      <c r="AJ12" t="str">
        <f t="shared" ca="1" si="13"/>
        <v/>
      </c>
      <c r="AK12" t="str">
        <f ca="1">IF(E12="4", HELPER!$B$94 &amp;  "." &amp; A12,"")</f>
        <v/>
      </c>
      <c r="AL12" t="str">
        <f ca="1">IF(E12="4", HELPER!$B$93 &amp;  "." &amp; A12,"")</f>
        <v/>
      </c>
      <c r="AM12" t="str">
        <f t="shared" ca="1" si="14"/>
        <v/>
      </c>
      <c r="AN12" t="str">
        <f t="shared" ca="1" si="15"/>
        <v/>
      </c>
      <c r="AO12" t="str">
        <f ca="1">IF(A12&lt;&gt;"", IF(OR(F12="1",H12="1",I12="1"),""," "&amp; HELPER!$B$94 &amp; "." &amp; A12),"")</f>
        <v/>
      </c>
      <c r="AP12" t="str">
        <f t="shared" ca="1" si="16"/>
        <v/>
      </c>
      <c r="AQ12" t="str">
        <f t="shared" ca="1" si="47"/>
        <v/>
      </c>
      <c r="AS12" t="str">
        <f ca="1">IF(A12="","",  HELPER!$B$94 &amp;  "." &amp; A12)</f>
        <v/>
      </c>
      <c r="AT12" t="str">
        <f t="shared" ca="1" si="17"/>
        <v/>
      </c>
      <c r="AU12" t="str">
        <f t="shared" ca="1" si="18"/>
        <v/>
      </c>
      <c r="AV12" s="190" t="str">
        <f t="shared" ca="1" si="19"/>
        <v/>
      </c>
      <c r="AW12" t="str">
        <f t="shared" ca="1" si="20"/>
        <v/>
      </c>
      <c r="AX12" t="str">
        <f ca="1">IF(J12="","","LEFT JOIN "&amp; Options!$B$23 &amp; "." &amp; J12 &amp; " ON ")</f>
        <v/>
      </c>
      <c r="AY12" t="str">
        <f t="shared" ca="1" si="21"/>
        <v/>
      </c>
      <c r="AZ12" t="str">
        <f t="shared" ca="1" si="22"/>
        <v/>
      </c>
      <c r="BA12" t="str">
        <f ca="1">IF(AZ12="","", "CAST(" &amp; AZ12 &amp; " AS varchar(" &amp; Options!$B$49 &amp; "))")</f>
        <v/>
      </c>
      <c r="BB12" t="str">
        <f t="shared" ca="1" si="23"/>
        <v/>
      </c>
      <c r="BC12" t="str">
        <f t="shared" ca="1" si="41"/>
        <v/>
      </c>
      <c r="BE12" t="str">
        <f t="shared" ca="1" si="24"/>
        <v/>
      </c>
      <c r="BF12" t="str">
        <f t="shared" ca="1" si="25"/>
        <v/>
      </c>
      <c r="BG12" t="str">
        <f t="shared" ca="1" si="26"/>
        <v/>
      </c>
      <c r="BH12" s="285" t="str">
        <f t="shared" ca="1" si="42"/>
        <v/>
      </c>
      <c r="BI12" t="str">
        <f t="shared" ca="1" si="27"/>
        <v/>
      </c>
      <c r="BJ12" t="str">
        <f t="shared" ca="1" si="28"/>
        <v/>
      </c>
      <c r="BK12" t="str">
        <f t="shared" ca="1" si="43"/>
        <v/>
      </c>
      <c r="BL12" t="str">
        <f t="shared" ca="1" si="29"/>
        <v/>
      </c>
      <c r="BM12" t="str">
        <f t="shared" ca="1" si="44"/>
        <v/>
      </c>
      <c r="BN12" t="str">
        <f t="shared" ca="1" si="45"/>
        <v/>
      </c>
      <c r="BO12" t="str">
        <f t="shared" ca="1" si="30"/>
        <v/>
      </c>
      <c r="BP12" t="b">
        <f ca="1">COUNTIF(COLHELPER!A12:'COLHELPER'!A12,COLHELPER!A12)&gt;1</f>
        <v>0</v>
      </c>
      <c r="BQ12">
        <f t="shared" ca="1" si="31"/>
        <v>0</v>
      </c>
      <c r="BR12" s="290" t="str">
        <f t="shared" ca="1" si="48"/>
        <v/>
      </c>
      <c r="BS12" t="str">
        <f t="shared" ca="1" si="33"/>
        <v/>
      </c>
      <c r="BT12" t="str">
        <f t="shared" ca="1" si="46"/>
        <v/>
      </c>
      <c r="BU12" t="str">
        <f t="shared" ca="1" si="34"/>
        <v/>
      </c>
      <c r="BV12">
        <f t="shared" ca="1" si="35"/>
        <v>0</v>
      </c>
      <c r="BW12" t="str">
        <f t="shared" ca="1" si="36"/>
        <v/>
      </c>
      <c r="BX12" t="str">
        <f t="shared" ca="1" si="37"/>
        <v/>
      </c>
      <c r="BY12" t="str">
        <f ca="1">IF(R12="","",IF(R12&gt;Options!$B$3,"ALTER TABLE "&amp;HELPER!$B$4&amp;" ADD COLUMNS ("&amp;A12&amp;" "&amp;C12&amp;")",""))</f>
        <v/>
      </c>
      <c r="BZ12" t="str">
        <f ca="1">IF(R12="","",IF(R12&gt;Options!$B$3,A12,""))</f>
        <v/>
      </c>
      <c r="CA12" t="str">
        <f ca="1">IF(R12="","",IF(R12&gt;Options!$B$3,B12,""))</f>
        <v/>
      </c>
      <c r="CB12" t="str">
        <f t="shared" ca="1" si="38"/>
        <v/>
      </c>
      <c r="CC12">
        <f t="shared" ca="1" si="39"/>
        <v>0</v>
      </c>
      <c r="CD12" t="str">
        <f ca="1">IF(J12="","",Options!$B$23 &amp; "." &amp; J12)</f>
        <v/>
      </c>
    </row>
    <row r="13" spans="1:82">
      <c r="A13" s="161" t="str">
        <f t="array" aca="1" ref="A13" ca="1">IF(TRIM(INDIRECT("Columns!A13")) ="","",TRIM(INDIRECT("Columns!A13")))</f>
        <v/>
      </c>
      <c r="B13" s="161" t="str">
        <f t="shared" ca="1" si="0"/>
        <v/>
      </c>
      <c r="C13" s="161" t="str">
        <f t="shared" ca="1" si="1"/>
        <v/>
      </c>
      <c r="D13" s="161" t="str">
        <f t="shared" ca="1" si="2"/>
        <v/>
      </c>
      <c r="E13" s="161" t="str">
        <f t="array" aca="1" ref="E13" ca="1">IF(TRIM(INDIRECT("Columns!E13"))="","",TRIM(INDIRECT("Columns!E13")))</f>
        <v/>
      </c>
      <c r="F13" s="161" t="str">
        <f t="array" aca="1" ref="F13" ca="1">IF(TRIM(INDIRECT("Columns!G13"))="","",TRIM(INDIRECT("Columns!G13")))</f>
        <v/>
      </c>
      <c r="G13" s="161" t="str">
        <f t="array" aca="1" ref="G13" ca="1">IF(TRIM(INDIRECT("Columns!F13"))="","",TRIM(INDIRECT("Columns!F13")))</f>
        <v/>
      </c>
      <c r="H13" s="161" t="str">
        <f t="array" aca="1" ref="H13" ca="1">IF(TRIM(INDIRECT("Columns!H13"))="","",TRIM(INDIRECT("Columns!H13")))</f>
        <v/>
      </c>
      <c r="I13" s="161" t="str">
        <f t="array" aca="1" ref="I13" ca="1">IF(TRIM(INDIRECT("Columns!I13"))="","",TRIM(INDIRECT("Columns!I13")))</f>
        <v/>
      </c>
      <c r="J13" s="161" t="str">
        <f t="array" aca="1" ref="J13" ca="1">IF(TRIM(INDIRECT("Columns!J13"))="","",TRIM(INDIRECT("Columns!J13")))</f>
        <v/>
      </c>
      <c r="K13" s="161" t="str">
        <f t="array" aca="1" ref="K13" ca="1">IF(TRIM(INDIRECT("Columns!K13"))="","",TRIM(INDIRECT("Columns!K13")))</f>
        <v/>
      </c>
      <c r="L13" s="161" t="str">
        <f t="array" aca="1" ref="L13" ca="1">IF(TRIM(INDIRECT("Columns!L13"))="","",TRIM(INDIRECT("Columns!L13")))</f>
        <v/>
      </c>
      <c r="M13" s="161" t="str">
        <f t="array" aca="1" ref="M13" ca="1">IF(TRIM(INDIRECT("Columns!M13"))="","",TRIM(INDIRECT("Columns!M13")))</f>
        <v/>
      </c>
      <c r="N13" s="161" t="str">
        <f t="array" aca="1" ref="N13" ca="1">IF(TRIM(INDIRECT("Columns!N13"))="","",TRIM(INDIRECT("Columns!N13")))</f>
        <v/>
      </c>
      <c r="O13" s="227" t="str">
        <f t="array" aca="1" ref="O13" ca="1">IF(TRIM(INDIRECT("Columns!B13"))="","",TRIM(INDIRECT("Columns!B13")))</f>
        <v/>
      </c>
      <c r="P13" s="227" t="str">
        <f t="array" aca="1" ref="P13" ca="1">IF(TRIM(INDIRECT("Columns!C13"))="","",TRIM(INDIRECT("Columns!C13")))</f>
        <v/>
      </c>
      <c r="Q13" s="227" t="str">
        <f t="array" aca="1" ref="Q13" ca="1">IF(TRIM(INDIRECT("Columns!D13"))="","",TRIM(INDIRECT("Columns!D13")))</f>
        <v/>
      </c>
      <c r="R13" s="227" t="str">
        <f t="array" aca="1" ref="R13" ca="1">IF(TRIM(INDIRECT("Columns!O13"))="","",TRIM(INDIRECT("Columns!O13")))</f>
        <v/>
      </c>
      <c r="S13" t="str">
        <f t="shared" ca="1" si="3"/>
        <v/>
      </c>
      <c r="T13" t="str">
        <f t="shared" ca="1" si="4"/>
        <v/>
      </c>
      <c r="U13" t="str">
        <f t="shared" ca="1" si="5"/>
        <v/>
      </c>
      <c r="V13" t="str">
        <f t="shared" ca="1" si="6"/>
        <v/>
      </c>
      <c r="W13" t="str">
        <f t="shared" ca="1" si="7"/>
        <v/>
      </c>
      <c r="X13" t="str">
        <f t="shared" ca="1" si="8"/>
        <v/>
      </c>
      <c r="Y13" t="str">
        <f t="shared" ca="1" si="9"/>
        <v/>
      </c>
      <c r="Z13" t="str">
        <f t="shared" ca="1" si="40"/>
        <v/>
      </c>
      <c r="AA13" t="str">
        <f ca="1">IF(E13="1",   IF( A13="","",IF(OR(F13="1",H13="1",I13="1"),"","COALESCE (CAST("&amp;A13&amp;" as varchar(" &amp; Options!$B$49&amp; ")),'')")),"")</f>
        <v/>
      </c>
      <c r="AB13" t="str">
        <f ca="1">IF(E13="1", IF(C13="string",  IF( A13="","",IF(OR(F13="1",H13="1",I13="1"),"","COALESCE (CAST(lower("&amp;A13&amp;") as varchar(" &amp;Options!$B$49 &amp; ")),'')")),AA13),"")</f>
        <v/>
      </c>
      <c r="AC13" t="str">
        <f ca="1">IF(E13="4",   IF( A13="","",IF(OR(F13="1",H13="1",I13="1"),"","COALESCE (CAST("  &amp;A13&amp;" as varchar(" &amp; Options!$B$49&amp; ")),'')")),"")</f>
        <v/>
      </c>
      <c r="AD13" t="str">
        <f ca="1">IF(E13="4",   IF( A13="","",IF(OR(F13="1",H13="1",I13="1"),"","COALESCE (CAST(" &amp; HELPER!$B$94 &amp; "."  &amp;A13&amp;" as varchar(" &amp; Options!$B$49&amp; ")),'')")),"")</f>
        <v/>
      </c>
      <c r="AE13" t="str">
        <f t="shared" ca="1" si="10"/>
        <v/>
      </c>
      <c r="AF13" t="str">
        <f ca="1">IF(AE13&lt;&gt;"", HELPER!$B$93 &amp;  "." &amp; AE13,"")</f>
        <v/>
      </c>
      <c r="AG13" t="str">
        <f ca="1">IF(AE13&lt;&gt;"", HELPER!$B$94 &amp; "." &amp; AE13,"")</f>
        <v/>
      </c>
      <c r="AH13" t="str">
        <f t="shared" ca="1" si="11"/>
        <v/>
      </c>
      <c r="AI13" t="str">
        <f t="shared" ca="1" si="12"/>
        <v/>
      </c>
      <c r="AJ13" t="str">
        <f t="shared" ca="1" si="13"/>
        <v/>
      </c>
      <c r="AK13" t="str">
        <f ca="1">IF(E13="4", HELPER!$B$94 &amp;  "." &amp; A13,"")</f>
        <v/>
      </c>
      <c r="AL13" t="str">
        <f ca="1">IF(E13="4", HELPER!$B$93 &amp;  "." &amp; A13,"")</f>
        <v/>
      </c>
      <c r="AM13" t="str">
        <f t="shared" ca="1" si="14"/>
        <v/>
      </c>
      <c r="AN13" t="str">
        <f t="shared" ca="1" si="15"/>
        <v/>
      </c>
      <c r="AO13" t="str">
        <f ca="1">IF(A13&lt;&gt;"", IF(OR(F13="1",H13="1",I13="1"),""," "&amp; HELPER!$B$94 &amp; "." &amp; A13),"")</f>
        <v/>
      </c>
      <c r="AP13" t="str">
        <f t="shared" ca="1" si="16"/>
        <v/>
      </c>
      <c r="AQ13" t="str">
        <f t="shared" ca="1" si="47"/>
        <v/>
      </c>
      <c r="AS13" t="str">
        <f ca="1">IF(A13="","",  HELPER!$B$94 &amp;  "." &amp; A13)</f>
        <v/>
      </c>
      <c r="AT13" t="str">
        <f t="shared" ca="1" si="17"/>
        <v/>
      </c>
      <c r="AU13" t="str">
        <f t="shared" ca="1" si="18"/>
        <v/>
      </c>
      <c r="AV13" s="190" t="str">
        <f t="shared" ca="1" si="19"/>
        <v/>
      </c>
      <c r="AW13" t="str">
        <f t="shared" ca="1" si="20"/>
        <v/>
      </c>
      <c r="AX13" t="str">
        <f ca="1">IF(J13="","","LEFT JOIN "&amp; Options!$B$23 &amp; "." &amp; J13 &amp; " ON ")</f>
        <v/>
      </c>
      <c r="AY13" t="str">
        <f t="shared" ca="1" si="21"/>
        <v/>
      </c>
      <c r="AZ13" t="str">
        <f t="shared" ca="1" si="22"/>
        <v/>
      </c>
      <c r="BA13" t="str">
        <f ca="1">IF(AZ13="","", "CAST(" &amp; AZ13 &amp; " AS varchar(" &amp; Options!$B$49 &amp; "))")</f>
        <v/>
      </c>
      <c r="BB13" t="str">
        <f t="shared" ca="1" si="23"/>
        <v/>
      </c>
      <c r="BC13" t="str">
        <f t="shared" ca="1" si="41"/>
        <v/>
      </c>
      <c r="BE13" t="str">
        <f t="shared" ca="1" si="24"/>
        <v/>
      </c>
      <c r="BF13" t="str">
        <f t="shared" ca="1" si="25"/>
        <v/>
      </c>
      <c r="BG13" t="str">
        <f t="shared" ca="1" si="26"/>
        <v/>
      </c>
      <c r="BH13" s="285" t="str">
        <f t="shared" ca="1" si="42"/>
        <v/>
      </c>
      <c r="BI13" t="str">
        <f t="shared" ca="1" si="27"/>
        <v/>
      </c>
      <c r="BJ13" t="str">
        <f t="shared" ca="1" si="28"/>
        <v/>
      </c>
      <c r="BK13" t="str">
        <f t="shared" ca="1" si="43"/>
        <v/>
      </c>
      <c r="BL13" t="str">
        <f t="shared" ca="1" si="29"/>
        <v/>
      </c>
      <c r="BM13" t="str">
        <f t="shared" ca="1" si="44"/>
        <v/>
      </c>
      <c r="BN13" t="str">
        <f t="shared" ca="1" si="45"/>
        <v/>
      </c>
      <c r="BO13" t="str">
        <f t="shared" ca="1" si="30"/>
        <v/>
      </c>
      <c r="BP13" t="b">
        <f ca="1">COUNTIF(COLHELPER!A13:'COLHELPER'!A13,COLHELPER!A13)&gt;1</f>
        <v>0</v>
      </c>
      <c r="BQ13">
        <f t="shared" ca="1" si="31"/>
        <v>0</v>
      </c>
      <c r="BR13" s="290" t="str">
        <f t="shared" ca="1" si="48"/>
        <v/>
      </c>
      <c r="BS13" t="str">
        <f t="shared" ca="1" si="33"/>
        <v/>
      </c>
      <c r="BT13" t="str">
        <f t="shared" ca="1" si="46"/>
        <v/>
      </c>
      <c r="BU13" t="str">
        <f t="shared" ca="1" si="34"/>
        <v/>
      </c>
      <c r="BV13">
        <f t="shared" ca="1" si="35"/>
        <v>0</v>
      </c>
      <c r="BW13" t="str">
        <f t="shared" ca="1" si="36"/>
        <v/>
      </c>
      <c r="BX13" t="str">
        <f t="shared" ca="1" si="37"/>
        <v/>
      </c>
      <c r="BY13" t="str">
        <f ca="1">IF(R13="","",IF(R13&gt;Options!$B$3,"ALTER TABLE "&amp;HELPER!$B$4&amp;" ADD COLUMNS ("&amp;A13&amp;" "&amp;C13&amp;")",""))</f>
        <v/>
      </c>
      <c r="BZ13" t="str">
        <f ca="1">IF(R13="","",IF(R13&gt;Options!$B$3,A13,""))</f>
        <v/>
      </c>
      <c r="CA13" t="str">
        <f ca="1">IF(R13="","",IF(R13&gt;Options!$B$3,B13,""))</f>
        <v/>
      </c>
      <c r="CB13" t="str">
        <f t="shared" ca="1" si="38"/>
        <v/>
      </c>
      <c r="CC13">
        <f t="shared" ca="1" si="39"/>
        <v>0</v>
      </c>
      <c r="CD13" t="str">
        <f ca="1">IF(J13="","",Options!$B$23 &amp; "." &amp; J13)</f>
        <v/>
      </c>
    </row>
    <row r="14" spans="1:82">
      <c r="A14" s="161" t="str">
        <f t="array" aca="1" ref="A14" ca="1">IF(TRIM(INDIRECT("Columns!A14")) ="","",TRIM(INDIRECT("Columns!A14")))</f>
        <v/>
      </c>
      <c r="B14" s="161" t="str">
        <f t="shared" ca="1" si="0"/>
        <v/>
      </c>
      <c r="C14" s="161" t="str">
        <f t="shared" ca="1" si="1"/>
        <v/>
      </c>
      <c r="D14" s="161" t="str">
        <f t="shared" ca="1" si="2"/>
        <v/>
      </c>
      <c r="E14" s="161" t="str">
        <f t="array" aca="1" ref="E14" ca="1">IF(TRIM(INDIRECT("Columns!E14"))="","",TRIM(INDIRECT("Columns!E14")))</f>
        <v/>
      </c>
      <c r="F14" s="161" t="str">
        <f t="array" aca="1" ref="F14" ca="1">IF(TRIM(INDIRECT("Columns!G14"))="","",TRIM(INDIRECT("Columns!G14")))</f>
        <v/>
      </c>
      <c r="G14" s="161" t="str">
        <f t="array" aca="1" ref="G14" ca="1">IF(TRIM(INDIRECT("Columns!F14"))="","",TRIM(INDIRECT("Columns!F14")))</f>
        <v/>
      </c>
      <c r="H14" s="161" t="str">
        <f t="array" aca="1" ref="H14" ca="1">IF(TRIM(INDIRECT("Columns!H14"))="","",TRIM(INDIRECT("Columns!H14")))</f>
        <v/>
      </c>
      <c r="I14" s="161" t="str">
        <f t="array" aca="1" ref="I14" ca="1">IF(TRIM(INDIRECT("Columns!I14"))="","",TRIM(INDIRECT("Columns!I14")))</f>
        <v/>
      </c>
      <c r="J14" s="161" t="str">
        <f t="array" aca="1" ref="J14" ca="1">IF(TRIM(INDIRECT("Columns!J14"))="","",TRIM(INDIRECT("Columns!J14")))</f>
        <v/>
      </c>
      <c r="K14" s="161" t="str">
        <f t="array" aca="1" ref="K14" ca="1">IF(TRIM(INDIRECT("Columns!K14"))="","",TRIM(INDIRECT("Columns!K14")))</f>
        <v/>
      </c>
      <c r="L14" s="161" t="str">
        <f t="array" aca="1" ref="L14" ca="1">IF(TRIM(INDIRECT("Columns!L14"))="","",TRIM(INDIRECT("Columns!L14")))</f>
        <v/>
      </c>
      <c r="M14" s="161" t="str">
        <f t="array" aca="1" ref="M14" ca="1">IF(TRIM(INDIRECT("Columns!M14"))="","",TRIM(INDIRECT("Columns!M14")))</f>
        <v/>
      </c>
      <c r="N14" s="161" t="str">
        <f t="array" aca="1" ref="N14" ca="1">IF(TRIM(INDIRECT("Columns!N14"))="","",TRIM(INDIRECT("Columns!N14")))</f>
        <v/>
      </c>
      <c r="O14" s="227" t="str">
        <f t="array" aca="1" ref="O14" ca="1">IF(TRIM(INDIRECT("Columns!B14"))="","",TRIM(INDIRECT("Columns!B14")))</f>
        <v/>
      </c>
      <c r="P14" s="227" t="str">
        <f t="array" aca="1" ref="P14" ca="1">IF(TRIM(INDIRECT("Columns!C14"))="","",TRIM(INDIRECT("Columns!C14")))</f>
        <v/>
      </c>
      <c r="Q14" s="227" t="str">
        <f t="array" aca="1" ref="Q14" ca="1">IF(TRIM(INDIRECT("Columns!D14"))="","",TRIM(INDIRECT("Columns!D14")))</f>
        <v/>
      </c>
      <c r="R14" s="227" t="str">
        <f t="array" aca="1" ref="R14" ca="1">IF(TRIM(INDIRECT("Columns!O14"))="","",TRIM(INDIRECT("Columns!O14")))</f>
        <v/>
      </c>
      <c r="S14" t="str">
        <f t="shared" ca="1" si="3"/>
        <v/>
      </c>
      <c r="T14" t="str">
        <f t="shared" ca="1" si="4"/>
        <v/>
      </c>
      <c r="U14" t="str">
        <f t="shared" ca="1" si="5"/>
        <v/>
      </c>
      <c r="V14" t="str">
        <f t="shared" ca="1" si="6"/>
        <v/>
      </c>
      <c r="W14" t="str">
        <f t="shared" ca="1" si="7"/>
        <v/>
      </c>
      <c r="X14" t="str">
        <f t="shared" ca="1" si="8"/>
        <v/>
      </c>
      <c r="Y14" t="str">
        <f t="shared" ca="1" si="9"/>
        <v/>
      </c>
      <c r="Z14" t="str">
        <f t="shared" ca="1" si="40"/>
        <v/>
      </c>
      <c r="AA14" t="str">
        <f ca="1">IF(E14="1",   IF( A14="","",IF(OR(F14="1",H14="1",I14="1"),"","COALESCE (CAST("&amp;A14&amp;" as varchar(" &amp; Options!$B$49&amp; ")),'')")),"")</f>
        <v/>
      </c>
      <c r="AB14" t="str">
        <f ca="1">IF(E14="1", IF(C14="string",  IF( A14="","",IF(OR(F14="1",H14="1",I14="1"),"","COALESCE (CAST(lower("&amp;A14&amp;") as varchar(" &amp;Options!$B$49 &amp; ")),'')")),AA14),"")</f>
        <v/>
      </c>
      <c r="AC14" t="str">
        <f ca="1">IF(E14="4",   IF( A14="","",IF(OR(F14="1",H14="1",I14="1"),"","COALESCE (CAST("  &amp;A14&amp;" as varchar(" &amp; Options!$B$49&amp; ")),'')")),"")</f>
        <v/>
      </c>
      <c r="AD14" t="str">
        <f ca="1">IF(E14="4",   IF( A14="","",IF(OR(F14="1",H14="1",I14="1"),"","COALESCE (CAST(" &amp; HELPER!$B$94 &amp; "."  &amp;A14&amp;" as varchar(" &amp; Options!$B$49&amp; ")),'')")),"")</f>
        <v/>
      </c>
      <c r="AE14" t="str">
        <f t="shared" ca="1" si="10"/>
        <v/>
      </c>
      <c r="AF14" t="str">
        <f ca="1">IF(AE14&lt;&gt;"", HELPER!$B$93 &amp;  "." &amp; AE14,"")</f>
        <v/>
      </c>
      <c r="AG14" t="str">
        <f ca="1">IF(AE14&lt;&gt;"", HELPER!$B$94 &amp; "." &amp; AE14,"")</f>
        <v/>
      </c>
      <c r="AH14" t="str">
        <f t="shared" ca="1" si="11"/>
        <v/>
      </c>
      <c r="AI14" t="str">
        <f t="shared" ca="1" si="12"/>
        <v/>
      </c>
      <c r="AJ14" t="str">
        <f t="shared" ca="1" si="13"/>
        <v/>
      </c>
      <c r="AK14" t="str">
        <f ca="1">IF(E14="4", HELPER!$B$94 &amp;  "." &amp; A14,"")</f>
        <v/>
      </c>
      <c r="AL14" t="str">
        <f ca="1">IF(E14="4", HELPER!$B$93 &amp;  "." &amp; A14,"")</f>
        <v/>
      </c>
      <c r="AM14" t="str">
        <f t="shared" ca="1" si="14"/>
        <v/>
      </c>
      <c r="AN14" t="str">
        <f t="shared" ca="1" si="15"/>
        <v/>
      </c>
      <c r="AO14" t="str">
        <f ca="1">IF(A14&lt;&gt;"", IF(OR(F14="1",H14="1",I14="1"),""," "&amp; HELPER!$B$94 &amp; "." &amp; A14),"")</f>
        <v/>
      </c>
      <c r="AP14" t="str">
        <f t="shared" ca="1" si="16"/>
        <v/>
      </c>
      <c r="AQ14" t="str">
        <f t="shared" ca="1" si="47"/>
        <v/>
      </c>
      <c r="AS14" t="str">
        <f ca="1">IF(A14="","",  HELPER!$B$94 &amp;  "." &amp; A14)</f>
        <v/>
      </c>
      <c r="AT14" t="str">
        <f t="shared" ca="1" si="17"/>
        <v/>
      </c>
      <c r="AU14" t="str">
        <f t="shared" ca="1" si="18"/>
        <v/>
      </c>
      <c r="AV14" s="190" t="str">
        <f t="shared" ca="1" si="19"/>
        <v/>
      </c>
      <c r="AW14" t="str">
        <f t="shared" ca="1" si="20"/>
        <v/>
      </c>
      <c r="AX14" t="str">
        <f ca="1">IF(J14="","","LEFT JOIN "&amp; Options!$B$23 &amp; "." &amp; J14 &amp; " ON ")</f>
        <v/>
      </c>
      <c r="AY14" t="str">
        <f t="shared" ca="1" si="21"/>
        <v/>
      </c>
      <c r="AZ14" t="str">
        <f t="shared" ca="1" si="22"/>
        <v/>
      </c>
      <c r="BA14" t="str">
        <f ca="1">IF(AZ14="","", "CAST(" &amp; AZ14 &amp; " AS varchar(" &amp; Options!$B$49 &amp; "))")</f>
        <v/>
      </c>
      <c r="BB14" t="str">
        <f t="shared" ca="1" si="23"/>
        <v/>
      </c>
      <c r="BC14" t="str">
        <f t="shared" ca="1" si="41"/>
        <v/>
      </c>
      <c r="BE14" t="str">
        <f t="shared" ca="1" si="24"/>
        <v/>
      </c>
      <c r="BF14" t="str">
        <f t="shared" ca="1" si="25"/>
        <v/>
      </c>
      <c r="BG14" t="str">
        <f t="shared" ca="1" si="26"/>
        <v/>
      </c>
      <c r="BH14" s="285" t="str">
        <f t="shared" ca="1" si="42"/>
        <v/>
      </c>
      <c r="BI14" t="str">
        <f t="shared" ca="1" si="27"/>
        <v/>
      </c>
      <c r="BJ14" t="str">
        <f t="shared" ca="1" si="28"/>
        <v/>
      </c>
      <c r="BK14" t="str">
        <f t="shared" ca="1" si="43"/>
        <v/>
      </c>
      <c r="BL14" t="str">
        <f t="shared" ca="1" si="29"/>
        <v/>
      </c>
      <c r="BM14" t="str">
        <f t="shared" ca="1" si="44"/>
        <v/>
      </c>
      <c r="BN14" t="str">
        <f t="shared" ca="1" si="45"/>
        <v/>
      </c>
      <c r="BO14" t="str">
        <f t="shared" ca="1" si="30"/>
        <v/>
      </c>
      <c r="BP14" t="b">
        <f ca="1">COUNTIF(COLHELPER!A14:'COLHELPER'!A14,COLHELPER!A14)&gt;1</f>
        <v>0</v>
      </c>
      <c r="BQ14">
        <f t="shared" ca="1" si="31"/>
        <v>0</v>
      </c>
      <c r="BR14" s="290" t="str">
        <f t="shared" ca="1" si="48"/>
        <v/>
      </c>
      <c r="BS14" t="str">
        <f t="shared" ca="1" si="33"/>
        <v/>
      </c>
      <c r="BT14" t="str">
        <f t="shared" ca="1" si="46"/>
        <v/>
      </c>
      <c r="BU14" t="str">
        <f t="shared" ca="1" si="34"/>
        <v/>
      </c>
      <c r="BV14">
        <f t="shared" ca="1" si="35"/>
        <v>0</v>
      </c>
      <c r="BW14" t="str">
        <f t="shared" ca="1" si="36"/>
        <v/>
      </c>
      <c r="BX14" t="str">
        <f t="shared" ca="1" si="37"/>
        <v/>
      </c>
      <c r="BY14" t="str">
        <f ca="1">IF(R14="","",IF(R14&gt;Options!$B$3,"ALTER TABLE "&amp;HELPER!$B$4&amp;" ADD COLUMNS ("&amp;A14&amp;" "&amp;C14&amp;")",""))</f>
        <v/>
      </c>
      <c r="BZ14" t="str">
        <f ca="1">IF(R14="","",IF(R14&gt;Options!$B$3,A14,""))</f>
        <v/>
      </c>
      <c r="CA14" t="str">
        <f ca="1">IF(R14="","",IF(R14&gt;Options!$B$3,B14,""))</f>
        <v/>
      </c>
      <c r="CB14" t="str">
        <f t="shared" ca="1" si="38"/>
        <v/>
      </c>
      <c r="CC14">
        <f t="shared" ca="1" si="39"/>
        <v>0</v>
      </c>
      <c r="CD14" t="str">
        <f ca="1">IF(J14="","",Options!$B$23 &amp; "." &amp; J14)</f>
        <v/>
      </c>
    </row>
    <row r="15" spans="1:82">
      <c r="A15" s="161" t="str">
        <f t="array" aca="1" ref="A15" ca="1">IF(TRIM(INDIRECT("Columns!A15")) ="","",TRIM(INDIRECT("Columns!A15")))</f>
        <v/>
      </c>
      <c r="B15" s="161" t="str">
        <f t="shared" ca="1" si="0"/>
        <v/>
      </c>
      <c r="C15" s="161" t="str">
        <f t="shared" ca="1" si="1"/>
        <v/>
      </c>
      <c r="D15" s="161" t="str">
        <f t="shared" ca="1" si="2"/>
        <v/>
      </c>
      <c r="E15" s="161" t="str">
        <f t="array" aca="1" ref="E15" ca="1">IF(TRIM(INDIRECT("Columns!E15"))="","",TRIM(INDIRECT("Columns!E15")))</f>
        <v/>
      </c>
      <c r="F15" s="161" t="str">
        <f t="array" aca="1" ref="F15" ca="1">IF(TRIM(INDIRECT("Columns!G15"))="","",TRIM(INDIRECT("Columns!G15")))</f>
        <v/>
      </c>
      <c r="G15" s="161" t="str">
        <f t="array" aca="1" ref="G15" ca="1">IF(TRIM(INDIRECT("Columns!F15"))="","",TRIM(INDIRECT("Columns!F15")))</f>
        <v/>
      </c>
      <c r="H15" s="161" t="str">
        <f t="array" aca="1" ref="H15" ca="1">IF(TRIM(INDIRECT("Columns!H15"))="","",TRIM(INDIRECT("Columns!H15")))</f>
        <v/>
      </c>
      <c r="I15" s="161" t="str">
        <f t="array" aca="1" ref="I15" ca="1">IF(TRIM(INDIRECT("Columns!I15"))="","",TRIM(INDIRECT("Columns!I15")))</f>
        <v/>
      </c>
      <c r="J15" s="161" t="str">
        <f t="array" aca="1" ref="J15" ca="1">IF(TRIM(INDIRECT("Columns!J15"))="","",TRIM(INDIRECT("Columns!J15")))</f>
        <v/>
      </c>
      <c r="K15" s="161" t="str">
        <f t="array" aca="1" ref="K15" ca="1">IF(TRIM(INDIRECT("Columns!K15"))="","",TRIM(INDIRECT("Columns!K15")))</f>
        <v/>
      </c>
      <c r="L15" s="161" t="str">
        <f t="array" aca="1" ref="L15" ca="1">IF(TRIM(INDIRECT("Columns!L15"))="","",TRIM(INDIRECT("Columns!L15")))</f>
        <v/>
      </c>
      <c r="M15" s="161" t="str">
        <f t="array" aca="1" ref="M15" ca="1">IF(TRIM(INDIRECT("Columns!M15"))="","",TRIM(INDIRECT("Columns!M15")))</f>
        <v/>
      </c>
      <c r="N15" s="161" t="str">
        <f t="array" aca="1" ref="N15" ca="1">IF(TRIM(INDIRECT("Columns!N15"))="","",TRIM(INDIRECT("Columns!N15")))</f>
        <v/>
      </c>
      <c r="O15" s="227" t="str">
        <f t="array" aca="1" ref="O15" ca="1">IF(TRIM(INDIRECT("Columns!B15"))="","",TRIM(INDIRECT("Columns!B15")))</f>
        <v/>
      </c>
      <c r="P15" s="227" t="str">
        <f t="array" aca="1" ref="P15" ca="1">IF(TRIM(INDIRECT("Columns!C15"))="","",TRIM(INDIRECT("Columns!C15")))</f>
        <v/>
      </c>
      <c r="Q15" s="227" t="str">
        <f t="array" aca="1" ref="Q15" ca="1">IF(TRIM(INDIRECT("Columns!D15"))="","",TRIM(INDIRECT("Columns!D15")))</f>
        <v/>
      </c>
      <c r="R15" s="227" t="str">
        <f t="array" aca="1" ref="R15" ca="1">IF(TRIM(INDIRECT("Columns!O15"))="","",TRIM(INDIRECT("Columns!O15")))</f>
        <v/>
      </c>
      <c r="S15" t="str">
        <f t="shared" ca="1" si="3"/>
        <v/>
      </c>
      <c r="T15" t="str">
        <f t="shared" ca="1" si="4"/>
        <v/>
      </c>
      <c r="U15" t="str">
        <f t="shared" ca="1" si="5"/>
        <v/>
      </c>
      <c r="V15" t="str">
        <f t="shared" ca="1" si="6"/>
        <v/>
      </c>
      <c r="W15" t="str">
        <f t="shared" ca="1" si="7"/>
        <v/>
      </c>
      <c r="X15" t="str">
        <f t="shared" ca="1" si="8"/>
        <v/>
      </c>
      <c r="Y15" t="str">
        <f t="shared" ca="1" si="9"/>
        <v/>
      </c>
      <c r="Z15" t="str">
        <f t="shared" ca="1" si="40"/>
        <v/>
      </c>
      <c r="AA15" t="str">
        <f ca="1">IF(E15="1",   IF( A15="","",IF(OR(F15="1",H15="1",I15="1"),"","COALESCE (CAST("&amp;A15&amp;" as varchar(" &amp; Options!$B$49&amp; ")),'')")),"")</f>
        <v/>
      </c>
      <c r="AB15" t="str">
        <f ca="1">IF(E15="1", IF(C15="string",  IF( A15="","",IF(OR(F15="1",H15="1",I15="1"),"","COALESCE (CAST(lower("&amp;A15&amp;") as varchar(" &amp;Options!$B$49 &amp; ")),'')")),AA15),"")</f>
        <v/>
      </c>
      <c r="AC15" t="str">
        <f ca="1">IF(E15="4",   IF( A15="","",IF(OR(F15="1",H15="1",I15="1"),"","COALESCE (CAST("  &amp;A15&amp;" as varchar(" &amp; Options!$B$49&amp; ")),'')")),"")</f>
        <v/>
      </c>
      <c r="AD15" t="str">
        <f ca="1">IF(E15="4",   IF( A15="","",IF(OR(F15="1",H15="1",I15="1"),"","COALESCE (CAST(" &amp; HELPER!$B$94 &amp; "."  &amp;A15&amp;" as varchar(" &amp; Options!$B$49&amp; ")),'')")),"")</f>
        <v/>
      </c>
      <c r="AE15" t="str">
        <f t="shared" ca="1" si="10"/>
        <v/>
      </c>
      <c r="AF15" t="str">
        <f ca="1">IF(AE15&lt;&gt;"", HELPER!$B$93 &amp;  "." &amp; AE15,"")</f>
        <v/>
      </c>
      <c r="AG15" t="str">
        <f ca="1">IF(AE15&lt;&gt;"", HELPER!$B$94 &amp; "." &amp; AE15,"")</f>
        <v/>
      </c>
      <c r="AH15" t="str">
        <f t="shared" ca="1" si="11"/>
        <v/>
      </c>
      <c r="AI15" t="str">
        <f t="shared" ca="1" si="12"/>
        <v/>
      </c>
      <c r="AJ15" t="str">
        <f t="shared" ca="1" si="13"/>
        <v/>
      </c>
      <c r="AK15" t="str">
        <f ca="1">IF(E15="4", HELPER!$B$94 &amp;  "." &amp; A15,"")</f>
        <v/>
      </c>
      <c r="AL15" t="str">
        <f ca="1">IF(E15="4", HELPER!$B$93 &amp;  "." &amp; A15,"")</f>
        <v/>
      </c>
      <c r="AM15" t="str">
        <f t="shared" ca="1" si="14"/>
        <v/>
      </c>
      <c r="AN15" t="str">
        <f t="shared" ca="1" si="15"/>
        <v/>
      </c>
      <c r="AO15" t="str">
        <f ca="1">IF(A15&lt;&gt;"", IF(OR(F15="1",H15="1",I15="1"),""," "&amp; HELPER!$B$94 &amp; "." &amp; A15),"")</f>
        <v/>
      </c>
      <c r="AP15" t="str">
        <f t="shared" ca="1" si="16"/>
        <v/>
      </c>
      <c r="AQ15" t="str">
        <f t="shared" ca="1" si="47"/>
        <v/>
      </c>
      <c r="AS15" t="str">
        <f ca="1">IF(A15="","",  HELPER!$B$94 &amp;  "." &amp; A15)</f>
        <v/>
      </c>
      <c r="AT15" t="str">
        <f t="shared" ca="1" si="17"/>
        <v/>
      </c>
      <c r="AU15" t="str">
        <f t="shared" ca="1" si="18"/>
        <v/>
      </c>
      <c r="AV15" s="190" t="str">
        <f t="shared" ca="1" si="19"/>
        <v/>
      </c>
      <c r="AW15" t="str">
        <f t="shared" ca="1" si="20"/>
        <v/>
      </c>
      <c r="AX15" t="str">
        <f ca="1">IF(J15="","","LEFT JOIN "&amp; Options!$B$23 &amp; "." &amp; J15 &amp; " ON ")</f>
        <v/>
      </c>
      <c r="AY15" t="str">
        <f t="shared" ca="1" si="21"/>
        <v/>
      </c>
      <c r="AZ15" t="str">
        <f t="shared" ca="1" si="22"/>
        <v/>
      </c>
      <c r="BA15" t="str">
        <f ca="1">IF(AZ15="","", "CAST(" &amp; AZ15 &amp; " AS varchar(" &amp; Options!$B$49 &amp; "))")</f>
        <v/>
      </c>
      <c r="BB15" t="str">
        <f t="shared" ca="1" si="23"/>
        <v/>
      </c>
      <c r="BC15" t="str">
        <f t="shared" ca="1" si="41"/>
        <v/>
      </c>
      <c r="BE15" t="str">
        <f t="shared" ca="1" si="24"/>
        <v/>
      </c>
      <c r="BF15" t="str">
        <f t="shared" ca="1" si="25"/>
        <v/>
      </c>
      <c r="BG15" t="str">
        <f t="shared" ca="1" si="26"/>
        <v/>
      </c>
      <c r="BH15" s="285" t="str">
        <f t="shared" ca="1" si="42"/>
        <v/>
      </c>
      <c r="BI15" t="str">
        <f t="shared" ca="1" si="27"/>
        <v/>
      </c>
      <c r="BJ15" t="str">
        <f t="shared" ca="1" si="28"/>
        <v/>
      </c>
      <c r="BK15" t="str">
        <f t="shared" ca="1" si="43"/>
        <v/>
      </c>
      <c r="BL15" t="str">
        <f t="shared" ca="1" si="29"/>
        <v/>
      </c>
      <c r="BM15" t="str">
        <f t="shared" ca="1" si="44"/>
        <v/>
      </c>
      <c r="BN15" t="str">
        <f t="shared" ca="1" si="45"/>
        <v/>
      </c>
      <c r="BO15" t="str">
        <f t="shared" ca="1" si="30"/>
        <v/>
      </c>
      <c r="BP15" t="b">
        <f ca="1">COUNTIF(COLHELPER!A15:'COLHELPER'!A15,COLHELPER!A15)&gt;1</f>
        <v>0</v>
      </c>
      <c r="BQ15">
        <f t="shared" ca="1" si="31"/>
        <v>0</v>
      </c>
      <c r="BR15" s="290" t="str">
        <f t="shared" ca="1" si="48"/>
        <v/>
      </c>
      <c r="BS15" t="str">
        <f t="shared" ca="1" si="33"/>
        <v/>
      </c>
      <c r="BT15" t="str">
        <f t="shared" ca="1" si="46"/>
        <v/>
      </c>
      <c r="BU15" t="str">
        <f t="shared" ca="1" si="34"/>
        <v/>
      </c>
      <c r="BV15">
        <f t="shared" ca="1" si="35"/>
        <v>0</v>
      </c>
      <c r="BW15" t="str">
        <f t="shared" ca="1" si="36"/>
        <v/>
      </c>
      <c r="BX15" t="str">
        <f t="shared" ca="1" si="37"/>
        <v/>
      </c>
      <c r="BY15" t="str">
        <f ca="1">IF(R15="","",IF(R15&gt;Options!$B$3,"ALTER TABLE "&amp;HELPER!$B$4&amp;" ADD COLUMNS ("&amp;A15&amp;" "&amp;C15&amp;")",""))</f>
        <v/>
      </c>
      <c r="BZ15" t="str">
        <f ca="1">IF(R15="","",IF(R15&gt;Options!$B$3,A15,""))</f>
        <v/>
      </c>
      <c r="CA15" t="str">
        <f ca="1">IF(R15="","",IF(R15&gt;Options!$B$3,B15,""))</f>
        <v/>
      </c>
      <c r="CB15" t="str">
        <f t="shared" ca="1" si="38"/>
        <v/>
      </c>
      <c r="CC15">
        <f t="shared" ca="1" si="39"/>
        <v>0</v>
      </c>
      <c r="CD15" t="str">
        <f ca="1">IF(J15="","",Options!$B$23 &amp; "." &amp; J15)</f>
        <v/>
      </c>
    </row>
    <row r="16" spans="1:82">
      <c r="A16" s="161" t="str">
        <f t="array" aca="1" ref="A16" ca="1">IF(TRIM(INDIRECT("Columns!A16")) ="","",TRIM(INDIRECT("Columns!A16")))</f>
        <v/>
      </c>
      <c r="B16" s="161" t="str">
        <f t="shared" ca="1" si="0"/>
        <v/>
      </c>
      <c r="C16" s="161" t="str">
        <f t="shared" ca="1" si="1"/>
        <v/>
      </c>
      <c r="D16" s="161" t="str">
        <f t="shared" ca="1" si="2"/>
        <v/>
      </c>
      <c r="E16" s="161" t="str">
        <f t="array" aca="1" ref="E16" ca="1">IF(TRIM(INDIRECT("Columns!E16"))="","",TRIM(INDIRECT("Columns!E16")))</f>
        <v/>
      </c>
      <c r="F16" s="161" t="str">
        <f t="array" aca="1" ref="F16" ca="1">IF(TRIM(INDIRECT("Columns!G16"))="","",TRIM(INDIRECT("Columns!G16")))</f>
        <v/>
      </c>
      <c r="G16" s="161" t="str">
        <f t="array" aca="1" ref="G16" ca="1">IF(TRIM(INDIRECT("Columns!F16"))="","",TRIM(INDIRECT("Columns!F16")))</f>
        <v/>
      </c>
      <c r="H16" s="161" t="str">
        <f t="array" aca="1" ref="H16" ca="1">IF(TRIM(INDIRECT("Columns!H16"))="","",TRIM(INDIRECT("Columns!H16")))</f>
        <v/>
      </c>
      <c r="I16" s="161" t="str">
        <f t="array" aca="1" ref="I16" ca="1">IF(TRIM(INDIRECT("Columns!I16"))="","",TRIM(INDIRECT("Columns!I16")))</f>
        <v/>
      </c>
      <c r="J16" s="161" t="str">
        <f t="array" aca="1" ref="J16" ca="1">IF(TRIM(INDIRECT("Columns!J16"))="","",TRIM(INDIRECT("Columns!J16")))</f>
        <v/>
      </c>
      <c r="K16" s="161" t="str">
        <f t="array" aca="1" ref="K16" ca="1">IF(TRIM(INDIRECT("Columns!K16"))="","",TRIM(INDIRECT("Columns!K16")))</f>
        <v/>
      </c>
      <c r="L16" s="161" t="str">
        <f t="array" aca="1" ref="L16" ca="1">IF(TRIM(INDIRECT("Columns!L16"))="","",TRIM(INDIRECT("Columns!L16")))</f>
        <v/>
      </c>
      <c r="M16" s="161" t="str">
        <f t="array" aca="1" ref="M16" ca="1">IF(TRIM(INDIRECT("Columns!M16"))="","",TRIM(INDIRECT("Columns!M16")))</f>
        <v/>
      </c>
      <c r="N16" s="161" t="str">
        <f t="array" aca="1" ref="N16" ca="1">IF(TRIM(INDIRECT("Columns!N16"))="","",TRIM(INDIRECT("Columns!N16")))</f>
        <v/>
      </c>
      <c r="O16" s="227" t="str">
        <f t="array" aca="1" ref="O16" ca="1">IF(TRIM(INDIRECT("Columns!B16"))="","",TRIM(INDIRECT("Columns!B16")))</f>
        <v/>
      </c>
      <c r="P16" s="227" t="str">
        <f t="array" aca="1" ref="P16" ca="1">IF(TRIM(INDIRECT("Columns!C16"))="","",TRIM(INDIRECT("Columns!C16")))</f>
        <v/>
      </c>
      <c r="Q16" s="227" t="str">
        <f t="array" aca="1" ref="Q16" ca="1">IF(TRIM(INDIRECT("Columns!D16"))="","",TRIM(INDIRECT("Columns!D16")))</f>
        <v/>
      </c>
      <c r="R16" s="227" t="str">
        <f t="array" aca="1" ref="R16" ca="1">IF(TRIM(INDIRECT("Columns!O16"))="","",TRIM(INDIRECT("Columns!O16")))</f>
        <v/>
      </c>
      <c r="S16" t="str">
        <f t="shared" ca="1" si="3"/>
        <v/>
      </c>
      <c r="T16" t="str">
        <f t="shared" ca="1" si="4"/>
        <v/>
      </c>
      <c r="U16" t="str">
        <f t="shared" ca="1" si="5"/>
        <v/>
      </c>
      <c r="V16" t="str">
        <f t="shared" ca="1" si="6"/>
        <v/>
      </c>
      <c r="W16" t="str">
        <f t="shared" ca="1" si="7"/>
        <v/>
      </c>
      <c r="X16" t="str">
        <f t="shared" ca="1" si="8"/>
        <v/>
      </c>
      <c r="Y16" t="str">
        <f t="shared" ca="1" si="9"/>
        <v/>
      </c>
      <c r="Z16" t="str">
        <f t="shared" ca="1" si="40"/>
        <v/>
      </c>
      <c r="AA16" t="str">
        <f ca="1">IF(E16="1",   IF( A16="","",IF(OR(F16="1",H16="1",I16="1"),"","COALESCE (CAST("&amp;A16&amp;" as varchar(" &amp; Options!$B$49&amp; ")),'')")),"")</f>
        <v/>
      </c>
      <c r="AB16" t="str">
        <f ca="1">IF(E16="1", IF(C16="string",  IF( A16="","",IF(OR(F16="1",H16="1",I16="1"),"","COALESCE (CAST(lower("&amp;A16&amp;") as varchar(" &amp;Options!$B$49 &amp; ")),'')")),AA16),"")</f>
        <v/>
      </c>
      <c r="AC16" t="str">
        <f ca="1">IF(E16="4",   IF( A16="","",IF(OR(F16="1",H16="1",I16="1"),"","COALESCE (CAST("  &amp;A16&amp;" as varchar(" &amp; Options!$B$49&amp; ")),'')")),"")</f>
        <v/>
      </c>
      <c r="AD16" t="str">
        <f ca="1">IF(E16="4",   IF( A16="","",IF(OR(F16="1",H16="1",I16="1"),"","COALESCE (CAST(" &amp; HELPER!$B$94 &amp; "."  &amp;A16&amp;" as varchar(" &amp; Options!$B$49&amp; ")),'')")),"")</f>
        <v/>
      </c>
      <c r="AE16" t="str">
        <f t="shared" ca="1" si="10"/>
        <v/>
      </c>
      <c r="AF16" t="str">
        <f ca="1">IF(AE16&lt;&gt;"", HELPER!$B$93 &amp;  "." &amp; AE16,"")</f>
        <v/>
      </c>
      <c r="AG16" t="str">
        <f ca="1">IF(AE16&lt;&gt;"", HELPER!$B$94 &amp; "." &amp; AE16,"")</f>
        <v/>
      </c>
      <c r="AH16" t="str">
        <f t="shared" ca="1" si="11"/>
        <v/>
      </c>
      <c r="AI16" t="str">
        <f t="shared" ca="1" si="12"/>
        <v/>
      </c>
      <c r="AJ16" t="str">
        <f t="shared" ca="1" si="13"/>
        <v/>
      </c>
      <c r="AK16" t="str">
        <f ca="1">IF(E16="4", HELPER!$B$94 &amp;  "." &amp; A16,"")</f>
        <v/>
      </c>
      <c r="AL16" t="str">
        <f ca="1">IF(E16="4", HELPER!$B$93 &amp;  "." &amp; A16,"")</f>
        <v/>
      </c>
      <c r="AM16" t="str">
        <f t="shared" ca="1" si="14"/>
        <v/>
      </c>
      <c r="AN16" t="str">
        <f t="shared" ca="1" si="15"/>
        <v/>
      </c>
      <c r="AO16" t="str">
        <f ca="1">IF(A16&lt;&gt;"", IF(OR(F16="1",H16="1",I16="1"),""," "&amp; HELPER!$B$94 &amp; "." &amp; A16),"")</f>
        <v/>
      </c>
      <c r="AP16" t="str">
        <f t="shared" ca="1" si="16"/>
        <v/>
      </c>
      <c r="AQ16" t="str">
        <f t="shared" ca="1" si="47"/>
        <v/>
      </c>
      <c r="AS16" t="str">
        <f ca="1">IF(A16="","",  HELPER!$B$94 &amp;  "." &amp; A16)</f>
        <v/>
      </c>
      <c r="AT16" t="str">
        <f t="shared" ca="1" si="17"/>
        <v/>
      </c>
      <c r="AU16" t="str">
        <f t="shared" ca="1" si="18"/>
        <v/>
      </c>
      <c r="AV16" s="190" t="str">
        <f t="shared" ca="1" si="19"/>
        <v/>
      </c>
      <c r="AW16" t="str">
        <f t="shared" ca="1" si="20"/>
        <v/>
      </c>
      <c r="AX16" t="str">
        <f ca="1">IF(J16="","","LEFT JOIN "&amp; Options!$B$23 &amp; "." &amp; J16 &amp; " ON ")</f>
        <v/>
      </c>
      <c r="AY16" t="str">
        <f t="shared" ca="1" si="21"/>
        <v/>
      </c>
      <c r="AZ16" t="str">
        <f t="shared" ca="1" si="22"/>
        <v/>
      </c>
      <c r="BA16" t="str">
        <f ca="1">IF(AZ16="","", "CAST(" &amp; AZ16 &amp; " AS varchar(" &amp; Options!$B$49 &amp; "))")</f>
        <v/>
      </c>
      <c r="BB16" t="str">
        <f t="shared" ca="1" si="23"/>
        <v/>
      </c>
      <c r="BC16" t="str">
        <f t="shared" ca="1" si="41"/>
        <v/>
      </c>
      <c r="BE16" t="str">
        <f t="shared" ca="1" si="24"/>
        <v/>
      </c>
      <c r="BF16" t="str">
        <f t="shared" ca="1" si="25"/>
        <v/>
      </c>
      <c r="BG16" t="str">
        <f t="shared" ca="1" si="26"/>
        <v/>
      </c>
      <c r="BH16" s="285" t="str">
        <f t="shared" ca="1" si="42"/>
        <v/>
      </c>
      <c r="BI16" t="str">
        <f t="shared" ca="1" si="27"/>
        <v/>
      </c>
      <c r="BJ16" t="str">
        <f t="shared" ca="1" si="28"/>
        <v/>
      </c>
      <c r="BK16" t="str">
        <f t="shared" ca="1" si="43"/>
        <v/>
      </c>
      <c r="BL16" t="str">
        <f t="shared" ca="1" si="29"/>
        <v/>
      </c>
      <c r="BM16" t="str">
        <f t="shared" ca="1" si="44"/>
        <v/>
      </c>
      <c r="BN16" t="str">
        <f t="shared" ca="1" si="45"/>
        <v/>
      </c>
      <c r="BO16" t="str">
        <f t="shared" ca="1" si="30"/>
        <v/>
      </c>
      <c r="BP16" t="b">
        <f ca="1">COUNTIF(COLHELPER!A16:'COLHELPER'!A16,COLHELPER!A16)&gt;1</f>
        <v>0</v>
      </c>
      <c r="BQ16">
        <f t="shared" ca="1" si="31"/>
        <v>0</v>
      </c>
      <c r="BR16" s="290" t="str">
        <f t="shared" ca="1" si="48"/>
        <v/>
      </c>
      <c r="BS16" t="str">
        <f t="shared" ca="1" si="33"/>
        <v/>
      </c>
      <c r="BT16" t="str">
        <f t="shared" ca="1" si="46"/>
        <v/>
      </c>
      <c r="BU16" t="str">
        <f t="shared" ca="1" si="34"/>
        <v/>
      </c>
      <c r="BV16">
        <f t="shared" ca="1" si="35"/>
        <v>0</v>
      </c>
      <c r="BW16" t="str">
        <f t="shared" ca="1" si="36"/>
        <v/>
      </c>
      <c r="BX16" t="str">
        <f t="shared" ca="1" si="37"/>
        <v/>
      </c>
      <c r="BY16" t="str">
        <f ca="1">IF(R16="","",IF(R16&gt;Options!$B$3,"ALTER TABLE "&amp;HELPER!$B$4&amp;" ADD COLUMNS ("&amp;A16&amp;" "&amp;C16&amp;")",""))</f>
        <v/>
      </c>
      <c r="BZ16" t="str">
        <f ca="1">IF(R16="","",IF(R16&gt;Options!$B$3,A16,""))</f>
        <v/>
      </c>
      <c r="CA16" t="str">
        <f ca="1">IF(R16="","",IF(R16&gt;Options!$B$3,B16,""))</f>
        <v/>
      </c>
      <c r="CB16" t="str">
        <f t="shared" ca="1" si="38"/>
        <v/>
      </c>
      <c r="CC16">
        <f t="shared" ca="1" si="39"/>
        <v>0</v>
      </c>
      <c r="CD16" t="str">
        <f ca="1">IF(J16="","",Options!$B$23 &amp; "." &amp; J16)</f>
        <v/>
      </c>
    </row>
    <row r="17" spans="1:82">
      <c r="A17" s="161" t="str">
        <f t="array" aca="1" ref="A17" ca="1">IF(TRIM(INDIRECT("Columns!A17")) ="","",TRIM(INDIRECT("Columns!A17")))</f>
        <v/>
      </c>
      <c r="B17" s="161" t="str">
        <f t="shared" ca="1" si="0"/>
        <v/>
      </c>
      <c r="C17" s="161" t="str">
        <f t="shared" ca="1" si="1"/>
        <v/>
      </c>
      <c r="D17" s="161" t="str">
        <f t="shared" ca="1" si="2"/>
        <v/>
      </c>
      <c r="E17" s="161" t="str">
        <f t="array" aca="1" ref="E17" ca="1">IF(TRIM(INDIRECT("Columns!E17"))="","",TRIM(INDIRECT("Columns!E17")))</f>
        <v/>
      </c>
      <c r="F17" s="161" t="str">
        <f t="array" aca="1" ref="F17" ca="1">IF(TRIM(INDIRECT("Columns!G17"))="","",TRIM(INDIRECT("Columns!G17")))</f>
        <v/>
      </c>
      <c r="G17" s="161" t="str">
        <f t="array" aca="1" ref="G17" ca="1">IF(TRIM(INDIRECT("Columns!F17"))="","",TRIM(INDIRECT("Columns!F17")))</f>
        <v/>
      </c>
      <c r="H17" s="161" t="str">
        <f t="array" aca="1" ref="H17" ca="1">IF(TRIM(INDIRECT("Columns!H17"))="","",TRIM(INDIRECT("Columns!H17")))</f>
        <v/>
      </c>
      <c r="I17" s="161" t="str">
        <f t="array" aca="1" ref="I17" ca="1">IF(TRIM(INDIRECT("Columns!I17"))="","",TRIM(INDIRECT("Columns!I17")))</f>
        <v/>
      </c>
      <c r="J17" s="161" t="str">
        <f t="array" aca="1" ref="J17" ca="1">IF(TRIM(INDIRECT("Columns!J17"))="","",TRIM(INDIRECT("Columns!J17")))</f>
        <v/>
      </c>
      <c r="K17" s="161" t="str">
        <f t="array" aca="1" ref="K17" ca="1">IF(TRIM(INDIRECT("Columns!K17"))="","",TRIM(INDIRECT("Columns!K17")))</f>
        <v/>
      </c>
      <c r="L17" s="161" t="str">
        <f t="array" aca="1" ref="L17" ca="1">IF(TRIM(INDIRECT("Columns!L17"))="","",TRIM(INDIRECT("Columns!L17")))</f>
        <v/>
      </c>
      <c r="M17" s="161" t="str">
        <f t="array" aca="1" ref="M17" ca="1">IF(TRIM(INDIRECT("Columns!M17"))="","",TRIM(INDIRECT("Columns!M17")))</f>
        <v/>
      </c>
      <c r="N17" s="161" t="str">
        <f t="array" aca="1" ref="N17" ca="1">IF(TRIM(INDIRECT("Columns!N17"))="","",TRIM(INDIRECT("Columns!N17")))</f>
        <v/>
      </c>
      <c r="O17" s="227" t="str">
        <f t="array" aca="1" ref="O17" ca="1">IF(TRIM(INDIRECT("Columns!B17"))="","",TRIM(INDIRECT("Columns!B17")))</f>
        <v/>
      </c>
      <c r="P17" s="227" t="str">
        <f t="array" aca="1" ref="P17" ca="1">IF(TRIM(INDIRECT("Columns!C17"))="","",TRIM(INDIRECT("Columns!C17")))</f>
        <v/>
      </c>
      <c r="Q17" s="227" t="str">
        <f t="array" aca="1" ref="Q17" ca="1">IF(TRIM(INDIRECT("Columns!D17"))="","",TRIM(INDIRECT("Columns!D17")))</f>
        <v/>
      </c>
      <c r="R17" s="227" t="str">
        <f t="array" aca="1" ref="R17" ca="1">IF(TRIM(INDIRECT("Columns!O17"))="","",TRIM(INDIRECT("Columns!O17")))</f>
        <v/>
      </c>
      <c r="S17" t="str">
        <f t="shared" ca="1" si="3"/>
        <v/>
      </c>
      <c r="T17" t="str">
        <f t="shared" ca="1" si="4"/>
        <v/>
      </c>
      <c r="U17" t="str">
        <f t="shared" ca="1" si="5"/>
        <v/>
      </c>
      <c r="V17" t="str">
        <f t="shared" ca="1" si="6"/>
        <v/>
      </c>
      <c r="W17" t="str">
        <f t="shared" ca="1" si="7"/>
        <v/>
      </c>
      <c r="X17" t="str">
        <f t="shared" ca="1" si="8"/>
        <v/>
      </c>
      <c r="Y17" t="str">
        <f t="shared" ca="1" si="9"/>
        <v/>
      </c>
      <c r="Z17" t="str">
        <f t="shared" ca="1" si="40"/>
        <v/>
      </c>
      <c r="AA17" t="str">
        <f ca="1">IF(E17="1",   IF( A17="","",IF(OR(F17="1",H17="1",I17="1"),"","COALESCE (CAST("&amp;A17&amp;" as varchar(" &amp; Options!$B$49&amp; ")),'')")),"")</f>
        <v/>
      </c>
      <c r="AB17" t="str">
        <f ca="1">IF(E17="1", IF(C17="string",  IF( A17="","",IF(OR(F17="1",H17="1",I17="1"),"","COALESCE (CAST(lower("&amp;A17&amp;") as varchar(" &amp;Options!$B$49 &amp; ")),'')")),AA17),"")</f>
        <v/>
      </c>
      <c r="AC17" t="str">
        <f ca="1">IF(E17="4",   IF( A17="","",IF(OR(F17="1",H17="1",I17="1"),"","COALESCE (CAST("  &amp;A17&amp;" as varchar(" &amp; Options!$B$49&amp; ")),'')")),"")</f>
        <v/>
      </c>
      <c r="AD17" t="str">
        <f ca="1">IF(E17="4",   IF( A17="","",IF(OR(F17="1",H17="1",I17="1"),"","COALESCE (CAST(" &amp; HELPER!$B$94 &amp; "."  &amp;A17&amp;" as varchar(" &amp; Options!$B$49&amp; ")),'')")),"")</f>
        <v/>
      </c>
      <c r="AE17" t="str">
        <f t="shared" ca="1" si="10"/>
        <v/>
      </c>
      <c r="AF17" t="str">
        <f ca="1">IF(AE17&lt;&gt;"", HELPER!$B$93 &amp;  "." &amp; AE17,"")</f>
        <v/>
      </c>
      <c r="AG17" t="str">
        <f ca="1">IF(AE17&lt;&gt;"", HELPER!$B$94 &amp; "." &amp; AE17,"")</f>
        <v/>
      </c>
      <c r="AH17" t="str">
        <f t="shared" ca="1" si="11"/>
        <v/>
      </c>
      <c r="AI17" t="str">
        <f t="shared" ca="1" si="12"/>
        <v/>
      </c>
      <c r="AJ17" t="str">
        <f t="shared" ca="1" si="13"/>
        <v/>
      </c>
      <c r="AK17" t="str">
        <f ca="1">IF(E17="4", HELPER!$B$94 &amp;  "." &amp; A17,"")</f>
        <v/>
      </c>
      <c r="AL17" t="str">
        <f ca="1">IF(E17="4", HELPER!$B$93 &amp;  "." &amp; A17,"")</f>
        <v/>
      </c>
      <c r="AM17" t="str">
        <f t="shared" ca="1" si="14"/>
        <v/>
      </c>
      <c r="AN17" t="str">
        <f t="shared" ca="1" si="15"/>
        <v/>
      </c>
      <c r="AO17" t="str">
        <f ca="1">IF(A17&lt;&gt;"", IF(OR(F17="1",H17="1",I17="1"),""," "&amp; HELPER!$B$94 &amp; "." &amp; A17),"")</f>
        <v/>
      </c>
      <c r="AP17" t="str">
        <f t="shared" ca="1" si="16"/>
        <v/>
      </c>
      <c r="AQ17" t="str">
        <f t="shared" ca="1" si="47"/>
        <v/>
      </c>
      <c r="AS17" t="str">
        <f ca="1">IF(A17="","",  HELPER!$B$94 &amp;  "." &amp; A17)</f>
        <v/>
      </c>
      <c r="AT17" t="str">
        <f t="shared" ca="1" si="17"/>
        <v/>
      </c>
      <c r="AU17" t="str">
        <f t="shared" ca="1" si="18"/>
        <v/>
      </c>
      <c r="AV17" s="190" t="str">
        <f t="shared" ca="1" si="19"/>
        <v/>
      </c>
      <c r="AW17" t="str">
        <f t="shared" ca="1" si="20"/>
        <v/>
      </c>
      <c r="AX17" t="str">
        <f ca="1">IF(J17="","","LEFT JOIN "&amp; Options!$B$23 &amp; "." &amp; J17 &amp; " ON ")</f>
        <v/>
      </c>
      <c r="AY17" t="str">
        <f t="shared" ca="1" si="21"/>
        <v/>
      </c>
      <c r="AZ17" t="str">
        <f t="shared" ca="1" si="22"/>
        <v/>
      </c>
      <c r="BA17" t="str">
        <f ca="1">IF(AZ17="","", "CAST(" &amp; AZ17 &amp; " AS varchar(" &amp; Options!$B$49 &amp; "))")</f>
        <v/>
      </c>
      <c r="BB17" t="str">
        <f t="shared" ca="1" si="23"/>
        <v/>
      </c>
      <c r="BC17" t="str">
        <f t="shared" ca="1" si="41"/>
        <v/>
      </c>
      <c r="BE17" t="str">
        <f t="shared" ca="1" si="24"/>
        <v/>
      </c>
      <c r="BF17" t="str">
        <f t="shared" ca="1" si="25"/>
        <v/>
      </c>
      <c r="BG17" t="str">
        <f t="shared" ca="1" si="26"/>
        <v/>
      </c>
      <c r="BH17" s="285" t="str">
        <f t="shared" ca="1" si="42"/>
        <v/>
      </c>
      <c r="BI17" t="str">
        <f t="shared" ca="1" si="27"/>
        <v/>
      </c>
      <c r="BJ17" t="str">
        <f t="shared" ca="1" si="28"/>
        <v/>
      </c>
      <c r="BK17" t="str">
        <f t="shared" ca="1" si="43"/>
        <v/>
      </c>
      <c r="BL17" t="str">
        <f t="shared" ca="1" si="29"/>
        <v/>
      </c>
      <c r="BM17" t="str">
        <f t="shared" ca="1" si="44"/>
        <v/>
      </c>
      <c r="BN17" t="str">
        <f t="shared" ca="1" si="45"/>
        <v/>
      </c>
      <c r="BO17" t="str">
        <f t="shared" ca="1" si="30"/>
        <v/>
      </c>
      <c r="BP17" t="b">
        <f ca="1">COUNTIF(COLHELPER!A17:'COLHELPER'!A17,COLHELPER!A17)&gt;1</f>
        <v>0</v>
      </c>
      <c r="BQ17">
        <f t="shared" ca="1" si="31"/>
        <v>0</v>
      </c>
      <c r="BR17" s="290" t="str">
        <f t="shared" ca="1" si="48"/>
        <v/>
      </c>
      <c r="BS17" t="str">
        <f t="shared" ca="1" si="33"/>
        <v/>
      </c>
      <c r="BT17" t="str">
        <f t="shared" ca="1" si="46"/>
        <v/>
      </c>
      <c r="BU17" t="str">
        <f t="shared" ca="1" si="34"/>
        <v/>
      </c>
      <c r="BV17">
        <f t="shared" ca="1" si="35"/>
        <v>0</v>
      </c>
      <c r="BW17" t="str">
        <f t="shared" ca="1" si="36"/>
        <v/>
      </c>
      <c r="BX17" t="str">
        <f t="shared" ca="1" si="37"/>
        <v/>
      </c>
      <c r="BY17" t="str">
        <f ca="1">IF(R17="","",IF(R17&gt;Options!$B$3,"ALTER TABLE "&amp;HELPER!$B$4&amp;" ADD COLUMNS ("&amp;A17&amp;" "&amp;C17&amp;")",""))</f>
        <v/>
      </c>
      <c r="BZ17" t="str">
        <f ca="1">IF(R17="","",IF(R17&gt;Options!$B$3,A17,""))</f>
        <v/>
      </c>
      <c r="CA17" t="str">
        <f ca="1">IF(R17="","",IF(R17&gt;Options!$B$3,B17,""))</f>
        <v/>
      </c>
      <c r="CB17" t="str">
        <f t="shared" ca="1" si="38"/>
        <v/>
      </c>
      <c r="CC17">
        <f t="shared" ca="1" si="39"/>
        <v>0</v>
      </c>
      <c r="CD17" t="str">
        <f ca="1">IF(J17="","",Options!$B$23 &amp; "." &amp; J17)</f>
        <v/>
      </c>
    </row>
    <row r="18" spans="1:82">
      <c r="A18" s="161" t="str">
        <f t="array" aca="1" ref="A18" ca="1">IF(TRIM(INDIRECT("Columns!A18")) ="","",TRIM(INDIRECT("Columns!A18")))</f>
        <v/>
      </c>
      <c r="B18" s="161" t="str">
        <f t="shared" ca="1" si="0"/>
        <v/>
      </c>
      <c r="C18" s="161" t="str">
        <f t="shared" ca="1" si="1"/>
        <v/>
      </c>
      <c r="D18" s="161" t="str">
        <f t="shared" ca="1" si="2"/>
        <v/>
      </c>
      <c r="E18" s="161" t="str">
        <f t="array" aca="1" ref="E18" ca="1">IF(TRIM(INDIRECT("Columns!E18"))="","",TRIM(INDIRECT("Columns!E18")))</f>
        <v/>
      </c>
      <c r="F18" s="161" t="str">
        <f t="array" aca="1" ref="F18" ca="1">IF(TRIM(INDIRECT("Columns!G18"))="","",TRIM(INDIRECT("Columns!G18")))</f>
        <v/>
      </c>
      <c r="G18" s="161" t="str">
        <f t="array" aca="1" ref="G18" ca="1">IF(TRIM(INDIRECT("Columns!F18"))="","",TRIM(INDIRECT("Columns!F18")))</f>
        <v/>
      </c>
      <c r="H18" s="161" t="str">
        <f t="array" aca="1" ref="H18" ca="1">IF(TRIM(INDIRECT("Columns!H18"))="","",TRIM(INDIRECT("Columns!H18")))</f>
        <v/>
      </c>
      <c r="I18" s="161" t="str">
        <f t="array" aca="1" ref="I18" ca="1">IF(TRIM(INDIRECT("Columns!I18"))="","",TRIM(INDIRECT("Columns!I18")))</f>
        <v/>
      </c>
      <c r="J18" s="161" t="str">
        <f t="array" aca="1" ref="J18" ca="1">IF(TRIM(INDIRECT("Columns!J18"))="","",TRIM(INDIRECT("Columns!J18")))</f>
        <v/>
      </c>
      <c r="K18" s="161" t="str">
        <f t="array" aca="1" ref="K18" ca="1">IF(TRIM(INDIRECT("Columns!K18"))="","",TRIM(INDIRECT("Columns!K18")))</f>
        <v/>
      </c>
      <c r="L18" s="161" t="str">
        <f t="array" aca="1" ref="L18" ca="1">IF(TRIM(INDIRECT("Columns!L18"))="","",TRIM(INDIRECT("Columns!L18")))</f>
        <v/>
      </c>
      <c r="M18" s="161" t="str">
        <f t="array" aca="1" ref="M18" ca="1">IF(TRIM(INDIRECT("Columns!M18"))="","",TRIM(INDIRECT("Columns!M18")))</f>
        <v/>
      </c>
      <c r="N18" s="161" t="str">
        <f t="array" aca="1" ref="N18" ca="1">IF(TRIM(INDIRECT("Columns!N18"))="","",TRIM(INDIRECT("Columns!N18")))</f>
        <v/>
      </c>
      <c r="O18" s="227" t="str">
        <f t="array" aca="1" ref="O18" ca="1">IF(TRIM(INDIRECT("Columns!B18"))="","",TRIM(INDIRECT("Columns!B18")))</f>
        <v/>
      </c>
      <c r="P18" s="227" t="str">
        <f t="array" aca="1" ref="P18" ca="1">IF(TRIM(INDIRECT("Columns!C18"))="","",TRIM(INDIRECT("Columns!C18")))</f>
        <v/>
      </c>
      <c r="Q18" s="227" t="str">
        <f t="array" aca="1" ref="Q18" ca="1">IF(TRIM(INDIRECT("Columns!D18"))="","",TRIM(INDIRECT("Columns!D18")))</f>
        <v/>
      </c>
      <c r="R18" s="227" t="str">
        <f t="array" aca="1" ref="R18" ca="1">IF(TRIM(INDIRECT("Columns!O18"))="","",TRIM(INDIRECT("Columns!O18")))</f>
        <v/>
      </c>
      <c r="S18" t="str">
        <f t="shared" ca="1" si="3"/>
        <v/>
      </c>
      <c r="T18" t="str">
        <f t="shared" ca="1" si="4"/>
        <v/>
      </c>
      <c r="U18" t="str">
        <f t="shared" ca="1" si="5"/>
        <v/>
      </c>
      <c r="V18" t="str">
        <f t="shared" ca="1" si="6"/>
        <v/>
      </c>
      <c r="W18" t="str">
        <f t="shared" ca="1" si="7"/>
        <v/>
      </c>
      <c r="X18" t="str">
        <f t="shared" ca="1" si="8"/>
        <v/>
      </c>
      <c r="Y18" t="str">
        <f t="shared" ca="1" si="9"/>
        <v/>
      </c>
      <c r="Z18" t="str">
        <f t="shared" ca="1" si="40"/>
        <v/>
      </c>
      <c r="AA18" t="str">
        <f ca="1">IF(E18="1",   IF( A18="","",IF(OR(F18="1",H18="1",I18="1"),"","COALESCE (CAST("&amp;A18&amp;" as varchar(" &amp; Options!$B$49&amp; ")),'')")),"")</f>
        <v/>
      </c>
      <c r="AB18" t="str">
        <f ca="1">IF(E18="1", IF(C18="string",  IF( A18="","",IF(OR(F18="1",H18="1",I18="1"),"","COALESCE (CAST(lower("&amp;A18&amp;") as varchar(" &amp;Options!$B$49 &amp; ")),'')")),AA18),"")</f>
        <v/>
      </c>
      <c r="AC18" t="str">
        <f ca="1">IF(E18="4",   IF( A18="","",IF(OR(F18="1",H18="1",I18="1"),"","COALESCE (CAST("  &amp;A18&amp;" as varchar(" &amp; Options!$B$49&amp; ")),'')")),"")</f>
        <v/>
      </c>
      <c r="AD18" t="str">
        <f ca="1">IF(E18="4",   IF( A18="","",IF(OR(F18="1",H18="1",I18="1"),"","COALESCE (CAST(" &amp; HELPER!$B$94 &amp; "."  &amp;A18&amp;" as varchar(" &amp; Options!$B$49&amp; ")),'')")),"")</f>
        <v/>
      </c>
      <c r="AE18" t="str">
        <f t="shared" ca="1" si="10"/>
        <v/>
      </c>
      <c r="AF18" t="str">
        <f ca="1">IF(AE18&lt;&gt;"", HELPER!$B$93 &amp;  "." &amp; AE18,"")</f>
        <v/>
      </c>
      <c r="AG18" t="str">
        <f ca="1">IF(AE18&lt;&gt;"", HELPER!$B$94 &amp; "." &amp; AE18,"")</f>
        <v/>
      </c>
      <c r="AH18" t="str">
        <f t="shared" ca="1" si="11"/>
        <v/>
      </c>
      <c r="AI18" t="str">
        <f t="shared" ca="1" si="12"/>
        <v/>
      </c>
      <c r="AJ18" t="str">
        <f t="shared" ca="1" si="13"/>
        <v/>
      </c>
      <c r="AK18" t="str">
        <f ca="1">IF(E18="4", HELPER!$B$94 &amp;  "." &amp; A18,"")</f>
        <v/>
      </c>
      <c r="AL18" t="str">
        <f ca="1">IF(E18="4", HELPER!$B$93 &amp;  "." &amp; A18,"")</f>
        <v/>
      </c>
      <c r="AM18" t="str">
        <f t="shared" ca="1" si="14"/>
        <v/>
      </c>
      <c r="AN18" t="str">
        <f t="shared" ca="1" si="15"/>
        <v/>
      </c>
      <c r="AO18" t="str">
        <f ca="1">IF(A18&lt;&gt;"", IF(OR(F18="1",H18="1",I18="1"),""," "&amp; HELPER!$B$94 &amp; "." &amp; A18),"")</f>
        <v/>
      </c>
      <c r="AP18" t="str">
        <f t="shared" ca="1" si="16"/>
        <v/>
      </c>
      <c r="AQ18" t="str">
        <f t="shared" ca="1" si="47"/>
        <v/>
      </c>
      <c r="AS18" t="str">
        <f ca="1">IF(A18="","",  HELPER!$B$94 &amp;  "." &amp; A18)</f>
        <v/>
      </c>
      <c r="AT18" t="str">
        <f t="shared" ca="1" si="17"/>
        <v/>
      </c>
      <c r="AU18" t="str">
        <f t="shared" ca="1" si="18"/>
        <v/>
      </c>
      <c r="AV18" s="190" t="str">
        <f t="shared" ca="1" si="19"/>
        <v/>
      </c>
      <c r="AW18" t="str">
        <f t="shared" ca="1" si="20"/>
        <v/>
      </c>
      <c r="AX18" t="str">
        <f ca="1">IF(J18="","","LEFT JOIN "&amp; Options!$B$23 &amp; "." &amp; J18 &amp; " ON ")</f>
        <v/>
      </c>
      <c r="AY18" t="str">
        <f t="shared" ca="1" si="21"/>
        <v/>
      </c>
      <c r="AZ18" t="str">
        <f t="shared" ca="1" si="22"/>
        <v/>
      </c>
      <c r="BA18" t="str">
        <f ca="1">IF(AZ18="","", "CAST(" &amp; AZ18 &amp; " AS varchar(" &amp; Options!$B$49 &amp; "))")</f>
        <v/>
      </c>
      <c r="BB18" t="str">
        <f t="shared" ca="1" si="23"/>
        <v/>
      </c>
      <c r="BC18" t="str">
        <f t="shared" ca="1" si="41"/>
        <v/>
      </c>
      <c r="BE18" t="str">
        <f t="shared" ca="1" si="24"/>
        <v/>
      </c>
      <c r="BF18" t="str">
        <f t="shared" ca="1" si="25"/>
        <v/>
      </c>
      <c r="BG18" t="str">
        <f t="shared" ca="1" si="26"/>
        <v/>
      </c>
      <c r="BH18" s="285" t="str">
        <f t="shared" ca="1" si="42"/>
        <v/>
      </c>
      <c r="BI18" t="str">
        <f t="shared" ca="1" si="27"/>
        <v/>
      </c>
      <c r="BJ18" t="str">
        <f t="shared" ca="1" si="28"/>
        <v/>
      </c>
      <c r="BK18" t="str">
        <f t="shared" ca="1" si="43"/>
        <v/>
      </c>
      <c r="BL18" t="str">
        <f t="shared" ca="1" si="29"/>
        <v/>
      </c>
      <c r="BM18" t="str">
        <f t="shared" ca="1" si="44"/>
        <v/>
      </c>
      <c r="BN18" t="str">
        <f t="shared" ca="1" si="45"/>
        <v/>
      </c>
      <c r="BO18" t="str">
        <f t="shared" ca="1" si="30"/>
        <v/>
      </c>
      <c r="BP18" t="b">
        <f ca="1">COUNTIF(COLHELPER!A18:'COLHELPER'!A18,COLHELPER!A18)&gt;1</f>
        <v>0</v>
      </c>
      <c r="BQ18">
        <f t="shared" ca="1" si="31"/>
        <v>0</v>
      </c>
      <c r="BR18" s="290" t="str">
        <f t="shared" ca="1" si="48"/>
        <v/>
      </c>
      <c r="BS18" t="str">
        <f t="shared" ca="1" si="33"/>
        <v/>
      </c>
      <c r="BT18" t="str">
        <f t="shared" ca="1" si="46"/>
        <v/>
      </c>
      <c r="BU18" t="str">
        <f t="shared" ca="1" si="34"/>
        <v/>
      </c>
      <c r="BV18">
        <f t="shared" ca="1" si="35"/>
        <v>0</v>
      </c>
      <c r="BW18" t="str">
        <f t="shared" ca="1" si="36"/>
        <v/>
      </c>
      <c r="BX18" t="str">
        <f t="shared" ca="1" si="37"/>
        <v/>
      </c>
      <c r="BY18" t="str">
        <f ca="1">IF(R18="","",IF(R18&gt;Options!$B$3,"ALTER TABLE "&amp;HELPER!$B$4&amp;" ADD COLUMNS ("&amp;A18&amp;" "&amp;C18&amp;")",""))</f>
        <v/>
      </c>
      <c r="BZ18" t="str">
        <f ca="1">IF(R18="","",IF(R18&gt;Options!$B$3,A18,""))</f>
        <v/>
      </c>
      <c r="CA18" t="str">
        <f ca="1">IF(R18="","",IF(R18&gt;Options!$B$3,B18,""))</f>
        <v/>
      </c>
      <c r="CB18" t="str">
        <f t="shared" ca="1" si="38"/>
        <v/>
      </c>
      <c r="CC18">
        <f t="shared" ca="1" si="39"/>
        <v>0</v>
      </c>
      <c r="CD18" t="str">
        <f ca="1">IF(J18="","",Options!$B$23 &amp; "." &amp; J18)</f>
        <v/>
      </c>
    </row>
    <row r="19" spans="1:82">
      <c r="A19" s="161" t="str">
        <f t="array" aca="1" ref="A19" ca="1">IF(TRIM(INDIRECT("Columns!A19")) ="","",TRIM(INDIRECT("Columns!A19")))</f>
        <v/>
      </c>
      <c r="B19" s="161" t="str">
        <f t="shared" ca="1" si="0"/>
        <v/>
      </c>
      <c r="C19" s="161" t="str">
        <f t="shared" ca="1" si="1"/>
        <v/>
      </c>
      <c r="D19" s="161" t="str">
        <f t="shared" ca="1" si="2"/>
        <v/>
      </c>
      <c r="E19" s="161" t="str">
        <f t="array" aca="1" ref="E19" ca="1">IF(TRIM(INDIRECT("Columns!E19"))="","",TRIM(INDIRECT("Columns!E19")))</f>
        <v/>
      </c>
      <c r="F19" s="161" t="str">
        <f t="array" aca="1" ref="F19" ca="1">IF(TRIM(INDIRECT("Columns!G19"))="","",TRIM(INDIRECT("Columns!G19")))</f>
        <v/>
      </c>
      <c r="G19" s="161" t="str">
        <f t="array" aca="1" ref="G19" ca="1">IF(TRIM(INDIRECT("Columns!F19"))="","",TRIM(INDIRECT("Columns!F19")))</f>
        <v/>
      </c>
      <c r="H19" s="161" t="str">
        <f t="array" aca="1" ref="H19" ca="1">IF(TRIM(INDIRECT("Columns!H19"))="","",TRIM(INDIRECT("Columns!H19")))</f>
        <v/>
      </c>
      <c r="I19" s="161" t="str">
        <f t="array" aca="1" ref="I19" ca="1">IF(TRIM(INDIRECT("Columns!I19"))="","",TRIM(INDIRECT("Columns!I19")))</f>
        <v/>
      </c>
      <c r="J19" s="161" t="str">
        <f t="array" aca="1" ref="J19" ca="1">IF(TRIM(INDIRECT("Columns!J19"))="","",TRIM(INDIRECT("Columns!J19")))</f>
        <v/>
      </c>
      <c r="K19" s="161" t="str">
        <f t="array" aca="1" ref="K19" ca="1">IF(TRIM(INDIRECT("Columns!K19"))="","",TRIM(INDIRECT("Columns!K19")))</f>
        <v/>
      </c>
      <c r="L19" s="161" t="str">
        <f t="array" aca="1" ref="L19" ca="1">IF(TRIM(INDIRECT("Columns!L19"))="","",TRIM(INDIRECT("Columns!L19")))</f>
        <v/>
      </c>
      <c r="M19" s="161" t="str">
        <f t="array" aca="1" ref="M19" ca="1">IF(TRIM(INDIRECT("Columns!M19"))="","",TRIM(INDIRECT("Columns!M19")))</f>
        <v/>
      </c>
      <c r="N19" s="161" t="str">
        <f t="array" aca="1" ref="N19" ca="1">IF(TRIM(INDIRECT("Columns!N19"))="","",TRIM(INDIRECT("Columns!N19")))</f>
        <v/>
      </c>
      <c r="O19" s="227" t="str">
        <f t="array" aca="1" ref="O19" ca="1">IF(TRIM(INDIRECT("Columns!B19"))="","",TRIM(INDIRECT("Columns!B19")))</f>
        <v/>
      </c>
      <c r="P19" s="227" t="str">
        <f t="array" aca="1" ref="P19" ca="1">IF(TRIM(INDIRECT("Columns!C19"))="","",TRIM(INDIRECT("Columns!C19")))</f>
        <v/>
      </c>
      <c r="Q19" s="227" t="str">
        <f t="array" aca="1" ref="Q19" ca="1">IF(TRIM(INDIRECT("Columns!D19"))="","",TRIM(INDIRECT("Columns!D19")))</f>
        <v/>
      </c>
      <c r="R19" s="227" t="str">
        <f t="array" aca="1" ref="R19" ca="1">IF(TRIM(INDIRECT("Columns!O19"))="","",TRIM(INDIRECT("Columns!O19")))</f>
        <v/>
      </c>
      <c r="S19" t="str">
        <f t="shared" ca="1" si="3"/>
        <v/>
      </c>
      <c r="T19" t="str">
        <f t="shared" ca="1" si="4"/>
        <v/>
      </c>
      <c r="U19" t="str">
        <f t="shared" ca="1" si="5"/>
        <v/>
      </c>
      <c r="V19" t="str">
        <f t="shared" ca="1" si="6"/>
        <v/>
      </c>
      <c r="W19" t="str">
        <f t="shared" ca="1" si="7"/>
        <v/>
      </c>
      <c r="X19" t="str">
        <f t="shared" ca="1" si="8"/>
        <v/>
      </c>
      <c r="Y19" t="str">
        <f t="shared" ca="1" si="9"/>
        <v/>
      </c>
      <c r="Z19" t="str">
        <f t="shared" ca="1" si="40"/>
        <v/>
      </c>
      <c r="AA19" t="str">
        <f ca="1">IF(E19="1",   IF( A19="","",IF(OR(F19="1",H19="1",I19="1"),"","COALESCE (CAST("&amp;A19&amp;" as varchar(" &amp; Options!$B$49&amp; ")),'')")),"")</f>
        <v/>
      </c>
      <c r="AB19" t="str">
        <f ca="1">IF(E19="1", IF(C19="string",  IF( A19="","",IF(OR(F19="1",H19="1",I19="1"),"","COALESCE (CAST(lower("&amp;A19&amp;") as varchar(" &amp;Options!$B$49 &amp; ")),'')")),AA19),"")</f>
        <v/>
      </c>
      <c r="AC19" t="str">
        <f ca="1">IF(E19="4",   IF( A19="","",IF(OR(F19="1",H19="1",I19="1"),"","COALESCE (CAST("  &amp;A19&amp;" as varchar(" &amp; Options!$B$49&amp; ")),'')")),"")</f>
        <v/>
      </c>
      <c r="AD19" t="str">
        <f ca="1">IF(E19="4",   IF( A19="","",IF(OR(F19="1",H19="1",I19="1"),"","COALESCE (CAST(" &amp; HELPER!$B$94 &amp; "."  &amp;A19&amp;" as varchar(" &amp; Options!$B$49&amp; ")),'')")),"")</f>
        <v/>
      </c>
      <c r="AE19" t="str">
        <f t="shared" ca="1" si="10"/>
        <v/>
      </c>
      <c r="AF19" t="str">
        <f ca="1">IF(AE19&lt;&gt;"", HELPER!$B$93 &amp;  "." &amp; AE19,"")</f>
        <v/>
      </c>
      <c r="AG19" t="str">
        <f ca="1">IF(AE19&lt;&gt;"", HELPER!$B$94 &amp; "." &amp; AE19,"")</f>
        <v/>
      </c>
      <c r="AH19" t="str">
        <f t="shared" ca="1" si="11"/>
        <v/>
      </c>
      <c r="AI19" t="str">
        <f t="shared" ca="1" si="12"/>
        <v/>
      </c>
      <c r="AJ19" t="str">
        <f t="shared" ca="1" si="13"/>
        <v/>
      </c>
      <c r="AK19" t="str">
        <f ca="1">IF(E19="4", HELPER!$B$94 &amp;  "." &amp; A19,"")</f>
        <v/>
      </c>
      <c r="AL19" t="str">
        <f ca="1">IF(E19="4", HELPER!$B$93 &amp;  "." &amp; A19,"")</f>
        <v/>
      </c>
      <c r="AM19" t="str">
        <f t="shared" ca="1" si="14"/>
        <v/>
      </c>
      <c r="AN19" t="str">
        <f t="shared" ca="1" si="15"/>
        <v/>
      </c>
      <c r="AO19" t="str">
        <f ca="1">IF(A19&lt;&gt;"", IF(OR(F19="1",H19="1",I19="1"),""," "&amp; HELPER!$B$94 &amp; "." &amp; A19),"")</f>
        <v/>
      </c>
      <c r="AP19" t="str">
        <f t="shared" ca="1" si="16"/>
        <v/>
      </c>
      <c r="AQ19" t="str">
        <f t="shared" ca="1" si="47"/>
        <v/>
      </c>
      <c r="AS19" t="str">
        <f ca="1">IF(A19="","",  HELPER!$B$94 &amp;  "." &amp; A19)</f>
        <v/>
      </c>
      <c r="AT19" t="str">
        <f t="shared" ca="1" si="17"/>
        <v/>
      </c>
      <c r="AU19" t="str">
        <f t="shared" ca="1" si="18"/>
        <v/>
      </c>
      <c r="AV19" s="190" t="str">
        <f t="shared" ca="1" si="19"/>
        <v/>
      </c>
      <c r="AW19" t="str">
        <f t="shared" ca="1" si="20"/>
        <v/>
      </c>
      <c r="AX19" t="str">
        <f ca="1">IF(J19="","","LEFT JOIN "&amp; Options!$B$23 &amp; "." &amp; J19 &amp; " ON ")</f>
        <v/>
      </c>
      <c r="AY19" t="str">
        <f t="shared" ca="1" si="21"/>
        <v/>
      </c>
      <c r="AZ19" t="str">
        <f t="shared" ca="1" si="22"/>
        <v/>
      </c>
      <c r="BA19" t="str">
        <f ca="1">IF(AZ19="","", "CAST(" &amp; AZ19 &amp; " AS varchar(" &amp; Options!$B$49 &amp; "))")</f>
        <v/>
      </c>
      <c r="BB19" t="str">
        <f t="shared" ca="1" si="23"/>
        <v/>
      </c>
      <c r="BC19" t="str">
        <f t="shared" ca="1" si="41"/>
        <v/>
      </c>
      <c r="BE19" t="str">
        <f t="shared" ca="1" si="24"/>
        <v/>
      </c>
      <c r="BF19" t="str">
        <f t="shared" ca="1" si="25"/>
        <v/>
      </c>
      <c r="BG19" t="str">
        <f t="shared" ca="1" si="26"/>
        <v/>
      </c>
      <c r="BH19" s="285" t="str">
        <f t="shared" ca="1" si="42"/>
        <v/>
      </c>
      <c r="BI19" t="str">
        <f t="shared" ca="1" si="27"/>
        <v/>
      </c>
      <c r="BJ19" t="str">
        <f t="shared" ca="1" si="28"/>
        <v/>
      </c>
      <c r="BK19" t="str">
        <f t="shared" ca="1" si="43"/>
        <v/>
      </c>
      <c r="BL19" t="str">
        <f t="shared" ca="1" si="29"/>
        <v/>
      </c>
      <c r="BM19" t="str">
        <f t="shared" ca="1" si="44"/>
        <v/>
      </c>
      <c r="BN19" t="str">
        <f t="shared" ca="1" si="45"/>
        <v/>
      </c>
      <c r="BO19" t="str">
        <f t="shared" ca="1" si="30"/>
        <v/>
      </c>
      <c r="BP19" t="b">
        <f ca="1">COUNTIF(COLHELPER!A19:'COLHELPER'!A19,COLHELPER!A19)&gt;1</f>
        <v>0</v>
      </c>
      <c r="BQ19">
        <f t="shared" ca="1" si="31"/>
        <v>0</v>
      </c>
      <c r="BR19" s="290" t="str">
        <f t="shared" ca="1" si="48"/>
        <v/>
      </c>
      <c r="BS19" t="str">
        <f t="shared" ca="1" si="33"/>
        <v/>
      </c>
      <c r="BT19" t="str">
        <f t="shared" ca="1" si="46"/>
        <v/>
      </c>
      <c r="BU19" t="str">
        <f t="shared" ca="1" si="34"/>
        <v/>
      </c>
      <c r="BV19">
        <f t="shared" ca="1" si="35"/>
        <v>0</v>
      </c>
      <c r="BW19" t="str">
        <f t="shared" ca="1" si="36"/>
        <v/>
      </c>
      <c r="BX19" t="str">
        <f t="shared" ca="1" si="37"/>
        <v/>
      </c>
      <c r="BY19" t="str">
        <f ca="1">IF(R19="","",IF(R19&gt;Options!$B$3,"ALTER TABLE "&amp;HELPER!$B$4&amp;" ADD COLUMNS ("&amp;A19&amp;" "&amp;C19&amp;")",""))</f>
        <v/>
      </c>
      <c r="BZ19" t="str">
        <f ca="1">IF(R19="","",IF(R19&gt;Options!$B$3,A19,""))</f>
        <v/>
      </c>
      <c r="CA19" t="str">
        <f ca="1">IF(R19="","",IF(R19&gt;Options!$B$3,B19,""))</f>
        <v/>
      </c>
      <c r="CB19" t="str">
        <f t="shared" ca="1" si="38"/>
        <v/>
      </c>
      <c r="CC19">
        <f t="shared" ca="1" si="39"/>
        <v>0</v>
      </c>
      <c r="CD19" t="str">
        <f ca="1">IF(J19="","",Options!$B$23 &amp; "." &amp; J19)</f>
        <v/>
      </c>
    </row>
    <row r="20" spans="1:82">
      <c r="A20" s="161" t="str">
        <f t="array" aca="1" ref="A20" ca="1">IF(TRIM(INDIRECT("Columns!A20")) ="","",TRIM(INDIRECT("Columns!A20")))</f>
        <v/>
      </c>
      <c r="B20" s="161" t="str">
        <f t="shared" ca="1" si="0"/>
        <v/>
      </c>
      <c r="C20" s="161" t="str">
        <f t="shared" ca="1" si="1"/>
        <v/>
      </c>
      <c r="D20" s="161" t="str">
        <f t="shared" ca="1" si="2"/>
        <v/>
      </c>
      <c r="E20" s="161" t="str">
        <f t="array" aca="1" ref="E20" ca="1">IF(TRIM(INDIRECT("Columns!E20"))="","",TRIM(INDIRECT("Columns!E20")))</f>
        <v/>
      </c>
      <c r="F20" s="161" t="str">
        <f t="array" aca="1" ref="F20" ca="1">IF(TRIM(INDIRECT("Columns!G20"))="","",TRIM(INDIRECT("Columns!G20")))</f>
        <v/>
      </c>
      <c r="G20" s="161" t="str">
        <f t="array" aca="1" ref="G20" ca="1">IF(TRIM(INDIRECT("Columns!F20"))="","",TRIM(INDIRECT("Columns!F20")))</f>
        <v/>
      </c>
      <c r="H20" s="161" t="str">
        <f t="array" aca="1" ref="H20" ca="1">IF(TRIM(INDIRECT("Columns!H20"))="","",TRIM(INDIRECT("Columns!H20")))</f>
        <v/>
      </c>
      <c r="I20" s="161" t="str">
        <f t="array" aca="1" ref="I20" ca="1">IF(TRIM(INDIRECT("Columns!I20"))="","",TRIM(INDIRECT("Columns!I20")))</f>
        <v/>
      </c>
      <c r="J20" s="161" t="str">
        <f t="array" aca="1" ref="J20" ca="1">IF(TRIM(INDIRECT("Columns!J20"))="","",TRIM(INDIRECT("Columns!J20")))</f>
        <v/>
      </c>
      <c r="K20" s="161" t="str">
        <f t="array" aca="1" ref="K20" ca="1">IF(TRIM(INDIRECT("Columns!K20"))="","",TRIM(INDIRECT("Columns!K20")))</f>
        <v/>
      </c>
      <c r="L20" s="161" t="str">
        <f t="array" aca="1" ref="L20" ca="1">IF(TRIM(INDIRECT("Columns!L20"))="","",TRIM(INDIRECT("Columns!L20")))</f>
        <v/>
      </c>
      <c r="M20" s="161" t="str">
        <f t="array" aca="1" ref="M20" ca="1">IF(TRIM(INDIRECT("Columns!M20"))="","",TRIM(INDIRECT("Columns!M20")))</f>
        <v/>
      </c>
      <c r="N20" s="161" t="str">
        <f t="array" aca="1" ref="N20" ca="1">IF(TRIM(INDIRECT("Columns!N20"))="","",TRIM(INDIRECT("Columns!N20")))</f>
        <v/>
      </c>
      <c r="O20" s="227" t="str">
        <f t="array" aca="1" ref="O20" ca="1">IF(TRIM(INDIRECT("Columns!B20"))="","",TRIM(INDIRECT("Columns!B20")))</f>
        <v/>
      </c>
      <c r="P20" s="227" t="str">
        <f t="array" aca="1" ref="P20" ca="1">IF(TRIM(INDIRECT("Columns!C20"))="","",TRIM(INDIRECT("Columns!C20")))</f>
        <v/>
      </c>
      <c r="Q20" s="227" t="str">
        <f t="array" aca="1" ref="Q20" ca="1">IF(TRIM(INDIRECT("Columns!D20"))="","",TRIM(INDIRECT("Columns!D20")))</f>
        <v/>
      </c>
      <c r="R20" s="227" t="str">
        <f t="array" aca="1" ref="R20" ca="1">IF(TRIM(INDIRECT("Columns!O20"))="","",TRIM(INDIRECT("Columns!O20")))</f>
        <v/>
      </c>
      <c r="S20" t="str">
        <f t="shared" ca="1" si="3"/>
        <v/>
      </c>
      <c r="T20" t="str">
        <f t="shared" ca="1" si="4"/>
        <v/>
      </c>
      <c r="U20" t="str">
        <f t="shared" ca="1" si="5"/>
        <v/>
      </c>
      <c r="V20" t="str">
        <f t="shared" ca="1" si="6"/>
        <v/>
      </c>
      <c r="W20" t="str">
        <f t="shared" ca="1" si="7"/>
        <v/>
      </c>
      <c r="X20" t="str">
        <f t="shared" ca="1" si="8"/>
        <v/>
      </c>
      <c r="Y20" t="str">
        <f t="shared" ca="1" si="9"/>
        <v/>
      </c>
      <c r="Z20" t="str">
        <f t="shared" ca="1" si="40"/>
        <v/>
      </c>
      <c r="AA20" t="str">
        <f ca="1">IF(E20="1",   IF( A20="","",IF(OR(F20="1",H20="1",I20="1"),"","COALESCE (CAST("&amp;A20&amp;" as varchar(" &amp; Options!$B$49&amp; ")),'')")),"")</f>
        <v/>
      </c>
      <c r="AB20" t="str">
        <f ca="1">IF(E20="1", IF(C20="string",  IF( A20="","",IF(OR(F20="1",H20="1",I20="1"),"","COALESCE (CAST(lower("&amp;A20&amp;") as varchar(" &amp;Options!$B$49 &amp; ")),'')")),AA20),"")</f>
        <v/>
      </c>
      <c r="AC20" t="str">
        <f ca="1">IF(E20="4",   IF( A20="","",IF(OR(F20="1",H20="1",I20="1"),"","COALESCE (CAST("  &amp;A20&amp;" as varchar(" &amp; Options!$B$49&amp; ")),'')")),"")</f>
        <v/>
      </c>
      <c r="AD20" t="str">
        <f ca="1">IF(E20="4",   IF( A20="","",IF(OR(F20="1",H20="1",I20="1"),"","COALESCE (CAST(" &amp; HELPER!$B$94 &amp; "."  &amp;A20&amp;" as varchar(" &amp; Options!$B$49&amp; ")),'')")),"")</f>
        <v/>
      </c>
      <c r="AE20" t="str">
        <f t="shared" ca="1" si="10"/>
        <v/>
      </c>
      <c r="AF20" t="str">
        <f ca="1">IF(AE20&lt;&gt;"", HELPER!$B$93 &amp;  "." &amp; AE20,"")</f>
        <v/>
      </c>
      <c r="AG20" t="str">
        <f ca="1">IF(AE20&lt;&gt;"", HELPER!$B$94 &amp; "." &amp; AE20,"")</f>
        <v/>
      </c>
      <c r="AH20" t="str">
        <f t="shared" ca="1" si="11"/>
        <v/>
      </c>
      <c r="AI20" t="str">
        <f t="shared" ca="1" si="12"/>
        <v/>
      </c>
      <c r="AJ20" t="str">
        <f t="shared" ca="1" si="13"/>
        <v/>
      </c>
      <c r="AK20" t="str">
        <f ca="1">IF(E20="4", HELPER!$B$94 &amp;  "." &amp; A20,"")</f>
        <v/>
      </c>
      <c r="AL20" t="str">
        <f ca="1">IF(E20="4", HELPER!$B$93 &amp;  "." &amp; A20,"")</f>
        <v/>
      </c>
      <c r="AM20" t="str">
        <f t="shared" ca="1" si="14"/>
        <v/>
      </c>
      <c r="AN20" t="str">
        <f t="shared" ca="1" si="15"/>
        <v/>
      </c>
      <c r="AO20" t="str">
        <f ca="1">IF(A20&lt;&gt;"", IF(OR(F20="1",H20="1",I20="1"),""," "&amp; HELPER!$B$94 &amp; "." &amp; A20),"")</f>
        <v/>
      </c>
      <c r="AP20" t="str">
        <f t="shared" ca="1" si="16"/>
        <v/>
      </c>
      <c r="AQ20" t="str">
        <f t="shared" ca="1" si="47"/>
        <v/>
      </c>
      <c r="AS20" t="str">
        <f ca="1">IF(A20="","",  HELPER!$B$94 &amp;  "." &amp; A20)</f>
        <v/>
      </c>
      <c r="AT20" t="str">
        <f t="shared" ca="1" si="17"/>
        <v/>
      </c>
      <c r="AU20" t="str">
        <f t="shared" ca="1" si="18"/>
        <v/>
      </c>
      <c r="AV20" s="190" t="str">
        <f t="shared" ca="1" si="19"/>
        <v/>
      </c>
      <c r="AW20" t="str">
        <f t="shared" ca="1" si="20"/>
        <v/>
      </c>
      <c r="AX20" t="str">
        <f ca="1">IF(J20="","","LEFT JOIN "&amp; Options!$B$23 &amp; "." &amp; J20 &amp; " ON ")</f>
        <v/>
      </c>
      <c r="AY20" t="str">
        <f t="shared" ca="1" si="21"/>
        <v/>
      </c>
      <c r="AZ20" t="str">
        <f t="shared" ca="1" si="22"/>
        <v/>
      </c>
      <c r="BA20" t="str">
        <f ca="1">IF(AZ20="","", "CAST(" &amp; AZ20 &amp; " AS varchar(" &amp; Options!$B$49 &amp; "))")</f>
        <v/>
      </c>
      <c r="BB20" t="str">
        <f t="shared" ca="1" si="23"/>
        <v/>
      </c>
      <c r="BC20" t="str">
        <f t="shared" ca="1" si="41"/>
        <v/>
      </c>
      <c r="BE20" t="str">
        <f t="shared" ca="1" si="24"/>
        <v/>
      </c>
      <c r="BF20" t="str">
        <f t="shared" ca="1" si="25"/>
        <v/>
      </c>
      <c r="BG20" t="str">
        <f t="shared" ca="1" si="26"/>
        <v/>
      </c>
      <c r="BH20" s="285" t="str">
        <f t="shared" ca="1" si="42"/>
        <v/>
      </c>
      <c r="BI20" t="str">
        <f t="shared" ca="1" si="27"/>
        <v/>
      </c>
      <c r="BJ20" t="str">
        <f t="shared" ca="1" si="28"/>
        <v/>
      </c>
      <c r="BK20" t="str">
        <f t="shared" ca="1" si="43"/>
        <v/>
      </c>
      <c r="BL20" t="str">
        <f t="shared" ca="1" si="29"/>
        <v/>
      </c>
      <c r="BM20" t="str">
        <f t="shared" ca="1" si="44"/>
        <v/>
      </c>
      <c r="BN20" t="str">
        <f t="shared" ca="1" si="45"/>
        <v/>
      </c>
      <c r="BO20" t="str">
        <f t="shared" ca="1" si="30"/>
        <v/>
      </c>
      <c r="BP20" t="b">
        <f ca="1">COUNTIF(COLHELPER!A20:'COLHELPER'!A20,COLHELPER!A20)&gt;1</f>
        <v>0</v>
      </c>
      <c r="BQ20">
        <f t="shared" ca="1" si="31"/>
        <v>0</v>
      </c>
      <c r="BR20" s="290" t="str">
        <f t="shared" ca="1" si="48"/>
        <v/>
      </c>
      <c r="BS20" t="str">
        <f t="shared" ca="1" si="33"/>
        <v/>
      </c>
      <c r="BT20" t="str">
        <f t="shared" ca="1" si="46"/>
        <v/>
      </c>
      <c r="BU20" t="str">
        <f t="shared" ca="1" si="34"/>
        <v/>
      </c>
      <c r="BV20">
        <f t="shared" ca="1" si="35"/>
        <v>0</v>
      </c>
      <c r="BW20" t="str">
        <f t="shared" ca="1" si="36"/>
        <v/>
      </c>
      <c r="BX20" t="str">
        <f t="shared" ca="1" si="37"/>
        <v/>
      </c>
      <c r="BY20" t="str">
        <f ca="1">IF(R20="","",IF(R20&gt;Options!$B$3,"ALTER TABLE "&amp;HELPER!$B$4&amp;" ADD COLUMNS ("&amp;A20&amp;" "&amp;C20&amp;")",""))</f>
        <v/>
      </c>
      <c r="BZ20" t="str">
        <f ca="1">IF(R20="","",IF(R20&gt;Options!$B$3,A20,""))</f>
        <v/>
      </c>
      <c r="CA20" t="str">
        <f ca="1">IF(R20="","",IF(R20&gt;Options!$B$3,B20,""))</f>
        <v/>
      </c>
      <c r="CB20" t="str">
        <f t="shared" ca="1" si="38"/>
        <v/>
      </c>
      <c r="CC20">
        <f t="shared" ca="1" si="39"/>
        <v>0</v>
      </c>
      <c r="CD20" t="str">
        <f ca="1">IF(J20="","",Options!$B$23 &amp; "." &amp; J20)</f>
        <v/>
      </c>
    </row>
    <row r="21" spans="1:82">
      <c r="A21" s="161" t="str">
        <f t="array" aca="1" ref="A21" ca="1">IF(TRIM(INDIRECT("Columns!A21")) ="","",TRIM(INDIRECT("Columns!A21")))</f>
        <v/>
      </c>
      <c r="B21" s="161" t="str">
        <f t="shared" ca="1" si="0"/>
        <v/>
      </c>
      <c r="C21" s="161" t="str">
        <f t="shared" ca="1" si="1"/>
        <v/>
      </c>
      <c r="D21" s="161" t="str">
        <f t="shared" ca="1" si="2"/>
        <v/>
      </c>
      <c r="E21" s="161" t="str">
        <f t="array" aca="1" ref="E21" ca="1">IF(TRIM(INDIRECT("Columns!E21"))="","",TRIM(INDIRECT("Columns!E21")))</f>
        <v/>
      </c>
      <c r="F21" s="161" t="str">
        <f t="array" aca="1" ref="F21" ca="1">IF(TRIM(INDIRECT("Columns!G21"))="","",TRIM(INDIRECT("Columns!G21")))</f>
        <v/>
      </c>
      <c r="G21" s="161" t="str">
        <f t="array" aca="1" ref="G21" ca="1">IF(TRIM(INDIRECT("Columns!F21"))="","",TRIM(INDIRECT("Columns!F21")))</f>
        <v/>
      </c>
      <c r="H21" s="161" t="str">
        <f t="array" aca="1" ref="H21" ca="1">IF(TRIM(INDIRECT("Columns!H21"))="","",TRIM(INDIRECT("Columns!H21")))</f>
        <v/>
      </c>
      <c r="I21" s="161" t="str">
        <f t="array" aca="1" ref="I21" ca="1">IF(TRIM(INDIRECT("Columns!I21"))="","",TRIM(INDIRECT("Columns!I21")))</f>
        <v/>
      </c>
      <c r="J21" s="161" t="str">
        <f t="array" aca="1" ref="J21" ca="1">IF(TRIM(INDIRECT("Columns!J21"))="","",TRIM(INDIRECT("Columns!J21")))</f>
        <v/>
      </c>
      <c r="K21" s="161" t="str">
        <f t="array" aca="1" ref="K21" ca="1">IF(TRIM(INDIRECT("Columns!K21"))="","",TRIM(INDIRECT("Columns!K21")))</f>
        <v/>
      </c>
      <c r="L21" s="161" t="str">
        <f t="array" aca="1" ref="L21" ca="1">IF(TRIM(INDIRECT("Columns!L21"))="","",TRIM(INDIRECT("Columns!L21")))</f>
        <v/>
      </c>
      <c r="M21" s="161" t="str">
        <f t="array" aca="1" ref="M21" ca="1">IF(TRIM(INDIRECT("Columns!M21"))="","",TRIM(INDIRECT("Columns!M21")))</f>
        <v/>
      </c>
      <c r="N21" s="161" t="str">
        <f t="array" aca="1" ref="N21" ca="1">IF(TRIM(INDIRECT("Columns!N21"))="","",TRIM(INDIRECT("Columns!N21")))</f>
        <v/>
      </c>
      <c r="O21" s="227" t="str">
        <f t="array" aca="1" ref="O21" ca="1">IF(TRIM(INDIRECT("Columns!B21"))="","",TRIM(INDIRECT("Columns!B21")))</f>
        <v/>
      </c>
      <c r="P21" s="227" t="str">
        <f t="array" aca="1" ref="P21" ca="1">IF(TRIM(INDIRECT("Columns!C21"))="","",TRIM(INDIRECT("Columns!C21")))</f>
        <v/>
      </c>
      <c r="Q21" s="227" t="str">
        <f t="array" aca="1" ref="Q21" ca="1">IF(TRIM(INDIRECT("Columns!D21"))="","",TRIM(INDIRECT("Columns!D21")))</f>
        <v/>
      </c>
      <c r="R21" s="227" t="str">
        <f t="array" aca="1" ref="R21" ca="1">IF(TRIM(INDIRECT("Columns!O21"))="","",TRIM(INDIRECT("Columns!O21")))</f>
        <v/>
      </c>
      <c r="S21" t="str">
        <f t="shared" ca="1" si="3"/>
        <v/>
      </c>
      <c r="T21" t="str">
        <f t="shared" ca="1" si="4"/>
        <v/>
      </c>
      <c r="U21" t="str">
        <f t="shared" ca="1" si="5"/>
        <v/>
      </c>
      <c r="V21" t="str">
        <f t="shared" ca="1" si="6"/>
        <v/>
      </c>
      <c r="W21" t="str">
        <f t="shared" ca="1" si="7"/>
        <v/>
      </c>
      <c r="X21" t="str">
        <f t="shared" ca="1" si="8"/>
        <v/>
      </c>
      <c r="Y21" t="str">
        <f t="shared" ca="1" si="9"/>
        <v/>
      </c>
      <c r="Z21" t="str">
        <f t="shared" ca="1" si="40"/>
        <v/>
      </c>
      <c r="AA21" t="str">
        <f ca="1">IF(E21="1",   IF( A21="","",IF(OR(F21="1",H21="1",I21="1"),"","COALESCE (CAST("&amp;A21&amp;" as varchar(" &amp; Options!$B$49&amp; ")),'')")),"")</f>
        <v/>
      </c>
      <c r="AB21" t="str">
        <f ca="1">IF(E21="1", IF(C21="string",  IF( A21="","",IF(OR(F21="1",H21="1",I21="1"),"","COALESCE (CAST(lower("&amp;A21&amp;") as varchar(" &amp;Options!$B$49 &amp; ")),'')")),AA21),"")</f>
        <v/>
      </c>
      <c r="AC21" t="str">
        <f ca="1">IF(E21="4",   IF( A21="","",IF(OR(F21="1",H21="1",I21="1"),"","COALESCE (CAST("  &amp;A21&amp;" as varchar(" &amp; Options!$B$49&amp; ")),'')")),"")</f>
        <v/>
      </c>
      <c r="AD21" t="str">
        <f ca="1">IF(E21="4",   IF( A21="","",IF(OR(F21="1",H21="1",I21="1"),"","COALESCE (CAST(" &amp; HELPER!$B$94 &amp; "."  &amp;A21&amp;" as varchar(" &amp; Options!$B$49&amp; ")),'')")),"")</f>
        <v/>
      </c>
      <c r="AE21" t="str">
        <f t="shared" ca="1" si="10"/>
        <v/>
      </c>
      <c r="AF21" t="str">
        <f ca="1">IF(AE21&lt;&gt;"", HELPER!$B$93 &amp;  "." &amp; AE21,"")</f>
        <v/>
      </c>
      <c r="AG21" t="str">
        <f ca="1">IF(AE21&lt;&gt;"", HELPER!$B$94 &amp; "." &amp; AE21,"")</f>
        <v/>
      </c>
      <c r="AH21" t="str">
        <f t="shared" ca="1" si="11"/>
        <v/>
      </c>
      <c r="AI21" t="str">
        <f t="shared" ca="1" si="12"/>
        <v/>
      </c>
      <c r="AJ21" t="str">
        <f t="shared" ca="1" si="13"/>
        <v/>
      </c>
      <c r="AK21" t="str">
        <f ca="1">IF(E21="4", HELPER!$B$94 &amp;  "." &amp; A21,"")</f>
        <v/>
      </c>
      <c r="AL21" t="str">
        <f ca="1">IF(E21="4", HELPER!$B$93 &amp;  "." &amp; A21,"")</f>
        <v/>
      </c>
      <c r="AM21" t="str">
        <f t="shared" ca="1" si="14"/>
        <v/>
      </c>
      <c r="AN21" t="str">
        <f t="shared" ca="1" si="15"/>
        <v/>
      </c>
      <c r="AO21" t="str">
        <f ca="1">IF(A21&lt;&gt;"", IF(OR(F21="1",H21="1",I21="1"),""," "&amp; HELPER!$B$94 &amp; "." &amp; A21),"")</f>
        <v/>
      </c>
      <c r="AP21" t="str">
        <f t="shared" ca="1" si="16"/>
        <v/>
      </c>
      <c r="AQ21" t="str">
        <f t="shared" ca="1" si="47"/>
        <v/>
      </c>
      <c r="AS21" t="str">
        <f ca="1">IF(A21="","",  HELPER!$B$94 &amp;  "." &amp; A21)</f>
        <v/>
      </c>
      <c r="AT21" t="str">
        <f t="shared" ca="1" si="17"/>
        <v/>
      </c>
      <c r="AU21" t="str">
        <f t="shared" ca="1" si="18"/>
        <v/>
      </c>
      <c r="AV21" s="190" t="str">
        <f t="shared" ca="1" si="19"/>
        <v/>
      </c>
      <c r="AW21" t="str">
        <f t="shared" ca="1" si="20"/>
        <v/>
      </c>
      <c r="AX21" t="str">
        <f ca="1">IF(J21="","","LEFT JOIN "&amp; Options!$B$23 &amp; "." &amp; J21 &amp; " ON ")</f>
        <v/>
      </c>
      <c r="AY21" t="str">
        <f t="shared" ca="1" si="21"/>
        <v/>
      </c>
      <c r="AZ21" t="str">
        <f t="shared" ca="1" si="22"/>
        <v/>
      </c>
      <c r="BA21" t="str">
        <f ca="1">IF(AZ21="","", "CAST(" &amp; AZ21 &amp; " AS varchar(" &amp; Options!$B$49 &amp; "))")</f>
        <v/>
      </c>
      <c r="BB21" t="str">
        <f t="shared" ca="1" si="23"/>
        <v/>
      </c>
      <c r="BC21" t="str">
        <f t="shared" ca="1" si="41"/>
        <v/>
      </c>
      <c r="BE21" t="str">
        <f t="shared" ca="1" si="24"/>
        <v/>
      </c>
      <c r="BF21" t="str">
        <f t="shared" ca="1" si="25"/>
        <v/>
      </c>
      <c r="BG21" t="str">
        <f t="shared" ca="1" si="26"/>
        <v/>
      </c>
      <c r="BH21" s="285" t="str">
        <f t="shared" ca="1" si="42"/>
        <v/>
      </c>
      <c r="BI21" t="str">
        <f t="shared" ca="1" si="27"/>
        <v/>
      </c>
      <c r="BJ21" t="str">
        <f t="shared" ca="1" si="28"/>
        <v/>
      </c>
      <c r="BK21" t="str">
        <f t="shared" ca="1" si="43"/>
        <v/>
      </c>
      <c r="BL21" t="str">
        <f t="shared" ca="1" si="29"/>
        <v/>
      </c>
      <c r="BM21" t="str">
        <f t="shared" ca="1" si="44"/>
        <v/>
      </c>
      <c r="BN21" t="str">
        <f t="shared" ca="1" si="45"/>
        <v/>
      </c>
      <c r="BO21" t="str">
        <f t="shared" ca="1" si="30"/>
        <v/>
      </c>
      <c r="BP21" t="b">
        <f ca="1">COUNTIF(COLHELPER!A21:'COLHELPER'!A21,COLHELPER!A21)&gt;1</f>
        <v>0</v>
      </c>
      <c r="BQ21">
        <f t="shared" ca="1" si="31"/>
        <v>0</v>
      </c>
      <c r="BR21" s="290" t="str">
        <f t="shared" ca="1" si="48"/>
        <v/>
      </c>
      <c r="BS21" t="str">
        <f t="shared" ca="1" si="33"/>
        <v/>
      </c>
      <c r="BT21" t="str">
        <f t="shared" ca="1" si="46"/>
        <v/>
      </c>
      <c r="BU21" t="str">
        <f t="shared" ca="1" si="34"/>
        <v/>
      </c>
      <c r="BV21">
        <f t="shared" ca="1" si="35"/>
        <v>0</v>
      </c>
      <c r="BW21" t="str">
        <f t="shared" ca="1" si="36"/>
        <v/>
      </c>
      <c r="BX21" t="str">
        <f t="shared" ca="1" si="37"/>
        <v/>
      </c>
      <c r="BY21" t="str">
        <f ca="1">IF(R21="","",IF(R21&gt;Options!$B$3,"ALTER TABLE "&amp;HELPER!$B$4&amp;" ADD COLUMNS ("&amp;A21&amp;" "&amp;C21&amp;")",""))</f>
        <v/>
      </c>
      <c r="BZ21" t="str">
        <f ca="1">IF(R21="","",IF(R21&gt;Options!$B$3,A21,""))</f>
        <v/>
      </c>
      <c r="CA21" t="str">
        <f ca="1">IF(R21="","",IF(R21&gt;Options!$B$3,B21,""))</f>
        <v/>
      </c>
      <c r="CB21" t="str">
        <f t="shared" ca="1" si="38"/>
        <v/>
      </c>
      <c r="CC21">
        <f t="shared" ca="1" si="39"/>
        <v>0</v>
      </c>
      <c r="CD21" t="str">
        <f ca="1">IF(J21="","",Options!$B$23 &amp; "." &amp; J21)</f>
        <v/>
      </c>
    </row>
    <row r="22" spans="1:82">
      <c r="A22" s="161" t="str">
        <f t="array" aca="1" ref="A22" ca="1">IF(TRIM(INDIRECT("Columns!A22")) ="","",TRIM(INDIRECT("Columns!A22")))</f>
        <v/>
      </c>
      <c r="B22" s="161" t="str">
        <f t="shared" ca="1" si="0"/>
        <v/>
      </c>
      <c r="C22" s="161" t="str">
        <f t="shared" ca="1" si="1"/>
        <v/>
      </c>
      <c r="D22" s="161" t="str">
        <f t="shared" ca="1" si="2"/>
        <v/>
      </c>
      <c r="E22" s="161" t="str">
        <f t="array" aca="1" ref="E22" ca="1">IF(TRIM(INDIRECT("Columns!E22"))="","",TRIM(INDIRECT("Columns!E22")))</f>
        <v/>
      </c>
      <c r="F22" s="161" t="str">
        <f t="array" aca="1" ref="F22" ca="1">IF(TRIM(INDIRECT("Columns!G22"))="","",TRIM(INDIRECT("Columns!G22")))</f>
        <v/>
      </c>
      <c r="G22" s="161" t="str">
        <f t="array" aca="1" ref="G22" ca="1">IF(TRIM(INDIRECT("Columns!F22"))="","",TRIM(INDIRECT("Columns!F22")))</f>
        <v/>
      </c>
      <c r="H22" s="161" t="str">
        <f t="array" aca="1" ref="H22" ca="1">IF(TRIM(INDIRECT("Columns!H22"))="","",TRIM(INDIRECT("Columns!H22")))</f>
        <v/>
      </c>
      <c r="I22" s="161" t="str">
        <f t="array" aca="1" ref="I22" ca="1">IF(TRIM(INDIRECT("Columns!I22"))="","",TRIM(INDIRECT("Columns!I22")))</f>
        <v/>
      </c>
      <c r="J22" s="161" t="str">
        <f t="array" aca="1" ref="J22" ca="1">IF(TRIM(INDIRECT("Columns!J22"))="","",TRIM(INDIRECT("Columns!J22")))</f>
        <v/>
      </c>
      <c r="K22" s="161" t="str">
        <f t="array" aca="1" ref="K22" ca="1">IF(TRIM(INDIRECT("Columns!K22"))="","",TRIM(INDIRECT("Columns!K22")))</f>
        <v/>
      </c>
      <c r="L22" s="161" t="str">
        <f t="array" aca="1" ref="L22" ca="1">IF(TRIM(INDIRECT("Columns!L22"))="","",TRIM(INDIRECT("Columns!L22")))</f>
        <v/>
      </c>
      <c r="M22" s="161" t="str">
        <f t="array" aca="1" ref="M22" ca="1">IF(TRIM(INDIRECT("Columns!M22"))="","",TRIM(INDIRECT("Columns!M22")))</f>
        <v/>
      </c>
      <c r="N22" s="161" t="str">
        <f t="array" aca="1" ref="N22" ca="1">IF(TRIM(INDIRECT("Columns!N22"))="","",TRIM(INDIRECT("Columns!N22")))</f>
        <v/>
      </c>
      <c r="O22" s="227" t="str">
        <f t="array" aca="1" ref="O22" ca="1">IF(TRIM(INDIRECT("Columns!B22"))="","",TRIM(INDIRECT("Columns!B22")))</f>
        <v/>
      </c>
      <c r="P22" s="227" t="str">
        <f t="array" aca="1" ref="P22" ca="1">IF(TRIM(INDIRECT("Columns!C22"))="","",TRIM(INDIRECT("Columns!C22")))</f>
        <v/>
      </c>
      <c r="Q22" s="227" t="str">
        <f t="array" aca="1" ref="Q22" ca="1">IF(TRIM(INDIRECT("Columns!D22"))="","",TRIM(INDIRECT("Columns!D22")))</f>
        <v/>
      </c>
      <c r="R22" s="227" t="str">
        <f t="array" aca="1" ref="R22" ca="1">IF(TRIM(INDIRECT("Columns!O22"))="","",TRIM(INDIRECT("Columns!O22")))</f>
        <v/>
      </c>
      <c r="S22" t="str">
        <f t="shared" ca="1" si="3"/>
        <v/>
      </c>
      <c r="T22" t="str">
        <f t="shared" ca="1" si="4"/>
        <v/>
      </c>
      <c r="U22" t="str">
        <f t="shared" ca="1" si="5"/>
        <v/>
      </c>
      <c r="V22" t="str">
        <f t="shared" ca="1" si="6"/>
        <v/>
      </c>
      <c r="W22" t="str">
        <f t="shared" ca="1" si="7"/>
        <v/>
      </c>
      <c r="X22" t="str">
        <f t="shared" ca="1" si="8"/>
        <v/>
      </c>
      <c r="Y22" t="str">
        <f t="shared" ca="1" si="9"/>
        <v/>
      </c>
      <c r="Z22" t="str">
        <f t="shared" ca="1" si="40"/>
        <v/>
      </c>
      <c r="AA22" t="str">
        <f ca="1">IF(E22="1",   IF( A22="","",IF(OR(F22="1",H22="1",I22="1"),"","COALESCE (CAST("&amp;A22&amp;" as varchar(" &amp; Options!$B$49&amp; ")),'')")),"")</f>
        <v/>
      </c>
      <c r="AB22" t="str">
        <f ca="1">IF(E22="1", IF(C22="string",  IF( A22="","",IF(OR(F22="1",H22="1",I22="1"),"","COALESCE (CAST(lower("&amp;A22&amp;") as varchar(" &amp;Options!$B$49 &amp; ")),'')")),AA22),"")</f>
        <v/>
      </c>
      <c r="AC22" t="str">
        <f ca="1">IF(E22="4",   IF( A22="","",IF(OR(F22="1",H22="1",I22="1"),"","COALESCE (CAST("  &amp;A22&amp;" as varchar(" &amp; Options!$B$49&amp; ")),'')")),"")</f>
        <v/>
      </c>
      <c r="AD22" t="str">
        <f ca="1">IF(E22="4",   IF( A22="","",IF(OR(F22="1",H22="1",I22="1"),"","COALESCE (CAST(" &amp; HELPER!$B$94 &amp; "."  &amp;A22&amp;" as varchar(" &amp; Options!$B$49&amp; ")),'')")),"")</f>
        <v/>
      </c>
      <c r="AE22" t="str">
        <f t="shared" ca="1" si="10"/>
        <v/>
      </c>
      <c r="AF22" t="str">
        <f ca="1">IF(AE22&lt;&gt;"", HELPER!$B$93 &amp;  "." &amp; AE22,"")</f>
        <v/>
      </c>
      <c r="AG22" t="str">
        <f ca="1">IF(AE22&lt;&gt;"", HELPER!$B$94 &amp; "." &amp; AE22,"")</f>
        <v/>
      </c>
      <c r="AH22" t="str">
        <f t="shared" ca="1" si="11"/>
        <v/>
      </c>
      <c r="AI22" t="str">
        <f t="shared" ca="1" si="12"/>
        <v/>
      </c>
      <c r="AJ22" t="str">
        <f t="shared" ca="1" si="13"/>
        <v/>
      </c>
      <c r="AK22" t="str">
        <f ca="1">IF(E22="4", HELPER!$B$94 &amp;  "." &amp; A22,"")</f>
        <v/>
      </c>
      <c r="AL22" t="str">
        <f ca="1">IF(E22="4", HELPER!$B$93 &amp;  "." &amp; A22,"")</f>
        <v/>
      </c>
      <c r="AM22" t="str">
        <f t="shared" ca="1" si="14"/>
        <v/>
      </c>
      <c r="AN22" t="str">
        <f t="shared" ca="1" si="15"/>
        <v/>
      </c>
      <c r="AO22" t="str">
        <f ca="1">IF(A22&lt;&gt;"", IF(OR(F22="1",H22="1",I22="1"),""," "&amp; HELPER!$B$94 &amp; "." &amp; A22),"")</f>
        <v/>
      </c>
      <c r="AP22" t="str">
        <f t="shared" ca="1" si="16"/>
        <v/>
      </c>
      <c r="AQ22" t="str">
        <f t="shared" ca="1" si="47"/>
        <v/>
      </c>
      <c r="AS22" t="str">
        <f ca="1">IF(A22="","",  HELPER!$B$94 &amp;  "." &amp; A22)</f>
        <v/>
      </c>
      <c r="AT22" t="str">
        <f t="shared" ca="1" si="17"/>
        <v/>
      </c>
      <c r="AU22" t="str">
        <f t="shared" ca="1" si="18"/>
        <v/>
      </c>
      <c r="AV22" s="190" t="str">
        <f t="shared" ca="1" si="19"/>
        <v/>
      </c>
      <c r="AW22" t="str">
        <f t="shared" ca="1" si="20"/>
        <v/>
      </c>
      <c r="AX22" t="str">
        <f ca="1">IF(J22="","","LEFT JOIN "&amp; Options!$B$23 &amp; "." &amp; J22 &amp; " ON ")</f>
        <v/>
      </c>
      <c r="AY22" t="str">
        <f t="shared" ca="1" si="21"/>
        <v/>
      </c>
      <c r="AZ22" t="str">
        <f t="shared" ca="1" si="22"/>
        <v/>
      </c>
      <c r="BA22" t="str">
        <f ca="1">IF(AZ22="","", "CAST(" &amp; AZ22 &amp; " AS varchar(" &amp; Options!$B$49 &amp; "))")</f>
        <v/>
      </c>
      <c r="BB22" t="str">
        <f t="shared" ca="1" si="23"/>
        <v/>
      </c>
      <c r="BC22" t="str">
        <f t="shared" ca="1" si="41"/>
        <v/>
      </c>
      <c r="BE22" t="str">
        <f t="shared" ca="1" si="24"/>
        <v/>
      </c>
      <c r="BF22" t="str">
        <f t="shared" ca="1" si="25"/>
        <v/>
      </c>
      <c r="BG22" t="str">
        <f t="shared" ca="1" si="26"/>
        <v/>
      </c>
      <c r="BH22" s="285" t="str">
        <f t="shared" ca="1" si="42"/>
        <v/>
      </c>
      <c r="BI22" t="str">
        <f t="shared" ca="1" si="27"/>
        <v/>
      </c>
      <c r="BJ22" t="str">
        <f t="shared" ca="1" si="28"/>
        <v/>
      </c>
      <c r="BK22" t="str">
        <f t="shared" ca="1" si="43"/>
        <v/>
      </c>
      <c r="BL22" t="str">
        <f t="shared" ca="1" si="29"/>
        <v/>
      </c>
      <c r="BM22" t="str">
        <f t="shared" ca="1" si="44"/>
        <v/>
      </c>
      <c r="BN22" t="str">
        <f t="shared" ca="1" si="45"/>
        <v/>
      </c>
      <c r="BO22" t="str">
        <f t="shared" ca="1" si="30"/>
        <v/>
      </c>
      <c r="BP22" t="b">
        <f ca="1">COUNTIF(COLHELPER!A22:'COLHELPER'!A22,COLHELPER!A22)&gt;1</f>
        <v>0</v>
      </c>
      <c r="BQ22">
        <f t="shared" ca="1" si="31"/>
        <v>0</v>
      </c>
      <c r="BR22" s="290" t="str">
        <f t="shared" ca="1" si="48"/>
        <v/>
      </c>
      <c r="BS22" t="str">
        <f t="shared" ca="1" si="33"/>
        <v/>
      </c>
      <c r="BT22" t="str">
        <f t="shared" ca="1" si="46"/>
        <v/>
      </c>
      <c r="BU22" t="str">
        <f t="shared" ca="1" si="34"/>
        <v/>
      </c>
      <c r="BV22">
        <f t="shared" ca="1" si="35"/>
        <v>0</v>
      </c>
      <c r="BW22" t="str">
        <f t="shared" ca="1" si="36"/>
        <v/>
      </c>
      <c r="BX22" t="str">
        <f t="shared" ca="1" si="37"/>
        <v/>
      </c>
      <c r="BY22" t="str">
        <f ca="1">IF(R22="","",IF(R22&gt;Options!$B$3,"ALTER TABLE "&amp;HELPER!$B$4&amp;" ADD COLUMNS ("&amp;A22&amp;" "&amp;C22&amp;")",""))</f>
        <v/>
      </c>
      <c r="BZ22" t="str">
        <f ca="1">IF(R22="","",IF(R22&gt;Options!$B$3,A22,""))</f>
        <v/>
      </c>
      <c r="CA22" t="str">
        <f ca="1">IF(R22="","",IF(R22&gt;Options!$B$3,B22,""))</f>
        <v/>
      </c>
      <c r="CB22" t="str">
        <f t="shared" ca="1" si="38"/>
        <v/>
      </c>
      <c r="CC22">
        <f t="shared" ca="1" si="39"/>
        <v>0</v>
      </c>
      <c r="CD22" t="str">
        <f ca="1">IF(J22="","",Options!$B$23 &amp; "." &amp; J22)</f>
        <v/>
      </c>
    </row>
    <row r="23" spans="1:82">
      <c r="A23" s="161" t="str">
        <f t="array" aca="1" ref="A23" ca="1">IF(TRIM(INDIRECT("Columns!A23")) ="","",TRIM(INDIRECT("Columns!A23")))</f>
        <v/>
      </c>
      <c r="B23" s="161" t="str">
        <f t="shared" ca="1" si="0"/>
        <v/>
      </c>
      <c r="C23" s="161" t="str">
        <f t="shared" ca="1" si="1"/>
        <v/>
      </c>
      <c r="D23" s="161" t="str">
        <f t="shared" ca="1" si="2"/>
        <v/>
      </c>
      <c r="E23" s="161" t="str">
        <f t="array" aca="1" ref="E23" ca="1">IF(TRIM(INDIRECT("Columns!E23"))="","",TRIM(INDIRECT("Columns!E23")))</f>
        <v/>
      </c>
      <c r="F23" s="161" t="str">
        <f t="array" aca="1" ref="F23" ca="1">IF(TRIM(INDIRECT("Columns!G23"))="","",TRIM(INDIRECT("Columns!G23")))</f>
        <v/>
      </c>
      <c r="G23" s="161" t="str">
        <f t="array" aca="1" ref="G23" ca="1">IF(TRIM(INDIRECT("Columns!F23"))="","",TRIM(INDIRECT("Columns!F23")))</f>
        <v/>
      </c>
      <c r="H23" s="161" t="str">
        <f t="array" aca="1" ref="H23" ca="1">IF(TRIM(INDIRECT("Columns!H23"))="","",TRIM(INDIRECT("Columns!H23")))</f>
        <v/>
      </c>
      <c r="I23" s="161" t="str">
        <f t="array" aca="1" ref="I23" ca="1">IF(TRIM(INDIRECT("Columns!I23"))="","",TRIM(INDIRECT("Columns!I23")))</f>
        <v/>
      </c>
      <c r="J23" s="161" t="str">
        <f t="array" aca="1" ref="J23" ca="1">IF(TRIM(INDIRECT("Columns!J23"))="","",TRIM(INDIRECT("Columns!J23")))</f>
        <v/>
      </c>
      <c r="K23" s="161" t="str">
        <f t="array" aca="1" ref="K23" ca="1">IF(TRIM(INDIRECT("Columns!K23"))="","",TRIM(INDIRECT("Columns!K23")))</f>
        <v/>
      </c>
      <c r="L23" s="161" t="str">
        <f t="array" aca="1" ref="L23" ca="1">IF(TRIM(INDIRECT("Columns!L23"))="","",TRIM(INDIRECT("Columns!L23")))</f>
        <v/>
      </c>
      <c r="M23" s="161" t="str">
        <f t="array" aca="1" ref="M23" ca="1">IF(TRIM(INDIRECT("Columns!M23"))="","",TRIM(INDIRECT("Columns!M23")))</f>
        <v/>
      </c>
      <c r="N23" s="161" t="str">
        <f t="array" aca="1" ref="N23" ca="1">IF(TRIM(INDIRECT("Columns!N23"))="","",TRIM(INDIRECT("Columns!N23")))</f>
        <v/>
      </c>
      <c r="O23" s="227" t="str">
        <f t="array" aca="1" ref="O23" ca="1">IF(TRIM(INDIRECT("Columns!B23"))="","",TRIM(INDIRECT("Columns!B23")))</f>
        <v/>
      </c>
      <c r="P23" s="227" t="str">
        <f t="array" aca="1" ref="P23" ca="1">IF(TRIM(INDIRECT("Columns!C23"))="","",TRIM(INDIRECT("Columns!C23")))</f>
        <v/>
      </c>
      <c r="Q23" s="227" t="str">
        <f t="array" aca="1" ref="Q23" ca="1">IF(TRIM(INDIRECT("Columns!D23"))="","",TRIM(INDIRECT("Columns!D23")))</f>
        <v/>
      </c>
      <c r="R23" s="227" t="str">
        <f t="array" aca="1" ref="R23" ca="1">IF(TRIM(INDIRECT("Columns!O23"))="","",TRIM(INDIRECT("Columns!O23")))</f>
        <v/>
      </c>
      <c r="S23" t="str">
        <f t="shared" ca="1" si="3"/>
        <v/>
      </c>
      <c r="T23" t="str">
        <f t="shared" ca="1" si="4"/>
        <v/>
      </c>
      <c r="U23" t="str">
        <f t="shared" ca="1" si="5"/>
        <v/>
      </c>
      <c r="V23" t="str">
        <f t="shared" ca="1" si="6"/>
        <v/>
      </c>
      <c r="W23" t="str">
        <f t="shared" ca="1" si="7"/>
        <v/>
      </c>
      <c r="X23" t="str">
        <f t="shared" ca="1" si="8"/>
        <v/>
      </c>
      <c r="Y23" t="str">
        <f t="shared" ca="1" si="9"/>
        <v/>
      </c>
      <c r="Z23" t="str">
        <f t="shared" ca="1" si="40"/>
        <v/>
      </c>
      <c r="AA23" t="str">
        <f ca="1">IF(E23="1",   IF( A23="","",IF(OR(F23="1",H23="1",I23="1"),"","COALESCE (CAST("&amp;A23&amp;" as varchar(" &amp; Options!$B$49&amp; ")),'')")),"")</f>
        <v/>
      </c>
      <c r="AB23" t="str">
        <f ca="1">IF(E23="1", IF(C23="string",  IF( A23="","",IF(OR(F23="1",H23="1",I23="1"),"","COALESCE (CAST(lower("&amp;A23&amp;") as varchar(" &amp;Options!$B$49 &amp; ")),'')")),AA23),"")</f>
        <v/>
      </c>
      <c r="AC23" t="str">
        <f ca="1">IF(E23="4",   IF( A23="","",IF(OR(F23="1",H23="1",I23="1"),"","COALESCE (CAST("  &amp;A23&amp;" as varchar(" &amp; Options!$B$49&amp; ")),'')")),"")</f>
        <v/>
      </c>
      <c r="AD23" t="str">
        <f ca="1">IF(E23="4",   IF( A23="","",IF(OR(F23="1",H23="1",I23="1"),"","COALESCE (CAST(" &amp; HELPER!$B$94 &amp; "."  &amp;A23&amp;" as varchar(" &amp; Options!$B$49&amp; ")),'')")),"")</f>
        <v/>
      </c>
      <c r="AE23" t="str">
        <f t="shared" ca="1" si="10"/>
        <v/>
      </c>
      <c r="AF23" t="str">
        <f ca="1">IF(AE23&lt;&gt;"", HELPER!$B$93 &amp;  "." &amp; AE23,"")</f>
        <v/>
      </c>
      <c r="AG23" t="str">
        <f ca="1">IF(AE23&lt;&gt;"", HELPER!$B$94 &amp; "." &amp; AE23,"")</f>
        <v/>
      </c>
      <c r="AH23" t="str">
        <f t="shared" ca="1" si="11"/>
        <v/>
      </c>
      <c r="AI23" t="str">
        <f t="shared" ca="1" si="12"/>
        <v/>
      </c>
      <c r="AJ23" t="str">
        <f t="shared" ca="1" si="13"/>
        <v/>
      </c>
      <c r="AK23" t="str">
        <f ca="1">IF(E23="4", HELPER!$B$94 &amp;  "." &amp; A23,"")</f>
        <v/>
      </c>
      <c r="AL23" t="str">
        <f ca="1">IF(E23="4", HELPER!$B$93 &amp;  "." &amp; A23,"")</f>
        <v/>
      </c>
      <c r="AM23" t="str">
        <f t="shared" ca="1" si="14"/>
        <v/>
      </c>
      <c r="AN23" t="str">
        <f t="shared" ca="1" si="15"/>
        <v/>
      </c>
      <c r="AO23" t="str">
        <f ca="1">IF(A23&lt;&gt;"", IF(OR(F23="1",H23="1",I23="1"),""," "&amp; HELPER!$B$94 &amp; "." &amp; A23),"")</f>
        <v/>
      </c>
      <c r="AP23" t="str">
        <f t="shared" ca="1" si="16"/>
        <v/>
      </c>
      <c r="AQ23" t="str">
        <f t="shared" ca="1" si="47"/>
        <v/>
      </c>
      <c r="AS23" t="str">
        <f ca="1">IF(A23="","",  HELPER!$B$94 &amp;  "." &amp; A23)</f>
        <v/>
      </c>
      <c r="AT23" t="str">
        <f t="shared" ca="1" si="17"/>
        <v/>
      </c>
      <c r="AU23" t="str">
        <f t="shared" ca="1" si="18"/>
        <v/>
      </c>
      <c r="AV23" s="190" t="str">
        <f t="shared" ca="1" si="19"/>
        <v/>
      </c>
      <c r="AW23" t="str">
        <f t="shared" ca="1" si="20"/>
        <v/>
      </c>
      <c r="AX23" t="str">
        <f ca="1">IF(J23="","","LEFT JOIN "&amp; Options!$B$23 &amp; "." &amp; J23 &amp; " ON ")</f>
        <v/>
      </c>
      <c r="AY23" t="str">
        <f t="shared" ca="1" si="21"/>
        <v/>
      </c>
      <c r="AZ23" t="str">
        <f t="shared" ca="1" si="22"/>
        <v/>
      </c>
      <c r="BA23" t="str">
        <f ca="1">IF(AZ23="","", "CAST(" &amp; AZ23 &amp; " AS varchar(" &amp; Options!$B$49 &amp; "))")</f>
        <v/>
      </c>
      <c r="BB23" t="str">
        <f t="shared" ca="1" si="23"/>
        <v/>
      </c>
      <c r="BC23" t="str">
        <f t="shared" ca="1" si="41"/>
        <v/>
      </c>
      <c r="BE23" t="str">
        <f t="shared" ca="1" si="24"/>
        <v/>
      </c>
      <c r="BF23" t="str">
        <f t="shared" ca="1" si="25"/>
        <v/>
      </c>
      <c r="BG23" t="str">
        <f t="shared" ca="1" si="26"/>
        <v/>
      </c>
      <c r="BH23" s="285" t="str">
        <f t="shared" ca="1" si="42"/>
        <v/>
      </c>
      <c r="BI23" t="str">
        <f t="shared" ca="1" si="27"/>
        <v/>
      </c>
      <c r="BJ23" t="str">
        <f t="shared" ca="1" si="28"/>
        <v/>
      </c>
      <c r="BK23" t="str">
        <f t="shared" ca="1" si="43"/>
        <v/>
      </c>
      <c r="BL23" t="str">
        <f t="shared" ca="1" si="29"/>
        <v/>
      </c>
      <c r="BM23" t="str">
        <f t="shared" ca="1" si="44"/>
        <v/>
      </c>
      <c r="BN23" t="str">
        <f t="shared" ca="1" si="45"/>
        <v/>
      </c>
      <c r="BO23" t="str">
        <f t="shared" ca="1" si="30"/>
        <v/>
      </c>
      <c r="BP23" t="b">
        <f ca="1">COUNTIF(COLHELPER!A23:'COLHELPER'!A23,COLHELPER!A23)&gt;1</f>
        <v>0</v>
      </c>
      <c r="BQ23">
        <f t="shared" ca="1" si="31"/>
        <v>0</v>
      </c>
      <c r="BR23" s="290" t="str">
        <f t="shared" ca="1" si="48"/>
        <v/>
      </c>
      <c r="BS23" t="str">
        <f t="shared" ca="1" si="33"/>
        <v/>
      </c>
      <c r="BT23" t="str">
        <f t="shared" ca="1" si="46"/>
        <v/>
      </c>
      <c r="BU23" t="str">
        <f t="shared" ca="1" si="34"/>
        <v/>
      </c>
      <c r="BV23">
        <f t="shared" ca="1" si="35"/>
        <v>0</v>
      </c>
      <c r="BW23" t="str">
        <f t="shared" ca="1" si="36"/>
        <v/>
      </c>
      <c r="BX23" t="str">
        <f t="shared" ca="1" si="37"/>
        <v/>
      </c>
      <c r="BY23" t="str">
        <f ca="1">IF(R23="","",IF(R23&gt;Options!$B$3,"ALTER TABLE "&amp;HELPER!$B$4&amp;" ADD COLUMNS ("&amp;A23&amp;" "&amp;C23&amp;")",""))</f>
        <v/>
      </c>
      <c r="BZ23" t="str">
        <f ca="1">IF(R23="","",IF(R23&gt;Options!$B$3,A23,""))</f>
        <v/>
      </c>
      <c r="CA23" t="str">
        <f ca="1">IF(R23="","",IF(R23&gt;Options!$B$3,B23,""))</f>
        <v/>
      </c>
      <c r="CB23" t="str">
        <f t="shared" ca="1" si="38"/>
        <v/>
      </c>
      <c r="CC23">
        <f t="shared" ca="1" si="39"/>
        <v>0</v>
      </c>
      <c r="CD23" t="str">
        <f ca="1">IF(J23="","",Options!$B$23 &amp; "." &amp; J23)</f>
        <v/>
      </c>
    </row>
    <row r="24" spans="1:82">
      <c r="A24" s="161" t="str">
        <f t="array" aca="1" ref="A24" ca="1">IF(TRIM(INDIRECT("Columns!A24")) ="","",TRIM(INDIRECT("Columns!A24")))</f>
        <v/>
      </c>
      <c r="B24" s="161" t="str">
        <f t="shared" ca="1" si="0"/>
        <v/>
      </c>
      <c r="C24" s="161" t="str">
        <f t="shared" ca="1" si="1"/>
        <v/>
      </c>
      <c r="D24" s="161" t="str">
        <f t="shared" ca="1" si="2"/>
        <v/>
      </c>
      <c r="E24" s="161" t="str">
        <f t="array" aca="1" ref="E24" ca="1">IF(TRIM(INDIRECT("Columns!E24"))="","",TRIM(INDIRECT("Columns!E24")))</f>
        <v/>
      </c>
      <c r="F24" s="161" t="str">
        <f t="array" aca="1" ref="F24" ca="1">IF(TRIM(INDIRECT("Columns!G24"))="","",TRIM(INDIRECT("Columns!G24")))</f>
        <v/>
      </c>
      <c r="G24" s="161" t="str">
        <f t="array" aca="1" ref="G24" ca="1">IF(TRIM(INDIRECT("Columns!F24"))="","",TRIM(INDIRECT("Columns!F24")))</f>
        <v/>
      </c>
      <c r="H24" s="161" t="str">
        <f t="array" aca="1" ref="H24" ca="1">IF(TRIM(INDIRECT("Columns!H24"))="","",TRIM(INDIRECT("Columns!H24")))</f>
        <v/>
      </c>
      <c r="I24" s="161" t="str">
        <f t="array" aca="1" ref="I24" ca="1">IF(TRIM(INDIRECT("Columns!I24"))="","",TRIM(INDIRECT("Columns!I24")))</f>
        <v/>
      </c>
      <c r="J24" s="161" t="str">
        <f t="array" aca="1" ref="J24" ca="1">IF(TRIM(INDIRECT("Columns!J24"))="","",TRIM(INDIRECT("Columns!J24")))</f>
        <v/>
      </c>
      <c r="K24" s="161" t="str">
        <f t="array" aca="1" ref="K24" ca="1">IF(TRIM(INDIRECT("Columns!K24"))="","",TRIM(INDIRECT("Columns!K24")))</f>
        <v/>
      </c>
      <c r="L24" s="161" t="str">
        <f t="array" aca="1" ref="L24" ca="1">IF(TRIM(INDIRECT("Columns!L24"))="","",TRIM(INDIRECT("Columns!L24")))</f>
        <v/>
      </c>
      <c r="M24" s="161" t="str">
        <f t="array" aca="1" ref="M24" ca="1">IF(TRIM(INDIRECT("Columns!M24"))="","",TRIM(INDIRECT("Columns!M24")))</f>
        <v/>
      </c>
      <c r="N24" s="161" t="str">
        <f t="array" aca="1" ref="N24" ca="1">IF(TRIM(INDIRECT("Columns!N24"))="","",TRIM(INDIRECT("Columns!N24")))</f>
        <v/>
      </c>
      <c r="O24" s="227" t="str">
        <f t="array" aca="1" ref="O24" ca="1">IF(TRIM(INDIRECT("Columns!B24"))="","",TRIM(INDIRECT("Columns!B24")))</f>
        <v/>
      </c>
      <c r="P24" s="227" t="str">
        <f t="array" aca="1" ref="P24" ca="1">IF(TRIM(INDIRECT("Columns!C24"))="","",TRIM(INDIRECT("Columns!C24")))</f>
        <v/>
      </c>
      <c r="Q24" s="227" t="str">
        <f t="array" aca="1" ref="Q24" ca="1">IF(TRIM(INDIRECT("Columns!D24"))="","",TRIM(INDIRECT("Columns!D24")))</f>
        <v/>
      </c>
      <c r="R24" s="227" t="str">
        <f t="array" aca="1" ref="R24" ca="1">IF(TRIM(INDIRECT("Columns!O24"))="","",TRIM(INDIRECT("Columns!O24")))</f>
        <v/>
      </c>
      <c r="S24" t="str">
        <f t="shared" ca="1" si="3"/>
        <v/>
      </c>
      <c r="T24" t="str">
        <f t="shared" ca="1" si="4"/>
        <v/>
      </c>
      <c r="U24" t="str">
        <f t="shared" ca="1" si="5"/>
        <v/>
      </c>
      <c r="V24" t="str">
        <f t="shared" ca="1" si="6"/>
        <v/>
      </c>
      <c r="W24" t="str">
        <f t="shared" ca="1" si="7"/>
        <v/>
      </c>
      <c r="X24" t="str">
        <f t="shared" ca="1" si="8"/>
        <v/>
      </c>
      <c r="Y24" t="str">
        <f t="shared" ca="1" si="9"/>
        <v/>
      </c>
      <c r="Z24" t="str">
        <f t="shared" ca="1" si="40"/>
        <v/>
      </c>
      <c r="AA24" t="str">
        <f ca="1">IF(E24="1",   IF( A24="","",IF(OR(F24="1",H24="1",I24="1"),"","COALESCE (CAST("&amp;A24&amp;" as varchar(" &amp; Options!$B$49&amp; ")),'')")),"")</f>
        <v/>
      </c>
      <c r="AB24" t="str">
        <f ca="1">IF(E24="1", IF(C24="string",  IF( A24="","",IF(OR(F24="1",H24="1",I24="1"),"","COALESCE (CAST(lower("&amp;A24&amp;") as varchar(" &amp;Options!$B$49 &amp; ")),'')")),AA24),"")</f>
        <v/>
      </c>
      <c r="AC24" t="str">
        <f ca="1">IF(E24="4",   IF( A24="","",IF(OR(F24="1",H24="1",I24="1"),"","COALESCE (CAST("  &amp;A24&amp;" as varchar(" &amp; Options!$B$49&amp; ")),'')")),"")</f>
        <v/>
      </c>
      <c r="AD24" t="str">
        <f ca="1">IF(E24="4",   IF( A24="","",IF(OR(F24="1",H24="1",I24="1"),"","COALESCE (CAST(" &amp; HELPER!$B$94 &amp; "."  &amp;A24&amp;" as varchar(" &amp; Options!$B$49&amp; ")),'')")),"")</f>
        <v/>
      </c>
      <c r="AE24" t="str">
        <f t="shared" ca="1" si="10"/>
        <v/>
      </c>
      <c r="AF24" t="str">
        <f ca="1">IF(AE24&lt;&gt;"", HELPER!$B$93 &amp;  "." &amp; AE24,"")</f>
        <v/>
      </c>
      <c r="AG24" t="str">
        <f ca="1">IF(AE24&lt;&gt;"", HELPER!$B$94 &amp; "." &amp; AE24,"")</f>
        <v/>
      </c>
      <c r="AH24" t="str">
        <f t="shared" ca="1" si="11"/>
        <v/>
      </c>
      <c r="AI24" t="str">
        <f t="shared" ca="1" si="12"/>
        <v/>
      </c>
      <c r="AJ24" t="str">
        <f t="shared" ca="1" si="13"/>
        <v/>
      </c>
      <c r="AK24" t="str">
        <f ca="1">IF(E24="4", HELPER!$B$94 &amp;  "." &amp; A24,"")</f>
        <v/>
      </c>
      <c r="AL24" t="str">
        <f ca="1">IF(E24="4", HELPER!$B$93 &amp;  "." &amp; A24,"")</f>
        <v/>
      </c>
      <c r="AM24" t="str">
        <f t="shared" ca="1" si="14"/>
        <v/>
      </c>
      <c r="AN24" t="str">
        <f t="shared" ca="1" si="15"/>
        <v/>
      </c>
      <c r="AO24" t="str">
        <f ca="1">IF(A24&lt;&gt;"", IF(OR(F24="1",H24="1",I24="1"),""," "&amp; HELPER!$B$94 &amp; "." &amp; A24),"")</f>
        <v/>
      </c>
      <c r="AP24" t="str">
        <f t="shared" ca="1" si="16"/>
        <v/>
      </c>
      <c r="AQ24" t="str">
        <f t="shared" ca="1" si="47"/>
        <v/>
      </c>
      <c r="AS24" t="str">
        <f ca="1">IF(A24="","",  HELPER!$B$94 &amp;  "." &amp; A24)</f>
        <v/>
      </c>
      <c r="AT24" t="str">
        <f t="shared" ca="1" si="17"/>
        <v/>
      </c>
      <c r="AU24" t="str">
        <f t="shared" ca="1" si="18"/>
        <v/>
      </c>
      <c r="AV24" s="190" t="str">
        <f t="shared" ca="1" si="19"/>
        <v/>
      </c>
      <c r="AW24" t="str">
        <f t="shared" ca="1" si="20"/>
        <v/>
      </c>
      <c r="AX24" t="str">
        <f ca="1">IF(J24="","","LEFT JOIN "&amp; Options!$B$23 &amp; "." &amp; J24 &amp; " ON ")</f>
        <v/>
      </c>
      <c r="AY24" t="str">
        <f t="shared" ca="1" si="21"/>
        <v/>
      </c>
      <c r="AZ24" t="str">
        <f t="shared" ca="1" si="22"/>
        <v/>
      </c>
      <c r="BA24" t="str">
        <f ca="1">IF(AZ24="","", "CAST(" &amp; AZ24 &amp; " AS varchar(" &amp; Options!$B$49 &amp; "))")</f>
        <v/>
      </c>
      <c r="BB24" t="str">
        <f t="shared" ca="1" si="23"/>
        <v/>
      </c>
      <c r="BC24" t="str">
        <f t="shared" ca="1" si="41"/>
        <v/>
      </c>
      <c r="BE24" t="str">
        <f t="shared" ca="1" si="24"/>
        <v/>
      </c>
      <c r="BF24" t="str">
        <f t="shared" ca="1" si="25"/>
        <v/>
      </c>
      <c r="BG24" t="str">
        <f t="shared" ca="1" si="26"/>
        <v/>
      </c>
      <c r="BH24" s="285" t="str">
        <f t="shared" ca="1" si="42"/>
        <v/>
      </c>
      <c r="BI24" t="str">
        <f t="shared" ca="1" si="27"/>
        <v/>
      </c>
      <c r="BJ24" t="str">
        <f t="shared" ca="1" si="28"/>
        <v/>
      </c>
      <c r="BK24" t="str">
        <f t="shared" ca="1" si="43"/>
        <v/>
      </c>
      <c r="BL24" t="str">
        <f t="shared" ca="1" si="29"/>
        <v/>
      </c>
      <c r="BM24" t="str">
        <f t="shared" ca="1" si="44"/>
        <v/>
      </c>
      <c r="BN24" t="str">
        <f t="shared" ca="1" si="45"/>
        <v/>
      </c>
      <c r="BO24" t="str">
        <f t="shared" ca="1" si="30"/>
        <v/>
      </c>
      <c r="BP24" t="b">
        <f ca="1">COUNTIF(COLHELPER!A24:'COLHELPER'!A24,COLHELPER!A24)&gt;1</f>
        <v>0</v>
      </c>
      <c r="BQ24">
        <f t="shared" ca="1" si="31"/>
        <v>0</v>
      </c>
      <c r="BR24" s="290" t="str">
        <f t="shared" ca="1" si="48"/>
        <v/>
      </c>
      <c r="BS24" t="str">
        <f t="shared" ca="1" si="33"/>
        <v/>
      </c>
      <c r="BT24" t="str">
        <f t="shared" ca="1" si="46"/>
        <v/>
      </c>
      <c r="BU24" t="str">
        <f t="shared" ca="1" si="34"/>
        <v/>
      </c>
      <c r="BV24">
        <f t="shared" ca="1" si="35"/>
        <v>0</v>
      </c>
      <c r="BW24" t="str">
        <f t="shared" ca="1" si="36"/>
        <v/>
      </c>
      <c r="BX24" t="str">
        <f t="shared" ca="1" si="37"/>
        <v/>
      </c>
      <c r="BY24" t="str">
        <f ca="1">IF(R24="","",IF(R24&gt;Options!$B$3,"ALTER TABLE "&amp;HELPER!$B$4&amp;" ADD COLUMNS ("&amp;A24&amp;" "&amp;C24&amp;")",""))</f>
        <v/>
      </c>
      <c r="BZ24" t="str">
        <f ca="1">IF(R24="","",IF(R24&gt;Options!$B$3,A24,""))</f>
        <v/>
      </c>
      <c r="CA24" t="str">
        <f ca="1">IF(R24="","",IF(R24&gt;Options!$B$3,B24,""))</f>
        <v/>
      </c>
      <c r="CB24" t="str">
        <f t="shared" ca="1" si="38"/>
        <v/>
      </c>
      <c r="CC24">
        <f t="shared" ca="1" si="39"/>
        <v>0</v>
      </c>
      <c r="CD24" t="str">
        <f ca="1">IF(J24="","",Options!$B$23 &amp; "." &amp; J24)</f>
        <v/>
      </c>
    </row>
    <row r="25" spans="1:82">
      <c r="A25" s="161" t="str">
        <f t="array" aca="1" ref="A25" ca="1">IF(TRIM(INDIRECT("Columns!A25")) ="","",TRIM(INDIRECT("Columns!A25")))</f>
        <v/>
      </c>
      <c r="B25" s="161" t="str">
        <f t="shared" ca="1" si="0"/>
        <v/>
      </c>
      <c r="C25" s="161" t="str">
        <f t="shared" ca="1" si="1"/>
        <v/>
      </c>
      <c r="D25" s="161" t="str">
        <f t="shared" ca="1" si="2"/>
        <v/>
      </c>
      <c r="E25" s="161" t="str">
        <f t="array" aca="1" ref="E25" ca="1">IF(TRIM(INDIRECT("Columns!E25"))="","",TRIM(INDIRECT("Columns!E25")))</f>
        <v/>
      </c>
      <c r="F25" s="161" t="str">
        <f t="array" aca="1" ref="F25" ca="1">IF(TRIM(INDIRECT("Columns!G25"))="","",TRIM(INDIRECT("Columns!G25")))</f>
        <v/>
      </c>
      <c r="G25" s="161" t="str">
        <f t="array" aca="1" ref="G25" ca="1">IF(TRIM(INDIRECT("Columns!F25"))="","",TRIM(INDIRECT("Columns!F25")))</f>
        <v/>
      </c>
      <c r="H25" s="161" t="str">
        <f t="array" aca="1" ref="H25" ca="1">IF(TRIM(INDIRECT("Columns!H25"))="","",TRIM(INDIRECT("Columns!H25")))</f>
        <v/>
      </c>
      <c r="I25" s="161" t="str">
        <f t="array" aca="1" ref="I25" ca="1">IF(TRIM(INDIRECT("Columns!I25"))="","",TRIM(INDIRECT("Columns!I25")))</f>
        <v/>
      </c>
      <c r="J25" s="161" t="str">
        <f t="array" aca="1" ref="J25" ca="1">IF(TRIM(INDIRECT("Columns!J25"))="","",TRIM(INDIRECT("Columns!J25")))</f>
        <v/>
      </c>
      <c r="K25" s="161" t="str">
        <f t="array" aca="1" ref="K25" ca="1">IF(TRIM(INDIRECT("Columns!K25"))="","",TRIM(INDIRECT("Columns!K25")))</f>
        <v/>
      </c>
      <c r="L25" s="161" t="str">
        <f t="array" aca="1" ref="L25" ca="1">IF(TRIM(INDIRECT("Columns!L25"))="","",TRIM(INDIRECT("Columns!L25")))</f>
        <v/>
      </c>
      <c r="M25" s="161" t="str">
        <f t="array" aca="1" ref="M25" ca="1">IF(TRIM(INDIRECT("Columns!M25"))="","",TRIM(INDIRECT("Columns!M25")))</f>
        <v/>
      </c>
      <c r="N25" s="161" t="str">
        <f t="array" aca="1" ref="N25" ca="1">IF(TRIM(INDIRECT("Columns!N25"))="","",TRIM(INDIRECT("Columns!N25")))</f>
        <v/>
      </c>
      <c r="O25" s="227" t="str">
        <f t="array" aca="1" ref="O25" ca="1">IF(TRIM(INDIRECT("Columns!B25"))="","",TRIM(INDIRECT("Columns!B25")))</f>
        <v/>
      </c>
      <c r="P25" s="227" t="str">
        <f t="array" aca="1" ref="P25" ca="1">IF(TRIM(INDIRECT("Columns!C25"))="","",TRIM(INDIRECT("Columns!C25")))</f>
        <v/>
      </c>
      <c r="Q25" s="227" t="str">
        <f t="array" aca="1" ref="Q25" ca="1">IF(TRIM(INDIRECT("Columns!D25"))="","",TRIM(INDIRECT("Columns!D25")))</f>
        <v/>
      </c>
      <c r="R25" s="227" t="str">
        <f t="array" aca="1" ref="R25" ca="1">IF(TRIM(INDIRECT("Columns!O25"))="","",TRIM(INDIRECT("Columns!O25")))</f>
        <v/>
      </c>
      <c r="S25" t="str">
        <f t="shared" ca="1" si="3"/>
        <v/>
      </c>
      <c r="T25" t="str">
        <f t="shared" ca="1" si="4"/>
        <v/>
      </c>
      <c r="U25" t="str">
        <f t="shared" ca="1" si="5"/>
        <v/>
      </c>
      <c r="V25" t="str">
        <f t="shared" ca="1" si="6"/>
        <v/>
      </c>
      <c r="W25" t="str">
        <f t="shared" ca="1" si="7"/>
        <v/>
      </c>
      <c r="X25" t="str">
        <f t="shared" ca="1" si="8"/>
        <v/>
      </c>
      <c r="Y25" t="str">
        <f t="shared" ca="1" si="9"/>
        <v/>
      </c>
      <c r="Z25" t="str">
        <f t="shared" ca="1" si="40"/>
        <v/>
      </c>
      <c r="AA25" t="str">
        <f ca="1">IF(E25="1",   IF( A25="","",IF(OR(F25="1",H25="1",I25="1"),"","COALESCE (CAST("&amp;A25&amp;" as varchar(" &amp; Options!$B$49&amp; ")),'')")),"")</f>
        <v/>
      </c>
      <c r="AB25" t="str">
        <f ca="1">IF(E25="1", IF(C25="string",  IF( A25="","",IF(OR(F25="1",H25="1",I25="1"),"","COALESCE (CAST(lower("&amp;A25&amp;") as varchar(" &amp;Options!$B$49 &amp; ")),'')")),AA25),"")</f>
        <v/>
      </c>
      <c r="AC25" t="str">
        <f ca="1">IF(E25="4",   IF( A25="","",IF(OR(F25="1",H25="1",I25="1"),"","COALESCE (CAST("  &amp;A25&amp;" as varchar(" &amp; Options!$B$49&amp; ")),'')")),"")</f>
        <v/>
      </c>
      <c r="AD25" t="str">
        <f ca="1">IF(E25="4",   IF( A25="","",IF(OR(F25="1",H25="1",I25="1"),"","COALESCE (CAST(" &amp; HELPER!$B$94 &amp; "."  &amp;A25&amp;" as varchar(" &amp; Options!$B$49&amp; ")),'')")),"")</f>
        <v/>
      </c>
      <c r="AE25" t="str">
        <f t="shared" ca="1" si="10"/>
        <v/>
      </c>
      <c r="AF25" t="str">
        <f ca="1">IF(AE25&lt;&gt;"", HELPER!$B$93 &amp;  "." &amp; AE25,"")</f>
        <v/>
      </c>
      <c r="AG25" t="str">
        <f ca="1">IF(AE25&lt;&gt;"", HELPER!$B$94 &amp; "." &amp; AE25,"")</f>
        <v/>
      </c>
      <c r="AH25" t="str">
        <f t="shared" ca="1" si="11"/>
        <v/>
      </c>
      <c r="AI25" t="str">
        <f t="shared" ca="1" si="12"/>
        <v/>
      </c>
      <c r="AJ25" t="str">
        <f t="shared" ca="1" si="13"/>
        <v/>
      </c>
      <c r="AK25" t="str">
        <f ca="1">IF(E25="4", HELPER!$B$94 &amp;  "." &amp; A25,"")</f>
        <v/>
      </c>
      <c r="AL25" t="str">
        <f ca="1">IF(E25="4", HELPER!$B$93 &amp;  "." &amp; A25,"")</f>
        <v/>
      </c>
      <c r="AM25" t="str">
        <f t="shared" ca="1" si="14"/>
        <v/>
      </c>
      <c r="AN25" t="str">
        <f t="shared" ca="1" si="15"/>
        <v/>
      </c>
      <c r="AO25" t="str">
        <f ca="1">IF(A25&lt;&gt;"", IF(OR(F25="1",H25="1",I25="1"),""," "&amp; HELPER!$B$94 &amp; "." &amp; A25),"")</f>
        <v/>
      </c>
      <c r="AP25" t="str">
        <f t="shared" ca="1" si="16"/>
        <v/>
      </c>
      <c r="AQ25" t="str">
        <f t="shared" ca="1" si="47"/>
        <v/>
      </c>
      <c r="AS25" t="str">
        <f ca="1">IF(A25="","",  HELPER!$B$94 &amp;  "." &amp; A25)</f>
        <v/>
      </c>
      <c r="AT25" t="str">
        <f t="shared" ca="1" si="17"/>
        <v/>
      </c>
      <c r="AU25" t="str">
        <f t="shared" ca="1" si="18"/>
        <v/>
      </c>
      <c r="AV25" s="190" t="str">
        <f t="shared" ca="1" si="19"/>
        <v/>
      </c>
      <c r="AW25" t="str">
        <f t="shared" ca="1" si="20"/>
        <v/>
      </c>
      <c r="AX25" t="str">
        <f ca="1">IF(J25="","","LEFT JOIN "&amp; Options!$B$23 &amp; "." &amp; J25 &amp; " ON ")</f>
        <v/>
      </c>
      <c r="AY25" t="str">
        <f t="shared" ca="1" si="21"/>
        <v/>
      </c>
      <c r="AZ25" t="str">
        <f t="shared" ca="1" si="22"/>
        <v/>
      </c>
      <c r="BA25" t="str">
        <f ca="1">IF(AZ25="","", "CAST(" &amp; AZ25 &amp; " AS varchar(" &amp; Options!$B$49 &amp; "))")</f>
        <v/>
      </c>
      <c r="BB25" t="str">
        <f t="shared" ca="1" si="23"/>
        <v/>
      </c>
      <c r="BC25" t="str">
        <f t="shared" ca="1" si="41"/>
        <v/>
      </c>
      <c r="BE25" t="str">
        <f t="shared" ca="1" si="24"/>
        <v/>
      </c>
      <c r="BF25" t="str">
        <f t="shared" ca="1" si="25"/>
        <v/>
      </c>
      <c r="BG25" t="str">
        <f t="shared" ca="1" si="26"/>
        <v/>
      </c>
      <c r="BH25" s="285" t="str">
        <f t="shared" ca="1" si="42"/>
        <v/>
      </c>
      <c r="BI25" t="str">
        <f t="shared" ca="1" si="27"/>
        <v/>
      </c>
      <c r="BJ25" t="str">
        <f t="shared" ca="1" si="28"/>
        <v/>
      </c>
      <c r="BK25" t="str">
        <f t="shared" ca="1" si="43"/>
        <v/>
      </c>
      <c r="BL25" t="str">
        <f t="shared" ca="1" si="29"/>
        <v/>
      </c>
      <c r="BM25" t="str">
        <f t="shared" ca="1" si="44"/>
        <v/>
      </c>
      <c r="BN25" t="str">
        <f t="shared" ca="1" si="45"/>
        <v/>
      </c>
      <c r="BO25" t="str">
        <f t="shared" ca="1" si="30"/>
        <v/>
      </c>
      <c r="BP25" t="b">
        <f ca="1">COUNTIF(COLHELPER!A25:'COLHELPER'!A25,COLHELPER!A25)&gt;1</f>
        <v>0</v>
      </c>
      <c r="BQ25">
        <f t="shared" ca="1" si="31"/>
        <v>0</v>
      </c>
      <c r="BR25" s="290" t="str">
        <f t="shared" ca="1" si="48"/>
        <v/>
      </c>
      <c r="BS25" t="str">
        <f t="shared" ca="1" si="33"/>
        <v/>
      </c>
      <c r="BT25" t="str">
        <f t="shared" ca="1" si="46"/>
        <v/>
      </c>
      <c r="BU25" t="str">
        <f t="shared" ca="1" si="34"/>
        <v/>
      </c>
      <c r="BV25">
        <f t="shared" ca="1" si="35"/>
        <v>0</v>
      </c>
      <c r="BW25" t="str">
        <f t="shared" ca="1" si="36"/>
        <v/>
      </c>
      <c r="BX25" t="str">
        <f t="shared" ca="1" si="37"/>
        <v/>
      </c>
      <c r="BY25" t="str">
        <f ca="1">IF(R25="","",IF(R25&gt;Options!$B$3,"ALTER TABLE "&amp;HELPER!$B$4&amp;" ADD COLUMNS ("&amp;A25&amp;" "&amp;C25&amp;")",""))</f>
        <v/>
      </c>
      <c r="BZ25" t="str">
        <f ca="1">IF(R25="","",IF(R25&gt;Options!$B$3,A25,""))</f>
        <v/>
      </c>
      <c r="CA25" t="str">
        <f ca="1">IF(R25="","",IF(R25&gt;Options!$B$3,B25,""))</f>
        <v/>
      </c>
      <c r="CB25" t="str">
        <f t="shared" ca="1" si="38"/>
        <v/>
      </c>
      <c r="CC25">
        <f t="shared" ca="1" si="39"/>
        <v>0</v>
      </c>
      <c r="CD25" t="str">
        <f ca="1">IF(J25="","",Options!$B$23 &amp; "." &amp; J25)</f>
        <v/>
      </c>
    </row>
    <row r="26" spans="1:82">
      <c r="A26" s="161" t="str">
        <f t="array" aca="1" ref="A26" ca="1">IF(TRIM(INDIRECT("Columns!A26")) ="","",TRIM(INDIRECT("Columns!A26")))</f>
        <v/>
      </c>
      <c r="B26" s="161" t="str">
        <f t="shared" ca="1" si="0"/>
        <v/>
      </c>
      <c r="C26" s="161" t="str">
        <f t="shared" ca="1" si="1"/>
        <v/>
      </c>
      <c r="D26" s="161" t="str">
        <f t="shared" ca="1" si="2"/>
        <v/>
      </c>
      <c r="E26" s="161" t="str">
        <f t="array" aca="1" ref="E26" ca="1">IF(TRIM(INDIRECT("Columns!E26"))="","",TRIM(INDIRECT("Columns!E26")))</f>
        <v/>
      </c>
      <c r="F26" s="161" t="str">
        <f t="array" aca="1" ref="F26" ca="1">IF(TRIM(INDIRECT("Columns!G26"))="","",TRIM(INDIRECT("Columns!G26")))</f>
        <v/>
      </c>
      <c r="G26" s="161" t="str">
        <f t="array" aca="1" ref="G26" ca="1">IF(TRIM(INDIRECT("Columns!F26"))="","",TRIM(INDIRECT("Columns!F26")))</f>
        <v/>
      </c>
      <c r="H26" s="161" t="str">
        <f t="array" aca="1" ref="H26" ca="1">IF(TRIM(INDIRECT("Columns!H26"))="","",TRIM(INDIRECT("Columns!H26")))</f>
        <v/>
      </c>
      <c r="I26" s="161" t="str">
        <f t="array" aca="1" ref="I26" ca="1">IF(TRIM(INDIRECT("Columns!I26"))="","",TRIM(INDIRECT("Columns!I26")))</f>
        <v/>
      </c>
      <c r="J26" s="161" t="str">
        <f t="array" aca="1" ref="J26" ca="1">IF(TRIM(INDIRECT("Columns!J26"))="","",TRIM(INDIRECT("Columns!J26")))</f>
        <v/>
      </c>
      <c r="K26" s="161" t="str">
        <f t="array" aca="1" ref="K26" ca="1">IF(TRIM(INDIRECT("Columns!K26"))="","",TRIM(INDIRECT("Columns!K26")))</f>
        <v/>
      </c>
      <c r="L26" s="161" t="str">
        <f t="array" aca="1" ref="L26" ca="1">IF(TRIM(INDIRECT("Columns!L26"))="","",TRIM(INDIRECT("Columns!L26")))</f>
        <v/>
      </c>
      <c r="M26" s="161" t="str">
        <f t="array" aca="1" ref="M26" ca="1">IF(TRIM(INDIRECT("Columns!M26"))="","",TRIM(INDIRECT("Columns!M26")))</f>
        <v/>
      </c>
      <c r="N26" s="161" t="str">
        <f t="array" aca="1" ref="N26" ca="1">IF(TRIM(INDIRECT("Columns!N26"))="","",TRIM(INDIRECT("Columns!N26")))</f>
        <v/>
      </c>
      <c r="O26" s="227" t="str">
        <f t="array" aca="1" ref="O26" ca="1">IF(TRIM(INDIRECT("Columns!B26"))="","",TRIM(INDIRECT("Columns!B26")))</f>
        <v/>
      </c>
      <c r="P26" s="227" t="str">
        <f t="array" aca="1" ref="P26" ca="1">IF(TRIM(INDIRECT("Columns!C26"))="","",TRIM(INDIRECT("Columns!C26")))</f>
        <v/>
      </c>
      <c r="Q26" s="227" t="str">
        <f t="array" aca="1" ref="Q26" ca="1">IF(TRIM(INDIRECT("Columns!D26"))="","",TRIM(INDIRECT("Columns!D26")))</f>
        <v/>
      </c>
      <c r="R26" s="227" t="str">
        <f t="array" aca="1" ref="R26" ca="1">IF(TRIM(INDIRECT("Columns!O26"))="","",TRIM(INDIRECT("Columns!O26")))</f>
        <v/>
      </c>
      <c r="S26" t="str">
        <f t="shared" ca="1" si="3"/>
        <v/>
      </c>
      <c r="T26" t="str">
        <f t="shared" ca="1" si="4"/>
        <v/>
      </c>
      <c r="U26" t="str">
        <f t="shared" ca="1" si="5"/>
        <v/>
      </c>
      <c r="V26" t="str">
        <f t="shared" ca="1" si="6"/>
        <v/>
      </c>
      <c r="W26" t="str">
        <f t="shared" ca="1" si="7"/>
        <v/>
      </c>
      <c r="X26" t="str">
        <f t="shared" ca="1" si="8"/>
        <v/>
      </c>
      <c r="Y26" t="str">
        <f t="shared" ca="1" si="9"/>
        <v/>
      </c>
      <c r="Z26" t="str">
        <f t="shared" ca="1" si="40"/>
        <v/>
      </c>
      <c r="AA26" t="str">
        <f ca="1">IF(E26="1",   IF( A26="","",IF(OR(F26="1",H26="1",I26="1"),"","COALESCE (CAST("&amp;A26&amp;" as varchar(" &amp; Options!$B$49&amp; ")),'')")),"")</f>
        <v/>
      </c>
      <c r="AB26" t="str">
        <f ca="1">IF(E26="1", IF(C26="string",  IF( A26="","",IF(OR(F26="1",H26="1",I26="1"),"","COALESCE (CAST(lower("&amp;A26&amp;") as varchar(" &amp;Options!$B$49 &amp; ")),'')")),AA26),"")</f>
        <v/>
      </c>
      <c r="AC26" t="str">
        <f ca="1">IF(E26="4",   IF( A26="","",IF(OR(F26="1",H26="1",I26="1"),"","COALESCE (CAST("  &amp;A26&amp;" as varchar(" &amp; Options!$B$49&amp; ")),'')")),"")</f>
        <v/>
      </c>
      <c r="AD26" t="str">
        <f ca="1">IF(E26="4",   IF( A26="","",IF(OR(F26="1",H26="1",I26="1"),"","COALESCE (CAST(" &amp; HELPER!$B$94 &amp; "."  &amp;A26&amp;" as varchar(" &amp; Options!$B$49&amp; ")),'')")),"")</f>
        <v/>
      </c>
      <c r="AE26" t="str">
        <f t="shared" ca="1" si="10"/>
        <v/>
      </c>
      <c r="AF26" t="str">
        <f ca="1">IF(AE26&lt;&gt;"", HELPER!$B$93 &amp;  "." &amp; AE26,"")</f>
        <v/>
      </c>
      <c r="AG26" t="str">
        <f ca="1">IF(AE26&lt;&gt;"", HELPER!$B$94 &amp; "." &amp; AE26,"")</f>
        <v/>
      </c>
      <c r="AH26" t="str">
        <f t="shared" ca="1" si="11"/>
        <v/>
      </c>
      <c r="AI26" t="str">
        <f t="shared" ca="1" si="12"/>
        <v/>
      </c>
      <c r="AJ26" t="str">
        <f t="shared" ca="1" si="13"/>
        <v/>
      </c>
      <c r="AK26" t="str">
        <f ca="1">IF(E26="4", HELPER!$B$94 &amp;  "." &amp; A26,"")</f>
        <v/>
      </c>
      <c r="AL26" t="str">
        <f ca="1">IF(E26="4", HELPER!$B$93 &amp;  "." &amp; A26,"")</f>
        <v/>
      </c>
      <c r="AM26" t="str">
        <f t="shared" ca="1" si="14"/>
        <v/>
      </c>
      <c r="AN26" t="str">
        <f t="shared" ca="1" si="15"/>
        <v/>
      </c>
      <c r="AO26" t="str">
        <f ca="1">IF(A26&lt;&gt;"", IF(OR(F26="1",H26="1",I26="1"),""," "&amp; HELPER!$B$94 &amp; "." &amp; A26),"")</f>
        <v/>
      </c>
      <c r="AP26" t="str">
        <f t="shared" ca="1" si="16"/>
        <v/>
      </c>
      <c r="AQ26" t="str">
        <f t="shared" ca="1" si="47"/>
        <v/>
      </c>
      <c r="AS26" t="str">
        <f ca="1">IF(A26="","",  HELPER!$B$94 &amp;  "." &amp; A26)</f>
        <v/>
      </c>
      <c r="AT26" t="str">
        <f t="shared" ca="1" si="17"/>
        <v/>
      </c>
      <c r="AU26" t="str">
        <f t="shared" ca="1" si="18"/>
        <v/>
      </c>
      <c r="AV26" s="190" t="str">
        <f t="shared" ca="1" si="19"/>
        <v/>
      </c>
      <c r="AW26" t="str">
        <f t="shared" ca="1" si="20"/>
        <v/>
      </c>
      <c r="AX26" t="str">
        <f ca="1">IF(J26="","","LEFT JOIN "&amp; Options!$B$23 &amp; "." &amp; J26 &amp; " ON ")</f>
        <v/>
      </c>
      <c r="AY26" t="str">
        <f t="shared" ca="1" si="21"/>
        <v/>
      </c>
      <c r="AZ26" t="str">
        <f t="shared" ca="1" si="22"/>
        <v/>
      </c>
      <c r="BA26" t="str">
        <f ca="1">IF(AZ26="","", "CAST(" &amp; AZ26 &amp; " AS varchar(" &amp; Options!$B$49 &amp; "))")</f>
        <v/>
      </c>
      <c r="BB26" t="str">
        <f t="shared" ca="1" si="23"/>
        <v/>
      </c>
      <c r="BC26" t="str">
        <f t="shared" ca="1" si="41"/>
        <v/>
      </c>
      <c r="BE26" t="str">
        <f t="shared" ca="1" si="24"/>
        <v/>
      </c>
      <c r="BF26" t="str">
        <f t="shared" ca="1" si="25"/>
        <v/>
      </c>
      <c r="BG26" t="str">
        <f t="shared" ca="1" si="26"/>
        <v/>
      </c>
      <c r="BH26" s="285" t="str">
        <f t="shared" ca="1" si="42"/>
        <v/>
      </c>
      <c r="BI26" t="str">
        <f t="shared" ca="1" si="27"/>
        <v/>
      </c>
      <c r="BJ26" t="str">
        <f t="shared" ca="1" si="28"/>
        <v/>
      </c>
      <c r="BK26" t="str">
        <f t="shared" ca="1" si="43"/>
        <v/>
      </c>
      <c r="BL26" t="str">
        <f t="shared" ca="1" si="29"/>
        <v/>
      </c>
      <c r="BM26" t="str">
        <f t="shared" ca="1" si="44"/>
        <v/>
      </c>
      <c r="BN26" t="str">
        <f t="shared" ca="1" si="45"/>
        <v/>
      </c>
      <c r="BO26" t="str">
        <f t="shared" ca="1" si="30"/>
        <v/>
      </c>
      <c r="BP26" t="b">
        <f ca="1">COUNTIF(COLHELPER!A26:'COLHELPER'!A26,COLHELPER!A26)&gt;1</f>
        <v>0</v>
      </c>
      <c r="BQ26">
        <f t="shared" ca="1" si="31"/>
        <v>0</v>
      </c>
      <c r="BR26" s="290" t="str">
        <f t="shared" ca="1" si="48"/>
        <v/>
      </c>
      <c r="BS26" t="str">
        <f t="shared" ca="1" si="33"/>
        <v/>
      </c>
      <c r="BT26" t="str">
        <f t="shared" ca="1" si="46"/>
        <v/>
      </c>
      <c r="BU26" t="str">
        <f t="shared" ca="1" si="34"/>
        <v/>
      </c>
      <c r="BV26">
        <f t="shared" ca="1" si="35"/>
        <v>0</v>
      </c>
      <c r="BW26" t="str">
        <f t="shared" ca="1" si="36"/>
        <v/>
      </c>
      <c r="BX26" t="str">
        <f t="shared" ca="1" si="37"/>
        <v/>
      </c>
      <c r="BY26" t="str">
        <f ca="1">IF(R26="","",IF(R26&gt;Options!$B$3,"ALTER TABLE "&amp;HELPER!$B$4&amp;" ADD COLUMNS ("&amp;A26&amp;" "&amp;C26&amp;")",""))</f>
        <v/>
      </c>
      <c r="BZ26" t="str">
        <f ca="1">IF(R26="","",IF(R26&gt;Options!$B$3,A26,""))</f>
        <v/>
      </c>
      <c r="CA26" t="str">
        <f ca="1">IF(R26="","",IF(R26&gt;Options!$B$3,B26,""))</f>
        <v/>
      </c>
      <c r="CB26" t="str">
        <f t="shared" ca="1" si="38"/>
        <v/>
      </c>
      <c r="CC26">
        <f t="shared" ca="1" si="39"/>
        <v>0</v>
      </c>
      <c r="CD26" t="str">
        <f ca="1">IF(J26="","",Options!$B$23 &amp; "." &amp; J26)</f>
        <v/>
      </c>
    </row>
    <row r="27" spans="1:82">
      <c r="A27" s="161" t="str">
        <f t="array" aca="1" ref="A27" ca="1">IF(TRIM(INDIRECT("Columns!A27")) ="","",TRIM(INDIRECT("Columns!A27")))</f>
        <v/>
      </c>
      <c r="B27" s="161" t="str">
        <f t="shared" ca="1" si="0"/>
        <v/>
      </c>
      <c r="C27" s="161" t="str">
        <f t="shared" ca="1" si="1"/>
        <v/>
      </c>
      <c r="D27" s="161" t="str">
        <f t="shared" ca="1" si="2"/>
        <v/>
      </c>
      <c r="E27" s="161" t="str">
        <f t="array" aca="1" ref="E27" ca="1">IF(TRIM(INDIRECT("Columns!E27"))="","",TRIM(INDIRECT("Columns!E27")))</f>
        <v/>
      </c>
      <c r="F27" s="161" t="str">
        <f t="array" aca="1" ref="F27" ca="1">IF(TRIM(INDIRECT("Columns!G27"))="","",TRIM(INDIRECT("Columns!G27")))</f>
        <v/>
      </c>
      <c r="G27" s="161" t="str">
        <f t="array" aca="1" ref="G27" ca="1">IF(TRIM(INDIRECT("Columns!F27"))="","",TRIM(INDIRECT("Columns!F27")))</f>
        <v/>
      </c>
      <c r="H27" s="161" t="str">
        <f t="array" aca="1" ref="H27" ca="1">IF(TRIM(INDIRECT("Columns!H27"))="","",TRIM(INDIRECT("Columns!H27")))</f>
        <v/>
      </c>
      <c r="I27" s="161" t="str">
        <f t="array" aca="1" ref="I27" ca="1">IF(TRIM(INDIRECT("Columns!I27"))="","",TRIM(INDIRECT("Columns!I27")))</f>
        <v/>
      </c>
      <c r="J27" s="161" t="str">
        <f t="array" aca="1" ref="J27" ca="1">IF(TRIM(INDIRECT("Columns!J27"))="","",TRIM(INDIRECT("Columns!J27")))</f>
        <v/>
      </c>
      <c r="K27" s="161" t="str">
        <f t="array" aca="1" ref="K27" ca="1">IF(TRIM(INDIRECT("Columns!K27"))="","",TRIM(INDIRECT("Columns!K27")))</f>
        <v/>
      </c>
      <c r="L27" s="161" t="str">
        <f t="array" aca="1" ref="L27" ca="1">IF(TRIM(INDIRECT("Columns!L27"))="","",TRIM(INDIRECT("Columns!L27")))</f>
        <v/>
      </c>
      <c r="M27" s="161" t="str">
        <f t="array" aca="1" ref="M27" ca="1">IF(TRIM(INDIRECT("Columns!M27"))="","",TRIM(INDIRECT("Columns!M27")))</f>
        <v/>
      </c>
      <c r="N27" s="161" t="str">
        <f t="array" aca="1" ref="N27" ca="1">IF(TRIM(INDIRECT("Columns!N27"))="","",TRIM(INDIRECT("Columns!N27")))</f>
        <v/>
      </c>
      <c r="O27" s="227" t="str">
        <f t="array" aca="1" ref="O27" ca="1">IF(TRIM(INDIRECT("Columns!B27"))="","",TRIM(INDIRECT("Columns!B27")))</f>
        <v/>
      </c>
      <c r="P27" s="227" t="str">
        <f t="array" aca="1" ref="P27" ca="1">IF(TRIM(INDIRECT("Columns!C27"))="","",TRIM(INDIRECT("Columns!C27")))</f>
        <v/>
      </c>
      <c r="Q27" s="227" t="str">
        <f t="array" aca="1" ref="Q27" ca="1">IF(TRIM(INDIRECT("Columns!D27"))="","",TRIM(INDIRECT("Columns!D27")))</f>
        <v/>
      </c>
      <c r="R27" s="227" t="str">
        <f t="array" aca="1" ref="R27" ca="1">IF(TRIM(INDIRECT("Columns!O27"))="","",TRIM(INDIRECT("Columns!O27")))</f>
        <v/>
      </c>
      <c r="S27" t="str">
        <f t="shared" ca="1" si="3"/>
        <v/>
      </c>
      <c r="T27" t="str">
        <f t="shared" ca="1" si="4"/>
        <v/>
      </c>
      <c r="U27" t="str">
        <f t="shared" ca="1" si="5"/>
        <v/>
      </c>
      <c r="V27" t="str">
        <f t="shared" ca="1" si="6"/>
        <v/>
      </c>
      <c r="W27" t="str">
        <f t="shared" ca="1" si="7"/>
        <v/>
      </c>
      <c r="X27" t="str">
        <f t="shared" ca="1" si="8"/>
        <v/>
      </c>
      <c r="Y27" t="str">
        <f t="shared" ca="1" si="9"/>
        <v/>
      </c>
      <c r="Z27" t="str">
        <f t="shared" ca="1" si="40"/>
        <v/>
      </c>
      <c r="AA27" t="str">
        <f ca="1">IF(E27="1",   IF( A27="","",IF(OR(F27="1",H27="1",I27="1"),"","COALESCE (CAST("&amp;A27&amp;" as varchar(" &amp; Options!$B$49&amp; ")),'')")),"")</f>
        <v/>
      </c>
      <c r="AB27" t="str">
        <f ca="1">IF(E27="1", IF(C27="string",  IF( A27="","",IF(OR(F27="1",H27="1",I27="1"),"","COALESCE (CAST(lower("&amp;A27&amp;") as varchar(" &amp;Options!$B$49 &amp; ")),'')")),AA27),"")</f>
        <v/>
      </c>
      <c r="AC27" t="str">
        <f ca="1">IF(E27="4",   IF( A27="","",IF(OR(F27="1",H27="1",I27="1"),"","COALESCE (CAST("  &amp;A27&amp;" as varchar(" &amp; Options!$B$49&amp; ")),'')")),"")</f>
        <v/>
      </c>
      <c r="AD27" t="str">
        <f ca="1">IF(E27="4",   IF( A27="","",IF(OR(F27="1",H27="1",I27="1"),"","COALESCE (CAST(" &amp; HELPER!$B$94 &amp; "."  &amp;A27&amp;" as varchar(" &amp; Options!$B$49&amp; ")),'')")),"")</f>
        <v/>
      </c>
      <c r="AE27" t="str">
        <f t="shared" ca="1" si="10"/>
        <v/>
      </c>
      <c r="AF27" t="str">
        <f ca="1">IF(AE27&lt;&gt;"", HELPER!$B$93 &amp;  "." &amp; AE27,"")</f>
        <v/>
      </c>
      <c r="AG27" t="str">
        <f ca="1">IF(AE27&lt;&gt;"", HELPER!$B$94 &amp; "." &amp; AE27,"")</f>
        <v/>
      </c>
      <c r="AH27" t="str">
        <f t="shared" ca="1" si="11"/>
        <v/>
      </c>
      <c r="AI27" t="str">
        <f t="shared" ca="1" si="12"/>
        <v/>
      </c>
      <c r="AJ27" t="str">
        <f t="shared" ca="1" si="13"/>
        <v/>
      </c>
      <c r="AK27" t="str">
        <f ca="1">IF(E27="4", HELPER!$B$94 &amp;  "." &amp; A27,"")</f>
        <v/>
      </c>
      <c r="AL27" t="str">
        <f ca="1">IF(E27="4", HELPER!$B$93 &amp;  "." &amp; A27,"")</f>
        <v/>
      </c>
      <c r="AM27" t="str">
        <f t="shared" ca="1" si="14"/>
        <v/>
      </c>
      <c r="AN27" t="str">
        <f t="shared" ca="1" si="15"/>
        <v/>
      </c>
      <c r="AO27" t="str">
        <f ca="1">IF(A27&lt;&gt;"", IF(OR(F27="1",H27="1",I27="1"),""," "&amp; HELPER!$B$94 &amp; "." &amp; A27),"")</f>
        <v/>
      </c>
      <c r="AP27" t="str">
        <f t="shared" ca="1" si="16"/>
        <v/>
      </c>
      <c r="AQ27" t="str">
        <f t="shared" ca="1" si="47"/>
        <v/>
      </c>
      <c r="AS27" t="str">
        <f ca="1">IF(A27="","",  HELPER!$B$94 &amp;  "." &amp; A27)</f>
        <v/>
      </c>
      <c r="AT27" t="str">
        <f t="shared" ca="1" si="17"/>
        <v/>
      </c>
      <c r="AU27" t="str">
        <f t="shared" ca="1" si="18"/>
        <v/>
      </c>
      <c r="AV27" s="190" t="str">
        <f t="shared" ca="1" si="19"/>
        <v/>
      </c>
      <c r="AW27" t="str">
        <f t="shared" ca="1" si="20"/>
        <v/>
      </c>
      <c r="AX27" t="str">
        <f ca="1">IF(J27="","","LEFT JOIN "&amp; Options!$B$23 &amp; "." &amp; J27 &amp; " ON ")</f>
        <v/>
      </c>
      <c r="AY27" t="str">
        <f t="shared" ca="1" si="21"/>
        <v/>
      </c>
      <c r="AZ27" t="str">
        <f t="shared" ca="1" si="22"/>
        <v/>
      </c>
      <c r="BA27" t="str">
        <f ca="1">IF(AZ27="","", "CAST(" &amp; AZ27 &amp; " AS varchar(" &amp; Options!$B$49 &amp; "))")</f>
        <v/>
      </c>
      <c r="BB27" t="str">
        <f t="shared" ca="1" si="23"/>
        <v/>
      </c>
      <c r="BC27" t="str">
        <f t="shared" ca="1" si="41"/>
        <v/>
      </c>
      <c r="BE27" t="str">
        <f t="shared" ca="1" si="24"/>
        <v/>
      </c>
      <c r="BF27" t="str">
        <f t="shared" ca="1" si="25"/>
        <v/>
      </c>
      <c r="BG27" t="str">
        <f t="shared" ca="1" si="26"/>
        <v/>
      </c>
      <c r="BH27" s="285" t="str">
        <f t="shared" ca="1" si="42"/>
        <v/>
      </c>
      <c r="BI27" t="str">
        <f t="shared" ca="1" si="27"/>
        <v/>
      </c>
      <c r="BJ27" t="str">
        <f t="shared" ca="1" si="28"/>
        <v/>
      </c>
      <c r="BK27" t="str">
        <f t="shared" ca="1" si="43"/>
        <v/>
      </c>
      <c r="BL27" t="str">
        <f t="shared" ca="1" si="29"/>
        <v/>
      </c>
      <c r="BM27" t="str">
        <f t="shared" ca="1" si="44"/>
        <v/>
      </c>
      <c r="BN27" t="str">
        <f t="shared" ca="1" si="45"/>
        <v/>
      </c>
      <c r="BO27" t="str">
        <f t="shared" ca="1" si="30"/>
        <v/>
      </c>
      <c r="BP27" t="b">
        <f ca="1">COUNTIF(COLHELPER!A27:'COLHELPER'!A27,COLHELPER!A27)&gt;1</f>
        <v>0</v>
      </c>
      <c r="BQ27">
        <f t="shared" ca="1" si="31"/>
        <v>0</v>
      </c>
      <c r="BR27" s="290" t="str">
        <f t="shared" ca="1" si="48"/>
        <v/>
      </c>
      <c r="BS27" t="str">
        <f t="shared" ca="1" si="33"/>
        <v/>
      </c>
      <c r="BT27" t="str">
        <f t="shared" ca="1" si="46"/>
        <v/>
      </c>
      <c r="BU27" t="str">
        <f t="shared" ca="1" si="34"/>
        <v/>
      </c>
      <c r="BV27">
        <f t="shared" ca="1" si="35"/>
        <v>0</v>
      </c>
      <c r="BW27" t="str">
        <f t="shared" ca="1" si="36"/>
        <v/>
      </c>
      <c r="BX27" t="str">
        <f t="shared" ca="1" si="37"/>
        <v/>
      </c>
      <c r="BY27" t="str">
        <f ca="1">IF(R27="","",IF(R27&gt;Options!$B$3,"ALTER TABLE "&amp;HELPER!$B$4&amp;" ADD COLUMNS ("&amp;A27&amp;" "&amp;C27&amp;")",""))</f>
        <v/>
      </c>
      <c r="BZ27" t="str">
        <f ca="1">IF(R27="","",IF(R27&gt;Options!$B$3,A27,""))</f>
        <v/>
      </c>
      <c r="CA27" t="str">
        <f ca="1">IF(R27="","",IF(R27&gt;Options!$B$3,B27,""))</f>
        <v/>
      </c>
      <c r="CB27" t="str">
        <f t="shared" ca="1" si="38"/>
        <v/>
      </c>
      <c r="CC27">
        <f t="shared" ca="1" si="39"/>
        <v>0</v>
      </c>
      <c r="CD27" t="str">
        <f ca="1">IF(J27="","",Options!$B$23 &amp; "." &amp; J27)</f>
        <v/>
      </c>
    </row>
    <row r="28" spans="1:82">
      <c r="A28" s="161" t="str">
        <f t="array" aca="1" ref="A28" ca="1">IF(TRIM(INDIRECT("Columns!A28")) ="","",TRIM(INDIRECT("Columns!A28")))</f>
        <v/>
      </c>
      <c r="B28" s="161" t="str">
        <f t="shared" ca="1" si="0"/>
        <v/>
      </c>
      <c r="C28" s="161" t="str">
        <f t="shared" ca="1" si="1"/>
        <v/>
      </c>
      <c r="D28" s="161" t="str">
        <f t="shared" ca="1" si="2"/>
        <v/>
      </c>
      <c r="E28" s="161" t="str">
        <f t="array" aca="1" ref="E28" ca="1">IF(TRIM(INDIRECT("Columns!E28"))="","",TRIM(INDIRECT("Columns!E28")))</f>
        <v/>
      </c>
      <c r="F28" s="161" t="str">
        <f t="array" aca="1" ref="F28" ca="1">IF(TRIM(INDIRECT("Columns!G28"))="","",TRIM(INDIRECT("Columns!G28")))</f>
        <v/>
      </c>
      <c r="G28" s="161" t="str">
        <f t="array" aca="1" ref="G28" ca="1">IF(TRIM(INDIRECT("Columns!F28"))="","",TRIM(INDIRECT("Columns!F28")))</f>
        <v/>
      </c>
      <c r="H28" s="161" t="str">
        <f t="array" aca="1" ref="H28" ca="1">IF(TRIM(INDIRECT("Columns!H28"))="","",TRIM(INDIRECT("Columns!H28")))</f>
        <v/>
      </c>
      <c r="I28" s="161" t="str">
        <f t="array" aca="1" ref="I28" ca="1">IF(TRIM(INDIRECT("Columns!I28"))="","",TRIM(INDIRECT("Columns!I28")))</f>
        <v/>
      </c>
      <c r="J28" s="161" t="str">
        <f t="array" aca="1" ref="J28" ca="1">IF(TRIM(INDIRECT("Columns!J28"))="","",TRIM(INDIRECT("Columns!J28")))</f>
        <v/>
      </c>
      <c r="K28" s="161" t="str">
        <f t="array" aca="1" ref="K28" ca="1">IF(TRIM(INDIRECT("Columns!K28"))="","",TRIM(INDIRECT("Columns!K28")))</f>
        <v/>
      </c>
      <c r="L28" s="161" t="str">
        <f t="array" aca="1" ref="L28" ca="1">IF(TRIM(INDIRECT("Columns!L28"))="","",TRIM(INDIRECT("Columns!L28")))</f>
        <v/>
      </c>
      <c r="M28" s="161" t="str">
        <f t="array" aca="1" ref="M28" ca="1">IF(TRIM(INDIRECT("Columns!M28"))="","",TRIM(INDIRECT("Columns!M28")))</f>
        <v/>
      </c>
      <c r="N28" s="161" t="str">
        <f t="array" aca="1" ref="N28" ca="1">IF(TRIM(INDIRECT("Columns!N28"))="","",TRIM(INDIRECT("Columns!N28")))</f>
        <v/>
      </c>
      <c r="O28" s="227" t="str">
        <f t="array" aca="1" ref="O28" ca="1">IF(TRIM(INDIRECT("Columns!B28"))="","",TRIM(INDIRECT("Columns!B28")))</f>
        <v/>
      </c>
      <c r="P28" s="227" t="str">
        <f t="array" aca="1" ref="P28" ca="1">IF(TRIM(INDIRECT("Columns!C28"))="","",TRIM(INDIRECT("Columns!C28")))</f>
        <v/>
      </c>
      <c r="Q28" s="227" t="str">
        <f t="array" aca="1" ref="Q28" ca="1">IF(TRIM(INDIRECT("Columns!D28"))="","",TRIM(INDIRECT("Columns!D28")))</f>
        <v/>
      </c>
      <c r="R28" s="227" t="str">
        <f t="array" aca="1" ref="R28" ca="1">IF(TRIM(INDIRECT("Columns!O28"))="","",TRIM(INDIRECT("Columns!O28")))</f>
        <v/>
      </c>
      <c r="S28" t="str">
        <f t="shared" ca="1" si="3"/>
        <v/>
      </c>
      <c r="T28" t="str">
        <f t="shared" ca="1" si="4"/>
        <v/>
      </c>
      <c r="U28" t="str">
        <f t="shared" ca="1" si="5"/>
        <v/>
      </c>
      <c r="V28" t="str">
        <f t="shared" ca="1" si="6"/>
        <v/>
      </c>
      <c r="W28" t="str">
        <f t="shared" ca="1" si="7"/>
        <v/>
      </c>
      <c r="X28" t="str">
        <f t="shared" ca="1" si="8"/>
        <v/>
      </c>
      <c r="Y28" t="str">
        <f t="shared" ca="1" si="9"/>
        <v/>
      </c>
      <c r="Z28" t="str">
        <f t="shared" ca="1" si="40"/>
        <v/>
      </c>
      <c r="AA28" t="str">
        <f ca="1">IF(E28="1",   IF( A28="","",IF(OR(F28="1",H28="1",I28="1"),"","COALESCE (CAST("&amp;A28&amp;" as varchar(" &amp; Options!$B$49&amp; ")),'')")),"")</f>
        <v/>
      </c>
      <c r="AB28" t="str">
        <f ca="1">IF(E28="1", IF(C28="string",  IF( A28="","",IF(OR(F28="1",H28="1",I28="1"),"","COALESCE (CAST(lower("&amp;A28&amp;") as varchar(" &amp;Options!$B$49 &amp; ")),'')")),AA28),"")</f>
        <v/>
      </c>
      <c r="AC28" t="str">
        <f ca="1">IF(E28="4",   IF( A28="","",IF(OR(F28="1",H28="1",I28="1"),"","COALESCE (CAST("  &amp;A28&amp;" as varchar(" &amp; Options!$B$49&amp; ")),'')")),"")</f>
        <v/>
      </c>
      <c r="AD28" t="str">
        <f ca="1">IF(E28="4",   IF( A28="","",IF(OR(F28="1",H28="1",I28="1"),"","COALESCE (CAST(" &amp; HELPER!$B$94 &amp; "."  &amp;A28&amp;" as varchar(" &amp; Options!$B$49&amp; ")),'')")),"")</f>
        <v/>
      </c>
      <c r="AE28" t="str">
        <f t="shared" ca="1" si="10"/>
        <v/>
      </c>
      <c r="AF28" t="str">
        <f ca="1">IF(AE28&lt;&gt;"", HELPER!$B$93 &amp;  "." &amp; AE28,"")</f>
        <v/>
      </c>
      <c r="AG28" t="str">
        <f ca="1">IF(AE28&lt;&gt;"", HELPER!$B$94 &amp; "." &amp; AE28,"")</f>
        <v/>
      </c>
      <c r="AH28" t="str">
        <f t="shared" ca="1" si="11"/>
        <v/>
      </c>
      <c r="AI28" t="str">
        <f t="shared" ca="1" si="12"/>
        <v/>
      </c>
      <c r="AJ28" t="str">
        <f t="shared" ca="1" si="13"/>
        <v/>
      </c>
      <c r="AK28" t="str">
        <f ca="1">IF(E28="4", HELPER!$B$94 &amp;  "." &amp; A28,"")</f>
        <v/>
      </c>
      <c r="AL28" t="str">
        <f ca="1">IF(E28="4", HELPER!$B$93 &amp;  "." &amp; A28,"")</f>
        <v/>
      </c>
      <c r="AM28" t="str">
        <f t="shared" ca="1" si="14"/>
        <v/>
      </c>
      <c r="AN28" t="str">
        <f t="shared" ca="1" si="15"/>
        <v/>
      </c>
      <c r="AO28" t="str">
        <f ca="1">IF(A28&lt;&gt;"", IF(OR(F28="1",H28="1",I28="1"),""," "&amp; HELPER!$B$94 &amp; "." &amp; A28),"")</f>
        <v/>
      </c>
      <c r="AP28" t="str">
        <f t="shared" ca="1" si="16"/>
        <v/>
      </c>
      <c r="AQ28" t="str">
        <f t="shared" ca="1" si="47"/>
        <v/>
      </c>
      <c r="AS28" t="str">
        <f ca="1">IF(A28="","",  HELPER!$B$94 &amp;  "." &amp; A28)</f>
        <v/>
      </c>
      <c r="AT28" t="str">
        <f t="shared" ca="1" si="17"/>
        <v/>
      </c>
      <c r="AU28" t="str">
        <f t="shared" ca="1" si="18"/>
        <v/>
      </c>
      <c r="AV28" s="190" t="str">
        <f t="shared" ca="1" si="19"/>
        <v/>
      </c>
      <c r="AW28" t="str">
        <f t="shared" ca="1" si="20"/>
        <v/>
      </c>
      <c r="AX28" t="str">
        <f ca="1">IF(J28="","","LEFT JOIN "&amp; Options!$B$23 &amp; "." &amp; J28 &amp; " ON ")</f>
        <v/>
      </c>
      <c r="AY28" t="str">
        <f t="shared" ca="1" si="21"/>
        <v/>
      </c>
      <c r="AZ28" t="str">
        <f t="shared" ca="1" si="22"/>
        <v/>
      </c>
      <c r="BA28" t="str">
        <f ca="1">IF(AZ28="","", "CAST(" &amp; AZ28 &amp; " AS varchar(" &amp; Options!$B$49 &amp; "))")</f>
        <v/>
      </c>
      <c r="BB28" t="str">
        <f t="shared" ca="1" si="23"/>
        <v/>
      </c>
      <c r="BC28" t="str">
        <f t="shared" ca="1" si="41"/>
        <v/>
      </c>
      <c r="BE28" t="str">
        <f t="shared" ca="1" si="24"/>
        <v/>
      </c>
      <c r="BF28" t="str">
        <f t="shared" ca="1" si="25"/>
        <v/>
      </c>
      <c r="BG28" t="str">
        <f t="shared" ca="1" si="26"/>
        <v/>
      </c>
      <c r="BH28" s="285" t="str">
        <f t="shared" ca="1" si="42"/>
        <v/>
      </c>
      <c r="BI28" t="str">
        <f t="shared" ca="1" si="27"/>
        <v/>
      </c>
      <c r="BJ28" t="str">
        <f t="shared" ca="1" si="28"/>
        <v/>
      </c>
      <c r="BK28" t="str">
        <f t="shared" ca="1" si="43"/>
        <v/>
      </c>
      <c r="BL28" t="str">
        <f t="shared" ca="1" si="29"/>
        <v/>
      </c>
      <c r="BM28" t="str">
        <f t="shared" ca="1" si="44"/>
        <v/>
      </c>
      <c r="BN28" t="str">
        <f t="shared" ca="1" si="45"/>
        <v/>
      </c>
      <c r="BO28" t="str">
        <f t="shared" ca="1" si="30"/>
        <v/>
      </c>
      <c r="BP28" t="b">
        <f ca="1">COUNTIF(COLHELPER!A28:'COLHELPER'!A28,COLHELPER!A28)&gt;1</f>
        <v>0</v>
      </c>
      <c r="BQ28">
        <f t="shared" ca="1" si="31"/>
        <v>0</v>
      </c>
      <c r="BR28" s="290" t="str">
        <f t="shared" ca="1" si="48"/>
        <v/>
      </c>
      <c r="BS28" t="str">
        <f t="shared" ca="1" si="33"/>
        <v/>
      </c>
      <c r="BT28" t="str">
        <f t="shared" ca="1" si="46"/>
        <v/>
      </c>
      <c r="BU28" t="str">
        <f t="shared" ca="1" si="34"/>
        <v/>
      </c>
      <c r="BV28">
        <f t="shared" ca="1" si="35"/>
        <v>0</v>
      </c>
      <c r="BW28" t="str">
        <f t="shared" ca="1" si="36"/>
        <v/>
      </c>
      <c r="BX28" t="str">
        <f t="shared" ca="1" si="37"/>
        <v/>
      </c>
      <c r="BY28" t="str">
        <f ca="1">IF(R28="","",IF(R28&gt;Options!$B$3,"ALTER TABLE "&amp;HELPER!$B$4&amp;" ADD COLUMNS ("&amp;A28&amp;" "&amp;C28&amp;")",""))</f>
        <v/>
      </c>
      <c r="BZ28" t="str">
        <f ca="1">IF(R28="","",IF(R28&gt;Options!$B$3,A28,""))</f>
        <v/>
      </c>
      <c r="CA28" t="str">
        <f ca="1">IF(R28="","",IF(R28&gt;Options!$B$3,B28,""))</f>
        <v/>
      </c>
      <c r="CB28" t="str">
        <f t="shared" ca="1" si="38"/>
        <v/>
      </c>
      <c r="CC28">
        <f t="shared" ca="1" si="39"/>
        <v>0</v>
      </c>
      <c r="CD28" t="str">
        <f ca="1">IF(J28="","",Options!$B$23 &amp; "." &amp; J28)</f>
        <v/>
      </c>
    </row>
    <row r="29" spans="1:82">
      <c r="A29" s="161" t="str">
        <f t="array" aca="1" ref="A29" ca="1">IF(TRIM(INDIRECT("Columns!A29")) ="","",TRIM(INDIRECT("Columns!A29")))</f>
        <v/>
      </c>
      <c r="B29" s="161" t="str">
        <f t="shared" ca="1" si="0"/>
        <v/>
      </c>
      <c r="C29" s="161" t="str">
        <f t="shared" ca="1" si="1"/>
        <v/>
      </c>
      <c r="D29" s="161" t="str">
        <f t="shared" ca="1" si="2"/>
        <v/>
      </c>
      <c r="E29" s="161" t="str">
        <f t="array" aca="1" ref="E29" ca="1">IF(TRIM(INDIRECT("Columns!E29"))="","",TRIM(INDIRECT("Columns!E29")))</f>
        <v/>
      </c>
      <c r="F29" s="161" t="str">
        <f t="array" aca="1" ref="F29" ca="1">IF(TRIM(INDIRECT("Columns!G29"))="","",TRIM(INDIRECT("Columns!G29")))</f>
        <v/>
      </c>
      <c r="G29" s="161" t="str">
        <f t="array" aca="1" ref="G29" ca="1">IF(TRIM(INDIRECT("Columns!F29"))="","",TRIM(INDIRECT("Columns!F29")))</f>
        <v/>
      </c>
      <c r="H29" s="161" t="str">
        <f t="array" aca="1" ref="H29" ca="1">IF(TRIM(INDIRECT("Columns!H29"))="","",TRIM(INDIRECT("Columns!H29")))</f>
        <v/>
      </c>
      <c r="I29" s="161" t="str">
        <f t="array" aca="1" ref="I29" ca="1">IF(TRIM(INDIRECT("Columns!I29"))="","",TRIM(INDIRECT("Columns!I29")))</f>
        <v/>
      </c>
      <c r="J29" s="161" t="str">
        <f t="array" aca="1" ref="J29" ca="1">IF(TRIM(INDIRECT("Columns!J29"))="","",TRIM(INDIRECT("Columns!J29")))</f>
        <v/>
      </c>
      <c r="K29" s="161" t="str">
        <f t="array" aca="1" ref="K29" ca="1">IF(TRIM(INDIRECT("Columns!K29"))="","",TRIM(INDIRECT("Columns!K29")))</f>
        <v/>
      </c>
      <c r="L29" s="161" t="str">
        <f t="array" aca="1" ref="L29" ca="1">IF(TRIM(INDIRECT("Columns!L29"))="","",TRIM(INDIRECT("Columns!L29")))</f>
        <v/>
      </c>
      <c r="M29" s="161" t="str">
        <f t="array" aca="1" ref="M29" ca="1">IF(TRIM(INDIRECT("Columns!M29"))="","",TRIM(INDIRECT("Columns!M29")))</f>
        <v/>
      </c>
      <c r="N29" s="161" t="str">
        <f t="array" aca="1" ref="N29" ca="1">IF(TRIM(INDIRECT("Columns!N29"))="","",TRIM(INDIRECT("Columns!N29")))</f>
        <v/>
      </c>
      <c r="O29" s="227" t="str">
        <f t="array" aca="1" ref="O29" ca="1">IF(TRIM(INDIRECT("Columns!B29"))="","",TRIM(INDIRECT("Columns!B29")))</f>
        <v/>
      </c>
      <c r="P29" s="227" t="str">
        <f t="array" aca="1" ref="P29" ca="1">IF(TRIM(INDIRECT("Columns!C29"))="","",TRIM(INDIRECT("Columns!C29")))</f>
        <v/>
      </c>
      <c r="Q29" s="227" t="str">
        <f t="array" aca="1" ref="Q29" ca="1">IF(TRIM(INDIRECT("Columns!D29"))="","",TRIM(INDIRECT("Columns!D29")))</f>
        <v/>
      </c>
      <c r="R29" s="227" t="str">
        <f t="array" aca="1" ref="R29" ca="1">IF(TRIM(INDIRECT("Columns!O29"))="","",TRIM(INDIRECT("Columns!O29")))</f>
        <v/>
      </c>
      <c r="S29" t="str">
        <f t="shared" ca="1" si="3"/>
        <v/>
      </c>
      <c r="T29" t="str">
        <f t="shared" ca="1" si="4"/>
        <v/>
      </c>
      <c r="U29" t="str">
        <f t="shared" ca="1" si="5"/>
        <v/>
      </c>
      <c r="V29" t="str">
        <f t="shared" ca="1" si="6"/>
        <v/>
      </c>
      <c r="W29" t="str">
        <f t="shared" ca="1" si="7"/>
        <v/>
      </c>
      <c r="X29" t="str">
        <f t="shared" ca="1" si="8"/>
        <v/>
      </c>
      <c r="Y29" t="str">
        <f t="shared" ca="1" si="9"/>
        <v/>
      </c>
      <c r="Z29" t="str">
        <f t="shared" ca="1" si="40"/>
        <v/>
      </c>
      <c r="AA29" t="str">
        <f ca="1">IF(E29="1",   IF( A29="","",IF(OR(F29="1",H29="1",I29="1"),"","COALESCE (CAST("&amp;A29&amp;" as varchar(" &amp; Options!$B$49&amp; ")),'')")),"")</f>
        <v/>
      </c>
      <c r="AB29" t="str">
        <f ca="1">IF(E29="1", IF(C29="string",  IF( A29="","",IF(OR(F29="1",H29="1",I29="1"),"","COALESCE (CAST(lower("&amp;A29&amp;") as varchar(" &amp;Options!$B$49 &amp; ")),'')")),AA29),"")</f>
        <v/>
      </c>
      <c r="AC29" t="str">
        <f ca="1">IF(E29="4",   IF( A29="","",IF(OR(F29="1",H29="1",I29="1"),"","COALESCE (CAST("  &amp;A29&amp;" as varchar(" &amp; Options!$B$49&amp; ")),'')")),"")</f>
        <v/>
      </c>
      <c r="AD29" t="str">
        <f ca="1">IF(E29="4",   IF( A29="","",IF(OR(F29="1",H29="1",I29="1"),"","COALESCE (CAST(" &amp; HELPER!$B$94 &amp; "."  &amp;A29&amp;" as varchar(" &amp; Options!$B$49&amp; ")),'')")),"")</f>
        <v/>
      </c>
      <c r="AE29" t="str">
        <f t="shared" ca="1" si="10"/>
        <v/>
      </c>
      <c r="AF29" t="str">
        <f ca="1">IF(AE29&lt;&gt;"", HELPER!$B$93 &amp;  "." &amp; AE29,"")</f>
        <v/>
      </c>
      <c r="AG29" t="str">
        <f ca="1">IF(AE29&lt;&gt;"", HELPER!$B$94 &amp; "." &amp; AE29,"")</f>
        <v/>
      </c>
      <c r="AH29" t="str">
        <f t="shared" ca="1" si="11"/>
        <v/>
      </c>
      <c r="AI29" t="str">
        <f t="shared" ca="1" si="12"/>
        <v/>
      </c>
      <c r="AJ29" t="str">
        <f t="shared" ca="1" si="13"/>
        <v/>
      </c>
      <c r="AK29" t="str">
        <f ca="1">IF(E29="4", HELPER!$B$94 &amp;  "." &amp; A29,"")</f>
        <v/>
      </c>
      <c r="AL29" t="str">
        <f ca="1">IF(E29="4", HELPER!$B$93 &amp;  "." &amp; A29,"")</f>
        <v/>
      </c>
      <c r="AM29" t="str">
        <f t="shared" ca="1" si="14"/>
        <v/>
      </c>
      <c r="AN29" t="str">
        <f t="shared" ca="1" si="15"/>
        <v/>
      </c>
      <c r="AO29" t="str">
        <f ca="1">IF(A29&lt;&gt;"", IF(OR(F29="1",H29="1",I29="1"),""," "&amp; HELPER!$B$94 &amp; "." &amp; A29),"")</f>
        <v/>
      </c>
      <c r="AP29" t="str">
        <f t="shared" ca="1" si="16"/>
        <v/>
      </c>
      <c r="AQ29" t="str">
        <f t="shared" ca="1" si="47"/>
        <v/>
      </c>
      <c r="AS29" t="str">
        <f ca="1">IF(A29="","",  HELPER!$B$94 &amp;  "." &amp; A29)</f>
        <v/>
      </c>
      <c r="AT29" t="str">
        <f t="shared" ca="1" si="17"/>
        <v/>
      </c>
      <c r="AU29" t="str">
        <f t="shared" ca="1" si="18"/>
        <v/>
      </c>
      <c r="AV29" s="190" t="str">
        <f t="shared" ca="1" si="19"/>
        <v/>
      </c>
      <c r="AW29" t="str">
        <f t="shared" ca="1" si="20"/>
        <v/>
      </c>
      <c r="AX29" t="str">
        <f ca="1">IF(J29="","","LEFT JOIN "&amp; Options!$B$23 &amp; "." &amp; J29 &amp; " ON ")</f>
        <v/>
      </c>
      <c r="AY29" t="str">
        <f t="shared" ca="1" si="21"/>
        <v/>
      </c>
      <c r="AZ29" t="str">
        <f t="shared" ca="1" si="22"/>
        <v/>
      </c>
      <c r="BA29" t="str">
        <f ca="1">IF(AZ29="","", "CAST(" &amp; AZ29 &amp; " AS varchar(" &amp; Options!$B$49 &amp; "))")</f>
        <v/>
      </c>
      <c r="BB29" t="str">
        <f t="shared" ca="1" si="23"/>
        <v/>
      </c>
      <c r="BC29" t="str">
        <f t="shared" ca="1" si="41"/>
        <v/>
      </c>
      <c r="BE29" t="str">
        <f t="shared" ca="1" si="24"/>
        <v/>
      </c>
      <c r="BF29" t="str">
        <f t="shared" ca="1" si="25"/>
        <v/>
      </c>
      <c r="BG29" t="str">
        <f t="shared" ca="1" si="26"/>
        <v/>
      </c>
      <c r="BH29" s="285" t="str">
        <f t="shared" ca="1" si="42"/>
        <v/>
      </c>
      <c r="BI29" t="str">
        <f t="shared" ca="1" si="27"/>
        <v/>
      </c>
      <c r="BJ29" t="str">
        <f t="shared" ca="1" si="28"/>
        <v/>
      </c>
      <c r="BK29" t="str">
        <f t="shared" ca="1" si="43"/>
        <v/>
      </c>
      <c r="BL29" t="str">
        <f t="shared" ca="1" si="29"/>
        <v/>
      </c>
      <c r="BM29" t="str">
        <f t="shared" ca="1" si="44"/>
        <v/>
      </c>
      <c r="BN29" t="str">
        <f t="shared" ca="1" si="45"/>
        <v/>
      </c>
      <c r="BO29" t="str">
        <f t="shared" ca="1" si="30"/>
        <v/>
      </c>
      <c r="BP29" t="b">
        <f ca="1">COUNTIF(COLHELPER!A29:'COLHELPER'!A29,COLHELPER!A29)&gt;1</f>
        <v>0</v>
      </c>
      <c r="BQ29">
        <f t="shared" ca="1" si="31"/>
        <v>0</v>
      </c>
      <c r="BR29" s="290" t="str">
        <f t="shared" ca="1" si="48"/>
        <v/>
      </c>
      <c r="BS29" t="str">
        <f t="shared" ca="1" si="33"/>
        <v/>
      </c>
      <c r="BT29" t="str">
        <f t="shared" ca="1" si="46"/>
        <v/>
      </c>
      <c r="BU29" t="str">
        <f t="shared" ca="1" si="34"/>
        <v/>
      </c>
      <c r="BV29">
        <f t="shared" ca="1" si="35"/>
        <v>0</v>
      </c>
      <c r="BW29" t="str">
        <f t="shared" ca="1" si="36"/>
        <v/>
      </c>
      <c r="BX29" t="str">
        <f t="shared" ca="1" si="37"/>
        <v/>
      </c>
      <c r="BY29" t="str">
        <f ca="1">IF(R29="","",IF(R29&gt;Options!$B$3,"ALTER TABLE "&amp;HELPER!$B$4&amp;" ADD COLUMNS ("&amp;A29&amp;" "&amp;C29&amp;")",""))</f>
        <v/>
      </c>
      <c r="BZ29" t="str">
        <f ca="1">IF(R29="","",IF(R29&gt;Options!$B$3,A29,""))</f>
        <v/>
      </c>
      <c r="CA29" t="str">
        <f ca="1">IF(R29="","",IF(R29&gt;Options!$B$3,B29,""))</f>
        <v/>
      </c>
      <c r="CB29" t="str">
        <f t="shared" ca="1" si="38"/>
        <v/>
      </c>
      <c r="CC29">
        <f t="shared" ca="1" si="39"/>
        <v>0</v>
      </c>
      <c r="CD29" t="str">
        <f ca="1">IF(J29="","",Options!$B$23 &amp; "." &amp; J29)</f>
        <v/>
      </c>
    </row>
    <row r="30" spans="1:82">
      <c r="A30" s="161" t="str">
        <f t="array" aca="1" ref="A30" ca="1">IF(TRIM(INDIRECT("Columns!A30")) ="","",TRIM(INDIRECT("Columns!A30")))</f>
        <v/>
      </c>
      <c r="B30" s="161" t="str">
        <f t="shared" ca="1" si="0"/>
        <v/>
      </c>
      <c r="C30" s="161" t="str">
        <f t="shared" ca="1" si="1"/>
        <v/>
      </c>
      <c r="D30" s="161" t="str">
        <f t="shared" ca="1" si="2"/>
        <v/>
      </c>
      <c r="E30" s="161" t="str">
        <f t="array" aca="1" ref="E30" ca="1">IF(TRIM(INDIRECT("Columns!E30"))="","",TRIM(INDIRECT("Columns!E30")))</f>
        <v/>
      </c>
      <c r="F30" s="161" t="str">
        <f t="array" aca="1" ref="F30" ca="1">IF(TRIM(INDIRECT("Columns!G30"))="","",TRIM(INDIRECT("Columns!G30")))</f>
        <v/>
      </c>
      <c r="G30" s="161" t="str">
        <f t="array" aca="1" ref="G30" ca="1">IF(TRIM(INDIRECT("Columns!F30"))="","",TRIM(INDIRECT("Columns!F30")))</f>
        <v/>
      </c>
      <c r="H30" s="161" t="str">
        <f t="array" aca="1" ref="H30" ca="1">IF(TRIM(INDIRECT("Columns!H30"))="","",TRIM(INDIRECT("Columns!H30")))</f>
        <v/>
      </c>
      <c r="I30" s="161" t="str">
        <f t="array" aca="1" ref="I30" ca="1">IF(TRIM(INDIRECT("Columns!I30"))="","",TRIM(INDIRECT("Columns!I30")))</f>
        <v/>
      </c>
      <c r="J30" s="161" t="str">
        <f t="array" aca="1" ref="J30" ca="1">IF(TRIM(INDIRECT("Columns!J30"))="","",TRIM(INDIRECT("Columns!J30")))</f>
        <v/>
      </c>
      <c r="K30" s="161" t="str">
        <f t="array" aca="1" ref="K30" ca="1">IF(TRIM(INDIRECT("Columns!K30"))="","",TRIM(INDIRECT("Columns!K30")))</f>
        <v/>
      </c>
      <c r="L30" s="161" t="str">
        <f t="array" aca="1" ref="L30" ca="1">IF(TRIM(INDIRECT("Columns!L30"))="","",TRIM(INDIRECT("Columns!L30")))</f>
        <v/>
      </c>
      <c r="M30" s="161" t="str">
        <f t="array" aca="1" ref="M30" ca="1">IF(TRIM(INDIRECT("Columns!M30"))="","",TRIM(INDIRECT("Columns!M30")))</f>
        <v/>
      </c>
      <c r="N30" s="161" t="str">
        <f t="array" aca="1" ref="N30" ca="1">IF(TRIM(INDIRECT("Columns!N30"))="","",TRIM(INDIRECT("Columns!N30")))</f>
        <v/>
      </c>
      <c r="O30" s="227" t="str">
        <f t="array" aca="1" ref="O30" ca="1">IF(TRIM(INDIRECT("Columns!B30"))="","",TRIM(INDIRECT("Columns!B30")))</f>
        <v/>
      </c>
      <c r="P30" s="227" t="str">
        <f t="array" aca="1" ref="P30" ca="1">IF(TRIM(INDIRECT("Columns!C30"))="","",TRIM(INDIRECT("Columns!C30")))</f>
        <v/>
      </c>
      <c r="Q30" s="227" t="str">
        <f t="array" aca="1" ref="Q30" ca="1">IF(TRIM(INDIRECT("Columns!D30"))="","",TRIM(INDIRECT("Columns!D30")))</f>
        <v/>
      </c>
      <c r="R30" s="227" t="str">
        <f t="array" aca="1" ref="R30" ca="1">IF(TRIM(INDIRECT("Columns!O30"))="","",TRIM(INDIRECT("Columns!O30")))</f>
        <v/>
      </c>
      <c r="S30" t="str">
        <f t="shared" ca="1" si="3"/>
        <v/>
      </c>
      <c r="T30" t="str">
        <f t="shared" ca="1" si="4"/>
        <v/>
      </c>
      <c r="U30" t="str">
        <f t="shared" ca="1" si="5"/>
        <v/>
      </c>
      <c r="V30" t="str">
        <f t="shared" ca="1" si="6"/>
        <v/>
      </c>
      <c r="W30" t="str">
        <f t="shared" ca="1" si="7"/>
        <v/>
      </c>
      <c r="X30" t="str">
        <f t="shared" ca="1" si="8"/>
        <v/>
      </c>
      <c r="Y30" t="str">
        <f t="shared" ca="1" si="9"/>
        <v/>
      </c>
      <c r="Z30" t="str">
        <f t="shared" ca="1" si="40"/>
        <v/>
      </c>
      <c r="AA30" t="str">
        <f ca="1">IF(E30="1",   IF( A30="","",IF(OR(F30="1",H30="1",I30="1"),"","COALESCE (CAST("&amp;A30&amp;" as varchar(" &amp; Options!$B$49&amp; ")),'')")),"")</f>
        <v/>
      </c>
      <c r="AB30" t="str">
        <f ca="1">IF(E30="1", IF(C30="string",  IF( A30="","",IF(OR(F30="1",H30="1",I30="1"),"","COALESCE (CAST(lower("&amp;A30&amp;") as varchar(" &amp;Options!$B$49 &amp; ")),'')")),AA30),"")</f>
        <v/>
      </c>
      <c r="AC30" t="str">
        <f ca="1">IF(E30="4",   IF( A30="","",IF(OR(F30="1",H30="1",I30="1"),"","COALESCE (CAST("  &amp;A30&amp;" as varchar(" &amp; Options!$B$49&amp; ")),'')")),"")</f>
        <v/>
      </c>
      <c r="AD30" t="str">
        <f ca="1">IF(E30="4",   IF( A30="","",IF(OR(F30="1",H30="1",I30="1"),"","COALESCE (CAST(" &amp; HELPER!$B$94 &amp; "."  &amp;A30&amp;" as varchar(" &amp; Options!$B$49&amp; ")),'')")),"")</f>
        <v/>
      </c>
      <c r="AE30" t="str">
        <f t="shared" ca="1" si="10"/>
        <v/>
      </c>
      <c r="AF30" t="str">
        <f ca="1">IF(AE30&lt;&gt;"", HELPER!$B$93 &amp;  "." &amp; AE30,"")</f>
        <v/>
      </c>
      <c r="AG30" t="str">
        <f ca="1">IF(AE30&lt;&gt;"", HELPER!$B$94 &amp; "." &amp; AE30,"")</f>
        <v/>
      </c>
      <c r="AH30" t="str">
        <f t="shared" ca="1" si="11"/>
        <v/>
      </c>
      <c r="AI30" t="str">
        <f t="shared" ca="1" si="12"/>
        <v/>
      </c>
      <c r="AJ30" t="str">
        <f t="shared" ca="1" si="13"/>
        <v/>
      </c>
      <c r="AK30" t="str">
        <f ca="1">IF(E30="4", HELPER!$B$94 &amp;  "." &amp; A30,"")</f>
        <v/>
      </c>
      <c r="AL30" t="str">
        <f ca="1">IF(E30="4", HELPER!$B$93 &amp;  "." &amp; A30,"")</f>
        <v/>
      </c>
      <c r="AM30" t="str">
        <f t="shared" ca="1" si="14"/>
        <v/>
      </c>
      <c r="AN30" t="str">
        <f t="shared" ca="1" si="15"/>
        <v/>
      </c>
      <c r="AO30" t="str">
        <f ca="1">IF(A30&lt;&gt;"", IF(OR(F30="1",H30="1",I30="1"),""," "&amp; HELPER!$B$94 &amp; "." &amp; A30),"")</f>
        <v/>
      </c>
      <c r="AP30" t="str">
        <f t="shared" ca="1" si="16"/>
        <v/>
      </c>
      <c r="AQ30" t="str">
        <f t="shared" ca="1" si="47"/>
        <v/>
      </c>
      <c r="AS30" t="str">
        <f ca="1">IF(A30="","",  HELPER!$B$94 &amp;  "." &amp; A30)</f>
        <v/>
      </c>
      <c r="AT30" t="str">
        <f t="shared" ca="1" si="17"/>
        <v/>
      </c>
      <c r="AU30" t="str">
        <f t="shared" ca="1" si="18"/>
        <v/>
      </c>
      <c r="AV30" s="190" t="str">
        <f t="shared" ca="1" si="19"/>
        <v/>
      </c>
      <c r="AW30" t="str">
        <f t="shared" ca="1" si="20"/>
        <v/>
      </c>
      <c r="AX30" t="str">
        <f ca="1">IF(J30="","","LEFT JOIN "&amp; Options!$B$23 &amp; "." &amp; J30 &amp; " ON ")</f>
        <v/>
      </c>
      <c r="AY30" t="str">
        <f t="shared" ca="1" si="21"/>
        <v/>
      </c>
      <c r="AZ30" t="str">
        <f t="shared" ca="1" si="22"/>
        <v/>
      </c>
      <c r="BA30" t="str">
        <f ca="1">IF(AZ30="","", "CAST(" &amp; AZ30 &amp; " AS varchar(" &amp; Options!$B$49 &amp; "))")</f>
        <v/>
      </c>
      <c r="BB30" t="str">
        <f t="shared" ca="1" si="23"/>
        <v/>
      </c>
      <c r="BC30" t="str">
        <f t="shared" ca="1" si="41"/>
        <v/>
      </c>
      <c r="BE30" t="str">
        <f t="shared" ca="1" si="24"/>
        <v/>
      </c>
      <c r="BF30" t="str">
        <f t="shared" ca="1" si="25"/>
        <v/>
      </c>
      <c r="BG30" t="str">
        <f t="shared" ca="1" si="26"/>
        <v/>
      </c>
      <c r="BH30" s="285" t="str">
        <f t="shared" ca="1" si="42"/>
        <v/>
      </c>
      <c r="BI30" t="str">
        <f t="shared" ca="1" si="27"/>
        <v/>
      </c>
      <c r="BJ30" t="str">
        <f t="shared" ca="1" si="28"/>
        <v/>
      </c>
      <c r="BK30" t="str">
        <f t="shared" ca="1" si="43"/>
        <v/>
      </c>
      <c r="BL30" t="str">
        <f t="shared" ca="1" si="29"/>
        <v/>
      </c>
      <c r="BM30" t="str">
        <f t="shared" ca="1" si="44"/>
        <v/>
      </c>
      <c r="BN30" t="str">
        <f t="shared" ca="1" si="45"/>
        <v/>
      </c>
      <c r="BO30" t="str">
        <f t="shared" ca="1" si="30"/>
        <v/>
      </c>
      <c r="BP30" t="b">
        <f ca="1">COUNTIF(COLHELPER!A30:'COLHELPER'!A30,COLHELPER!A30)&gt;1</f>
        <v>0</v>
      </c>
      <c r="BQ30">
        <f t="shared" ca="1" si="31"/>
        <v>0</v>
      </c>
      <c r="BR30" s="290" t="str">
        <f t="shared" ca="1" si="48"/>
        <v/>
      </c>
      <c r="BS30" t="str">
        <f t="shared" ca="1" si="33"/>
        <v/>
      </c>
      <c r="BT30" t="str">
        <f t="shared" ca="1" si="46"/>
        <v/>
      </c>
      <c r="BU30" t="str">
        <f t="shared" ca="1" si="34"/>
        <v/>
      </c>
      <c r="BV30">
        <f t="shared" ca="1" si="35"/>
        <v>0</v>
      </c>
      <c r="BW30" t="str">
        <f t="shared" ca="1" si="36"/>
        <v/>
      </c>
      <c r="BX30" t="str">
        <f t="shared" ca="1" si="37"/>
        <v/>
      </c>
      <c r="BY30" t="str">
        <f ca="1">IF(R30="","",IF(R30&gt;Options!$B$3,"ALTER TABLE "&amp;HELPER!$B$4&amp;" ADD COLUMNS ("&amp;A30&amp;" "&amp;C30&amp;")",""))</f>
        <v/>
      </c>
      <c r="BZ30" t="str">
        <f ca="1">IF(R30="","",IF(R30&gt;Options!$B$3,A30,""))</f>
        <v/>
      </c>
      <c r="CA30" t="str">
        <f ca="1">IF(R30="","",IF(R30&gt;Options!$B$3,B30,""))</f>
        <v/>
      </c>
      <c r="CB30" t="str">
        <f t="shared" ca="1" si="38"/>
        <v/>
      </c>
      <c r="CC30">
        <f t="shared" ca="1" si="39"/>
        <v>0</v>
      </c>
      <c r="CD30" t="str">
        <f ca="1">IF(J30="","",Options!$B$23 &amp; "." &amp; J30)</f>
        <v/>
      </c>
    </row>
    <row r="31" spans="1:82">
      <c r="A31" s="161" t="str">
        <f t="array" aca="1" ref="A31" ca="1">IF(TRIM(INDIRECT("Columns!A31")) ="","",TRIM(INDIRECT("Columns!A31")))</f>
        <v/>
      </c>
      <c r="B31" s="161" t="str">
        <f t="shared" ca="1" si="0"/>
        <v/>
      </c>
      <c r="C31" s="161" t="str">
        <f t="shared" ca="1" si="1"/>
        <v/>
      </c>
      <c r="D31" s="161" t="str">
        <f t="shared" ca="1" si="2"/>
        <v/>
      </c>
      <c r="E31" s="161" t="str">
        <f t="array" aca="1" ref="E31" ca="1">IF(TRIM(INDIRECT("Columns!E31"))="","",TRIM(INDIRECT("Columns!E31")))</f>
        <v/>
      </c>
      <c r="F31" s="161" t="str">
        <f t="array" aca="1" ref="F31" ca="1">IF(TRIM(INDIRECT("Columns!G31"))="","",TRIM(INDIRECT("Columns!G31")))</f>
        <v/>
      </c>
      <c r="G31" s="161" t="str">
        <f t="array" aca="1" ref="G31" ca="1">IF(TRIM(INDIRECT("Columns!F31"))="","",TRIM(INDIRECT("Columns!F31")))</f>
        <v/>
      </c>
      <c r="H31" s="161" t="str">
        <f t="array" aca="1" ref="H31" ca="1">IF(TRIM(INDIRECT("Columns!H31"))="","",TRIM(INDIRECT("Columns!H31")))</f>
        <v/>
      </c>
      <c r="I31" s="161" t="str">
        <f t="array" aca="1" ref="I31" ca="1">IF(TRIM(INDIRECT("Columns!I31"))="","",TRIM(INDIRECT("Columns!I31")))</f>
        <v/>
      </c>
      <c r="J31" s="161" t="str">
        <f t="array" aca="1" ref="J31" ca="1">IF(TRIM(INDIRECT("Columns!J31"))="","",TRIM(INDIRECT("Columns!J31")))</f>
        <v/>
      </c>
      <c r="K31" s="161" t="str">
        <f t="array" aca="1" ref="K31" ca="1">IF(TRIM(INDIRECT("Columns!K31"))="","",TRIM(INDIRECT("Columns!K31")))</f>
        <v/>
      </c>
      <c r="L31" s="161" t="str">
        <f t="array" aca="1" ref="L31" ca="1">IF(TRIM(INDIRECT("Columns!L31"))="","",TRIM(INDIRECT("Columns!L31")))</f>
        <v/>
      </c>
      <c r="M31" s="161" t="str">
        <f t="array" aca="1" ref="M31" ca="1">IF(TRIM(INDIRECT("Columns!M31"))="","",TRIM(INDIRECT("Columns!M31")))</f>
        <v/>
      </c>
      <c r="N31" s="161" t="str">
        <f t="array" aca="1" ref="N31" ca="1">IF(TRIM(INDIRECT("Columns!N31"))="","",TRIM(INDIRECT("Columns!N31")))</f>
        <v/>
      </c>
      <c r="O31" s="227" t="str">
        <f t="array" aca="1" ref="O31" ca="1">IF(TRIM(INDIRECT("Columns!B31"))="","",TRIM(INDIRECT("Columns!B31")))</f>
        <v/>
      </c>
      <c r="P31" s="227" t="str">
        <f t="array" aca="1" ref="P31" ca="1">IF(TRIM(INDIRECT("Columns!C31"))="","",TRIM(INDIRECT("Columns!C31")))</f>
        <v/>
      </c>
      <c r="Q31" s="227" t="str">
        <f t="array" aca="1" ref="Q31" ca="1">IF(TRIM(INDIRECT("Columns!D31"))="","",TRIM(INDIRECT("Columns!D31")))</f>
        <v/>
      </c>
      <c r="R31" s="227" t="str">
        <f t="array" aca="1" ref="R31" ca="1">IF(TRIM(INDIRECT("Columns!O31"))="","",TRIM(INDIRECT("Columns!O31")))</f>
        <v/>
      </c>
      <c r="S31" t="str">
        <f t="shared" ca="1" si="3"/>
        <v/>
      </c>
      <c r="T31" t="str">
        <f t="shared" ca="1" si="4"/>
        <v/>
      </c>
      <c r="U31" t="str">
        <f t="shared" ca="1" si="5"/>
        <v/>
      </c>
      <c r="V31" t="str">
        <f t="shared" ca="1" si="6"/>
        <v/>
      </c>
      <c r="W31" t="str">
        <f t="shared" ca="1" si="7"/>
        <v/>
      </c>
      <c r="X31" t="str">
        <f t="shared" ca="1" si="8"/>
        <v/>
      </c>
      <c r="Y31" t="str">
        <f t="shared" ca="1" si="9"/>
        <v/>
      </c>
      <c r="Z31" t="str">
        <f t="shared" ca="1" si="40"/>
        <v/>
      </c>
      <c r="AA31" t="str">
        <f ca="1">IF(E31="1",   IF( A31="","",IF(OR(F31="1",H31="1",I31="1"),"","COALESCE (CAST("&amp;A31&amp;" as varchar(" &amp; Options!$B$49&amp; ")),'')")),"")</f>
        <v/>
      </c>
      <c r="AB31" t="str">
        <f ca="1">IF(E31="1", IF(C31="string",  IF( A31="","",IF(OR(F31="1",H31="1",I31="1"),"","COALESCE (CAST(lower("&amp;A31&amp;") as varchar(" &amp;Options!$B$49 &amp; ")),'')")),AA31),"")</f>
        <v/>
      </c>
      <c r="AC31" t="str">
        <f ca="1">IF(E31="4",   IF( A31="","",IF(OR(F31="1",H31="1",I31="1"),"","COALESCE (CAST("  &amp;A31&amp;" as varchar(" &amp; Options!$B$49&amp; ")),'')")),"")</f>
        <v/>
      </c>
      <c r="AD31" t="str">
        <f ca="1">IF(E31="4",   IF( A31="","",IF(OR(F31="1",H31="1",I31="1"),"","COALESCE (CAST(" &amp; HELPER!$B$94 &amp; "."  &amp;A31&amp;" as varchar(" &amp; Options!$B$49&amp; ")),'')")),"")</f>
        <v/>
      </c>
      <c r="AE31" t="str">
        <f t="shared" ca="1" si="10"/>
        <v/>
      </c>
      <c r="AF31" t="str">
        <f ca="1">IF(AE31&lt;&gt;"", HELPER!$B$93 &amp;  "." &amp; AE31,"")</f>
        <v/>
      </c>
      <c r="AG31" t="str">
        <f ca="1">IF(AE31&lt;&gt;"", HELPER!$B$94 &amp; "." &amp; AE31,"")</f>
        <v/>
      </c>
      <c r="AI31" t="str">
        <f t="shared" ca="1" si="12"/>
        <v/>
      </c>
      <c r="AJ31" t="str">
        <f t="shared" ca="1" si="13"/>
        <v/>
      </c>
      <c r="AK31" t="str">
        <f ca="1">IF(E31="4", HELPER!$B$94 &amp;  "." &amp; A31,"")</f>
        <v/>
      </c>
      <c r="AL31" t="str">
        <f ca="1">IF(E31="4", HELPER!$B$93 &amp;  "." &amp; A31,"")</f>
        <v/>
      </c>
      <c r="AM31" t="str">
        <f t="shared" ca="1" si="14"/>
        <v/>
      </c>
      <c r="AN31" t="str">
        <f t="shared" ca="1" si="15"/>
        <v/>
      </c>
      <c r="AO31" t="str">
        <f ca="1">IF(A31&lt;&gt;"", IF(OR(F31="1",H31="1",I31="1"),""," "&amp; HELPER!$B$94 &amp; "." &amp; A31),"")</f>
        <v/>
      </c>
      <c r="AP31" t="str">
        <f t="shared" ca="1" si="16"/>
        <v/>
      </c>
      <c r="AQ31" t="str">
        <f t="shared" ca="1" si="47"/>
        <v/>
      </c>
      <c r="AS31" t="str">
        <f ca="1">IF(A31="","",  HELPER!$B$94 &amp;  "." &amp; A31)</f>
        <v/>
      </c>
      <c r="AT31" t="str">
        <f t="shared" ca="1" si="17"/>
        <v/>
      </c>
      <c r="AU31" t="str">
        <f t="shared" ca="1" si="18"/>
        <v/>
      </c>
      <c r="AV31" s="190" t="str">
        <f t="shared" ca="1" si="19"/>
        <v/>
      </c>
      <c r="AW31" t="str">
        <f t="shared" ca="1" si="20"/>
        <v/>
      </c>
      <c r="AY31" t="str">
        <f t="shared" ca="1" si="21"/>
        <v/>
      </c>
      <c r="AZ31" t="str">
        <f t="shared" ca="1" si="22"/>
        <v/>
      </c>
      <c r="BA31" t="str">
        <f ca="1">IF(AZ31="","", "CAST(" &amp; AZ31 &amp; " AS varchar(" &amp; Options!$B$49 &amp; "))")</f>
        <v/>
      </c>
      <c r="BB31" t="str">
        <f t="shared" ca="1" si="23"/>
        <v/>
      </c>
      <c r="BC31" t="str">
        <f t="shared" ca="1" si="41"/>
        <v/>
      </c>
      <c r="BE31" t="str">
        <f t="shared" ca="1" si="24"/>
        <v/>
      </c>
      <c r="BF31" t="str">
        <f t="shared" ca="1" si="25"/>
        <v/>
      </c>
      <c r="BG31" t="str">
        <f t="shared" ca="1" si="26"/>
        <v/>
      </c>
      <c r="BH31" s="285" t="str">
        <f t="shared" ca="1" si="42"/>
        <v/>
      </c>
      <c r="BI31" t="str">
        <f t="shared" ca="1" si="27"/>
        <v/>
      </c>
      <c r="BJ31" t="str">
        <f t="shared" ca="1" si="28"/>
        <v/>
      </c>
      <c r="BK31" t="str">
        <f t="shared" ca="1" si="43"/>
        <v/>
      </c>
      <c r="BL31" t="str">
        <f t="shared" ca="1" si="29"/>
        <v/>
      </c>
      <c r="BM31" t="str">
        <f t="shared" ca="1" si="44"/>
        <v/>
      </c>
      <c r="BN31" t="str">
        <f t="shared" ca="1" si="45"/>
        <v/>
      </c>
      <c r="BO31" t="str">
        <f t="shared" ca="1" si="30"/>
        <v/>
      </c>
      <c r="BP31" t="b">
        <f ca="1">COUNTIF(COLHELPER!A31:'COLHELPER'!A31,COLHELPER!A31)&gt;1</f>
        <v>0</v>
      </c>
      <c r="BQ31">
        <f t="shared" ca="1" si="31"/>
        <v>0</v>
      </c>
      <c r="BR31" s="290" t="str">
        <f t="shared" ca="1" si="48"/>
        <v/>
      </c>
      <c r="BS31" t="str">
        <f t="shared" ca="1" si="33"/>
        <v/>
      </c>
      <c r="BT31" t="str">
        <f t="shared" ca="1" si="46"/>
        <v/>
      </c>
      <c r="BU31" t="str">
        <f t="shared" ca="1" si="34"/>
        <v/>
      </c>
      <c r="BV31">
        <f t="shared" ca="1" si="35"/>
        <v>0</v>
      </c>
      <c r="BW31" t="str">
        <f t="shared" ca="1" si="36"/>
        <v/>
      </c>
      <c r="BX31" t="str">
        <f t="shared" ca="1" si="37"/>
        <v/>
      </c>
      <c r="BY31" t="str">
        <f ca="1">IF(R31="","",IF(R31&gt;Options!$B$3,"ALTER TABLE "&amp;HELPER!$B$4&amp;" ADD COLUMNS ("&amp;A31&amp;" "&amp;C31&amp;")",""))</f>
        <v/>
      </c>
      <c r="BZ31" t="str">
        <f ca="1">IF(R31="","",IF(R31&gt;Options!$B$3,A31,""))</f>
        <v/>
      </c>
      <c r="CA31" t="str">
        <f ca="1">IF(R31="","",IF(R31&gt;Options!$B$3,B31,""))</f>
        <v/>
      </c>
      <c r="CB31" t="str">
        <f t="shared" ca="1" si="38"/>
        <v/>
      </c>
      <c r="CC31">
        <f t="shared" ca="1" si="39"/>
        <v>0</v>
      </c>
      <c r="CD31" t="str">
        <f ca="1">IF(J31="","",Options!$B$23 &amp; "." &amp; J31)</f>
        <v/>
      </c>
    </row>
    <row r="32" spans="1:82">
      <c r="A32" s="161" t="str">
        <f t="array" aca="1" ref="A32" ca="1">IF(TRIM(INDIRECT("Columns!A32")) ="","",TRIM(INDIRECT("Columns!A32")))</f>
        <v/>
      </c>
      <c r="B32" s="161" t="str">
        <f t="shared" ca="1" si="0"/>
        <v/>
      </c>
      <c r="C32" s="161" t="str">
        <f t="shared" ca="1" si="1"/>
        <v/>
      </c>
      <c r="D32" s="161" t="str">
        <f t="shared" ca="1" si="2"/>
        <v/>
      </c>
      <c r="E32" s="161" t="str">
        <f t="array" aca="1" ref="E32" ca="1">IF(TRIM(INDIRECT("Columns!E32"))="","",TRIM(INDIRECT("Columns!E32")))</f>
        <v/>
      </c>
      <c r="F32" s="161" t="str">
        <f t="array" aca="1" ref="F32" ca="1">IF(TRIM(INDIRECT("Columns!G32"))="","",TRIM(INDIRECT("Columns!G32")))</f>
        <v/>
      </c>
      <c r="G32" s="161" t="str">
        <f t="array" aca="1" ref="G32" ca="1">IF(TRIM(INDIRECT("Columns!F32"))="","",TRIM(INDIRECT("Columns!F32")))</f>
        <v/>
      </c>
      <c r="H32" s="161" t="str">
        <f t="array" aca="1" ref="H32" ca="1">IF(TRIM(INDIRECT("Columns!H32"))="","",TRIM(INDIRECT("Columns!H32")))</f>
        <v/>
      </c>
      <c r="I32" s="161" t="str">
        <f t="array" aca="1" ref="I32" ca="1">IF(TRIM(INDIRECT("Columns!I32"))="","",TRIM(INDIRECT("Columns!I32")))</f>
        <v/>
      </c>
      <c r="J32" s="161" t="str">
        <f t="array" aca="1" ref="J32" ca="1">IF(TRIM(INDIRECT("Columns!J32"))="","",TRIM(INDIRECT("Columns!J32")))</f>
        <v/>
      </c>
      <c r="K32" s="161" t="str">
        <f t="array" aca="1" ref="K32" ca="1">IF(TRIM(INDIRECT("Columns!K32"))="","",TRIM(INDIRECT("Columns!K32")))</f>
        <v/>
      </c>
      <c r="L32" s="161" t="str">
        <f t="array" aca="1" ref="L32" ca="1">IF(TRIM(INDIRECT("Columns!L32"))="","",TRIM(INDIRECT("Columns!L32")))</f>
        <v/>
      </c>
      <c r="M32" s="161" t="str">
        <f t="array" aca="1" ref="M32" ca="1">IF(TRIM(INDIRECT("Columns!M32"))="","",TRIM(INDIRECT("Columns!M32")))</f>
        <v/>
      </c>
      <c r="N32" s="161" t="str">
        <f t="array" aca="1" ref="N32" ca="1">IF(TRIM(INDIRECT("Columns!N32"))="","",TRIM(INDIRECT("Columns!N32")))</f>
        <v/>
      </c>
      <c r="O32" s="227" t="str">
        <f t="array" aca="1" ref="O32" ca="1">IF(TRIM(INDIRECT("Columns!B32"))="","",TRIM(INDIRECT("Columns!B32")))</f>
        <v/>
      </c>
      <c r="P32" s="227" t="str">
        <f t="array" aca="1" ref="P32" ca="1">IF(TRIM(INDIRECT("Columns!C32"))="","",TRIM(INDIRECT("Columns!C32")))</f>
        <v/>
      </c>
      <c r="Q32" s="227" t="str">
        <f t="array" aca="1" ref="Q32" ca="1">IF(TRIM(INDIRECT("Columns!D32"))="","",TRIM(INDIRECT("Columns!D32")))</f>
        <v/>
      </c>
      <c r="R32" s="227" t="str">
        <f t="array" aca="1" ref="R32" ca="1">IF(TRIM(INDIRECT("Columns!O32"))="","",TRIM(INDIRECT("Columns!O32")))</f>
        <v/>
      </c>
      <c r="S32" t="str">
        <f t="shared" ca="1" si="3"/>
        <v/>
      </c>
      <c r="T32" t="str">
        <f t="shared" ca="1" si="4"/>
        <v/>
      </c>
      <c r="U32" t="str">
        <f t="shared" ca="1" si="5"/>
        <v/>
      </c>
      <c r="V32" t="str">
        <f t="shared" ca="1" si="6"/>
        <v/>
      </c>
      <c r="W32" t="str">
        <f t="shared" ca="1" si="7"/>
        <v/>
      </c>
      <c r="X32" t="str">
        <f t="shared" ca="1" si="8"/>
        <v/>
      </c>
      <c r="Y32" t="str">
        <f t="shared" ca="1" si="9"/>
        <v/>
      </c>
      <c r="Z32" t="str">
        <f t="shared" ca="1" si="40"/>
        <v/>
      </c>
      <c r="AA32" t="str">
        <f ca="1">IF(E32="1",   IF( A32="","",IF(OR(F32="1",H32="1",I32="1"),"","COALESCE (CAST("&amp;A32&amp;" as varchar(" &amp; Options!$B$49&amp; ")),'')")),"")</f>
        <v/>
      </c>
      <c r="AB32" t="str">
        <f ca="1">IF(E32="1", IF(C32="string",  IF( A32="","",IF(OR(F32="1",H32="1",I32="1"),"","COALESCE (CAST(lower("&amp;A32&amp;") as varchar(" &amp;Options!$B$49 &amp; ")),'')")),AA32),"")</f>
        <v/>
      </c>
      <c r="AC32" t="str">
        <f ca="1">IF(E32="4",   IF( A32="","",IF(OR(F32="1",H32="1",I32="1"),"","COALESCE (CAST("  &amp;A32&amp;" as varchar(" &amp; Options!$B$49&amp; ")),'')")),"")</f>
        <v/>
      </c>
      <c r="AD32" t="str">
        <f ca="1">IF(E32="4",   IF( A32="","",IF(OR(F32="1",H32="1",I32="1"),"","COALESCE (CAST(" &amp; HELPER!$B$94 &amp; "."  &amp;A32&amp;" as varchar(" &amp; Options!$B$49&amp; ")),'')")),"")</f>
        <v/>
      </c>
      <c r="AE32" t="str">
        <f t="shared" ca="1" si="10"/>
        <v/>
      </c>
      <c r="AF32" t="str">
        <f ca="1">IF(AE32&lt;&gt;"", HELPER!$B$93 &amp;  "." &amp; AE32,"")</f>
        <v/>
      </c>
      <c r="AG32" t="str">
        <f ca="1">IF(AE32&lt;&gt;"", HELPER!$B$94 &amp; "." &amp; AE32,"")</f>
        <v/>
      </c>
      <c r="AI32" t="str">
        <f t="shared" ca="1" si="12"/>
        <v/>
      </c>
      <c r="AJ32" t="str">
        <f t="shared" ca="1" si="13"/>
        <v/>
      </c>
      <c r="AK32" t="str">
        <f ca="1">IF(E32="4", HELPER!$B$94 &amp;  "." &amp; A32,"")</f>
        <v/>
      </c>
      <c r="AL32" t="str">
        <f ca="1">IF(E32="4", HELPER!$B$93 &amp;  "." &amp; A32,"")</f>
        <v/>
      </c>
      <c r="AM32" t="str">
        <f t="shared" ca="1" si="14"/>
        <v/>
      </c>
      <c r="AN32" t="str">
        <f t="shared" ca="1" si="15"/>
        <v/>
      </c>
      <c r="AO32" t="str">
        <f ca="1">IF(A32&lt;&gt;"", IF(OR(F32="1",H32="1",I32="1"),""," "&amp; HELPER!$B$94 &amp; "." &amp; A32),"")</f>
        <v/>
      </c>
      <c r="AP32" t="str">
        <f t="shared" ca="1" si="16"/>
        <v/>
      </c>
      <c r="AQ32" t="str">
        <f t="shared" ca="1" si="47"/>
        <v/>
      </c>
      <c r="AS32" t="str">
        <f ca="1">IF(A32="","",  HELPER!$B$94 &amp;  "." &amp; A32)</f>
        <v/>
      </c>
      <c r="AT32" t="str">
        <f t="shared" ca="1" si="17"/>
        <v/>
      </c>
      <c r="AU32" t="str">
        <f t="shared" ca="1" si="18"/>
        <v/>
      </c>
      <c r="AV32" s="190" t="str">
        <f t="shared" ca="1" si="19"/>
        <v/>
      </c>
      <c r="AW32" t="str">
        <f t="shared" ca="1" si="20"/>
        <v/>
      </c>
      <c r="AY32" t="str">
        <f t="shared" ca="1" si="21"/>
        <v/>
      </c>
      <c r="AZ32" t="str">
        <f t="shared" ca="1" si="22"/>
        <v/>
      </c>
      <c r="BA32" t="str">
        <f ca="1">IF(AZ32="","", "CAST(" &amp; AZ32 &amp; " AS varchar(" &amp; Options!$B$49 &amp; "))")</f>
        <v/>
      </c>
      <c r="BB32" t="str">
        <f t="shared" ca="1" si="23"/>
        <v/>
      </c>
      <c r="BC32" t="str">
        <f t="shared" ca="1" si="41"/>
        <v/>
      </c>
      <c r="BE32" t="str">
        <f t="shared" ca="1" si="24"/>
        <v/>
      </c>
      <c r="BF32" t="str">
        <f t="shared" ca="1" si="25"/>
        <v/>
      </c>
      <c r="BG32" t="str">
        <f t="shared" ca="1" si="26"/>
        <v/>
      </c>
      <c r="BH32" s="285" t="str">
        <f t="shared" ca="1" si="42"/>
        <v/>
      </c>
      <c r="BI32" t="str">
        <f t="shared" ca="1" si="27"/>
        <v/>
      </c>
      <c r="BJ32" t="str">
        <f t="shared" ca="1" si="28"/>
        <v/>
      </c>
      <c r="BK32" t="str">
        <f t="shared" ca="1" si="43"/>
        <v/>
      </c>
      <c r="BL32" t="str">
        <f t="shared" ca="1" si="29"/>
        <v/>
      </c>
      <c r="BM32" t="str">
        <f t="shared" ca="1" si="44"/>
        <v/>
      </c>
      <c r="BN32" t="str">
        <f t="shared" ca="1" si="45"/>
        <v/>
      </c>
      <c r="BO32" t="str">
        <f t="shared" ca="1" si="30"/>
        <v/>
      </c>
      <c r="BP32" t="b">
        <f ca="1">COUNTIF(COLHELPER!A32:'COLHELPER'!A32,COLHELPER!A32)&gt;1</f>
        <v>0</v>
      </c>
      <c r="BQ32">
        <f t="shared" ca="1" si="31"/>
        <v>0</v>
      </c>
      <c r="BR32" s="290" t="str">
        <f t="shared" ca="1" si="48"/>
        <v/>
      </c>
      <c r="BS32" t="str">
        <f t="shared" ca="1" si="33"/>
        <v/>
      </c>
      <c r="BT32" t="str">
        <f t="shared" ca="1" si="46"/>
        <v/>
      </c>
      <c r="BU32" t="str">
        <f t="shared" ca="1" si="34"/>
        <v/>
      </c>
      <c r="BV32">
        <f t="shared" ca="1" si="35"/>
        <v>0</v>
      </c>
      <c r="BW32" t="str">
        <f t="shared" ca="1" si="36"/>
        <v/>
      </c>
      <c r="BX32" t="str">
        <f t="shared" ca="1" si="37"/>
        <v/>
      </c>
      <c r="BY32" t="str">
        <f ca="1">IF(R32="","",IF(R32&gt;Options!$B$3,"ALTER TABLE "&amp;HELPER!$B$4&amp;" ADD COLUMNS ("&amp;A32&amp;" "&amp;C32&amp;")",""))</f>
        <v/>
      </c>
      <c r="BZ32" t="str">
        <f ca="1">IF(R32="","",IF(R32&gt;Options!$B$3,A32,""))</f>
        <v/>
      </c>
      <c r="CA32" t="str">
        <f ca="1">IF(R32="","",IF(R32&gt;Options!$B$3,B32,""))</f>
        <v/>
      </c>
      <c r="CB32" t="str">
        <f t="shared" ca="1" si="38"/>
        <v/>
      </c>
      <c r="CC32">
        <f t="shared" ca="1" si="39"/>
        <v>0</v>
      </c>
      <c r="CD32" t="str">
        <f ca="1">IF(J32="","",Options!$B$23 &amp; "." &amp; J32)</f>
        <v/>
      </c>
    </row>
    <row r="33" spans="1:82">
      <c r="A33" s="161" t="str">
        <f t="array" aca="1" ref="A33" ca="1">IF(TRIM(INDIRECT("Columns!A33")) ="","",TRIM(INDIRECT("Columns!A33")))</f>
        <v/>
      </c>
      <c r="B33" s="161" t="str">
        <f t="shared" ca="1" si="0"/>
        <v/>
      </c>
      <c r="C33" s="161" t="str">
        <f t="shared" ca="1" si="1"/>
        <v/>
      </c>
      <c r="D33" s="161" t="str">
        <f t="shared" ca="1" si="2"/>
        <v/>
      </c>
      <c r="E33" s="161" t="str">
        <f t="array" aca="1" ref="E33" ca="1">IF(TRIM(INDIRECT("Columns!E33"))="","",TRIM(INDIRECT("Columns!E33")))</f>
        <v/>
      </c>
      <c r="F33" s="161" t="str">
        <f t="array" aca="1" ref="F33" ca="1">IF(TRIM(INDIRECT("Columns!G33"))="","",TRIM(INDIRECT("Columns!G33")))</f>
        <v/>
      </c>
      <c r="G33" s="161" t="str">
        <f t="array" aca="1" ref="G33" ca="1">IF(TRIM(INDIRECT("Columns!F33"))="","",TRIM(INDIRECT("Columns!F33")))</f>
        <v/>
      </c>
      <c r="H33" s="161" t="str">
        <f t="array" aca="1" ref="H33" ca="1">IF(TRIM(INDIRECT("Columns!H33"))="","",TRIM(INDIRECT("Columns!H33")))</f>
        <v/>
      </c>
      <c r="I33" s="161" t="str">
        <f t="array" aca="1" ref="I33" ca="1">IF(TRIM(INDIRECT("Columns!I33"))="","",TRIM(INDIRECT("Columns!I33")))</f>
        <v/>
      </c>
      <c r="J33" s="161" t="str">
        <f t="array" aca="1" ref="J33" ca="1">IF(TRIM(INDIRECT("Columns!J33"))="","",TRIM(INDIRECT("Columns!J33")))</f>
        <v/>
      </c>
      <c r="K33" s="161" t="str">
        <f t="array" aca="1" ref="K33" ca="1">IF(TRIM(INDIRECT("Columns!K33"))="","",TRIM(INDIRECT("Columns!K33")))</f>
        <v/>
      </c>
      <c r="L33" s="161" t="str">
        <f t="array" aca="1" ref="L33" ca="1">IF(TRIM(INDIRECT("Columns!L33"))="","",TRIM(INDIRECT("Columns!L33")))</f>
        <v/>
      </c>
      <c r="M33" s="161" t="str">
        <f t="array" aca="1" ref="M33" ca="1">IF(TRIM(INDIRECT("Columns!M33"))="","",TRIM(INDIRECT("Columns!M33")))</f>
        <v/>
      </c>
      <c r="N33" s="161" t="str">
        <f t="array" aca="1" ref="N33" ca="1">IF(TRIM(INDIRECT("Columns!N33"))="","",TRIM(INDIRECT("Columns!N33")))</f>
        <v/>
      </c>
      <c r="O33" s="227" t="str">
        <f t="array" aca="1" ref="O33" ca="1">IF(TRIM(INDIRECT("Columns!B33"))="","",TRIM(INDIRECT("Columns!B33")))</f>
        <v/>
      </c>
      <c r="P33" s="227" t="str">
        <f t="array" aca="1" ref="P33" ca="1">IF(TRIM(INDIRECT("Columns!C33"))="","",TRIM(INDIRECT("Columns!C33")))</f>
        <v/>
      </c>
      <c r="Q33" s="227" t="str">
        <f t="array" aca="1" ref="Q33" ca="1">IF(TRIM(INDIRECT("Columns!D33"))="","",TRIM(INDIRECT("Columns!D33")))</f>
        <v/>
      </c>
      <c r="R33" s="227" t="str">
        <f t="array" aca="1" ref="R33" ca="1">IF(TRIM(INDIRECT("Columns!O33"))="","",TRIM(INDIRECT("Columns!O33")))</f>
        <v/>
      </c>
      <c r="S33" t="str">
        <f t="shared" ca="1" si="3"/>
        <v/>
      </c>
      <c r="T33" t="str">
        <f t="shared" ca="1" si="4"/>
        <v/>
      </c>
      <c r="U33" t="str">
        <f t="shared" ca="1" si="5"/>
        <v/>
      </c>
      <c r="V33" t="str">
        <f t="shared" ca="1" si="6"/>
        <v/>
      </c>
      <c r="W33" t="str">
        <f t="shared" ca="1" si="7"/>
        <v/>
      </c>
      <c r="X33" t="str">
        <f t="shared" ca="1" si="8"/>
        <v/>
      </c>
      <c r="Y33" t="str">
        <f t="shared" ca="1" si="9"/>
        <v/>
      </c>
      <c r="Z33" t="str">
        <f t="shared" ca="1" si="40"/>
        <v/>
      </c>
      <c r="AA33" t="str">
        <f ca="1">IF(E33="1",   IF( A33="","",IF(OR(F33="1",H33="1",I33="1"),"","COALESCE (CAST("&amp;A33&amp;" as varchar(" &amp; Options!$B$49&amp; ")),'')")),"")</f>
        <v/>
      </c>
      <c r="AB33" t="str">
        <f ca="1">IF(E33="1", IF(C33="string",  IF( A33="","",IF(OR(F33="1",H33="1",I33="1"),"","COALESCE (CAST(lower("&amp;A33&amp;") as varchar(" &amp;Options!$B$49 &amp; ")),'')")),AA33),"")</f>
        <v/>
      </c>
      <c r="AC33" t="str">
        <f ca="1">IF(E33="4",   IF( A33="","",IF(OR(F33="1",H33="1",I33="1"),"","COALESCE (CAST("  &amp;A33&amp;" as varchar(" &amp; Options!$B$49&amp; ")),'')")),"")</f>
        <v/>
      </c>
      <c r="AD33" t="str">
        <f ca="1">IF(E33="4",   IF( A33="","",IF(OR(F33="1",H33="1",I33="1"),"","COALESCE (CAST(" &amp; HELPER!$B$94 &amp; "."  &amp;A33&amp;" as varchar(" &amp; Options!$B$49&amp; ")),'')")),"")</f>
        <v/>
      </c>
      <c r="AE33" t="str">
        <f t="shared" ca="1" si="10"/>
        <v/>
      </c>
      <c r="AF33" t="str">
        <f ca="1">IF(AE33&lt;&gt;"", HELPER!$B$93 &amp;  "." &amp; AE33,"")</f>
        <v/>
      </c>
      <c r="AG33" t="str">
        <f ca="1">IF(AE33&lt;&gt;"", HELPER!$B$94 &amp; "." &amp; AE33,"")</f>
        <v/>
      </c>
      <c r="AI33" t="str">
        <f t="shared" ca="1" si="12"/>
        <v/>
      </c>
      <c r="AJ33" t="str">
        <f t="shared" ca="1" si="13"/>
        <v/>
      </c>
      <c r="AK33" t="str">
        <f ca="1">IF(E33="4", HELPER!$B$94 &amp;  "." &amp; A33,"")</f>
        <v/>
      </c>
      <c r="AL33" t="str">
        <f ca="1">IF(E33="4", HELPER!$B$93 &amp;  "." &amp; A33,"")</f>
        <v/>
      </c>
      <c r="AM33" t="str">
        <f t="shared" ca="1" si="14"/>
        <v/>
      </c>
      <c r="AN33" t="str">
        <f t="shared" ca="1" si="15"/>
        <v/>
      </c>
      <c r="AO33" t="str">
        <f ca="1">IF(A33&lt;&gt;"", IF(OR(F33="1",H33="1",I33="1"),""," "&amp; HELPER!$B$94 &amp; "." &amp; A33),"")</f>
        <v/>
      </c>
      <c r="AP33" t="str">
        <f t="shared" ca="1" si="16"/>
        <v/>
      </c>
      <c r="AQ33" t="str">
        <f t="shared" ca="1" si="47"/>
        <v/>
      </c>
      <c r="AS33" t="str">
        <f ca="1">IF(A33="","",  HELPER!$B$94 &amp;  "." &amp; A33)</f>
        <v/>
      </c>
      <c r="AT33" t="str">
        <f t="shared" ca="1" si="17"/>
        <v/>
      </c>
      <c r="AU33" t="str">
        <f t="shared" ca="1" si="18"/>
        <v/>
      </c>
      <c r="AV33" s="190" t="str">
        <f t="shared" ca="1" si="19"/>
        <v/>
      </c>
      <c r="AW33" t="str">
        <f t="shared" ca="1" si="20"/>
        <v/>
      </c>
      <c r="AY33" t="str">
        <f t="shared" ca="1" si="21"/>
        <v/>
      </c>
      <c r="AZ33" t="str">
        <f t="shared" ca="1" si="22"/>
        <v/>
      </c>
      <c r="BA33" t="str">
        <f ca="1">IF(AZ33="","", "CAST(" &amp; AZ33 &amp; " AS varchar(" &amp; Options!$B$49 &amp; "))")</f>
        <v/>
      </c>
      <c r="BB33" t="str">
        <f t="shared" ca="1" si="23"/>
        <v/>
      </c>
      <c r="BC33" t="str">
        <f t="shared" ca="1" si="41"/>
        <v/>
      </c>
      <c r="BD33" t="str">
        <f ca="1">IF(BB33="","",BB33 &amp; " AS " &amp; COLUMNS!#REF!)</f>
        <v/>
      </c>
      <c r="BE33" t="str">
        <f t="shared" ca="1" si="24"/>
        <v/>
      </c>
      <c r="BF33" t="str">
        <f t="shared" ca="1" si="25"/>
        <v/>
      </c>
      <c r="BG33" t="str">
        <f t="shared" ca="1" si="26"/>
        <v/>
      </c>
      <c r="BH33" s="285" t="str">
        <f t="shared" ca="1" si="42"/>
        <v/>
      </c>
      <c r="BI33" t="str">
        <f t="shared" ca="1" si="27"/>
        <v/>
      </c>
      <c r="BJ33" t="str">
        <f t="shared" ca="1" si="28"/>
        <v/>
      </c>
      <c r="BK33" t="str">
        <f t="shared" ca="1" si="43"/>
        <v/>
      </c>
      <c r="BL33" t="str">
        <f t="shared" ca="1" si="29"/>
        <v/>
      </c>
      <c r="BM33" t="str">
        <f t="shared" ca="1" si="44"/>
        <v/>
      </c>
      <c r="BN33" t="str">
        <f t="shared" ca="1" si="45"/>
        <v/>
      </c>
      <c r="BO33" t="str">
        <f t="shared" ca="1" si="30"/>
        <v/>
      </c>
      <c r="BP33" t="b">
        <f ca="1">COUNTIF(COLHELPER!A33:'COLHELPER'!A33,COLHELPER!A33)&gt;1</f>
        <v>0</v>
      </c>
      <c r="BQ33">
        <f t="shared" ca="1" si="31"/>
        <v>0</v>
      </c>
      <c r="BR33" s="290" t="str">
        <f t="shared" ca="1" si="48"/>
        <v/>
      </c>
      <c r="BS33" t="str">
        <f t="shared" ca="1" si="33"/>
        <v/>
      </c>
      <c r="BT33" t="str">
        <f t="shared" ca="1" si="46"/>
        <v/>
      </c>
      <c r="BU33" t="str">
        <f t="shared" ca="1" si="34"/>
        <v/>
      </c>
      <c r="BV33">
        <f t="shared" ca="1" si="35"/>
        <v>0</v>
      </c>
      <c r="BW33" t="str">
        <f t="shared" ca="1" si="36"/>
        <v/>
      </c>
      <c r="BX33" t="str">
        <f t="shared" ca="1" si="37"/>
        <v/>
      </c>
      <c r="BY33" t="str">
        <f ca="1">IF(R33="","",IF(R33&gt;Options!$B$3,"ALTER TABLE "&amp;HELPER!$B$4&amp;" ADD COLUMNS ("&amp;A33&amp;" "&amp;C33&amp;")",""))</f>
        <v/>
      </c>
      <c r="BZ33" t="str">
        <f ca="1">IF(R33="","",IF(R33&gt;Options!$B$3,A33,""))</f>
        <v/>
      </c>
      <c r="CA33" t="str">
        <f ca="1">IF(R33="","",IF(R33&gt;Options!$B$3,B33,""))</f>
        <v/>
      </c>
      <c r="CB33" t="str">
        <f t="shared" ca="1" si="38"/>
        <v/>
      </c>
      <c r="CC33">
        <f t="shared" ca="1" si="39"/>
        <v>0</v>
      </c>
      <c r="CD33" t="str">
        <f ca="1">IF(J33="","",Options!$B$23 &amp; "." &amp; J33)</f>
        <v/>
      </c>
    </row>
    <row r="34" spans="1:82">
      <c r="A34" s="161" t="str">
        <f t="array" aca="1" ref="A34" ca="1">IF(TRIM(INDIRECT("Columns!A34")) ="","",TRIM(INDIRECT("Columns!A34")))</f>
        <v/>
      </c>
      <c r="B34" s="161" t="str">
        <f t="shared" ref="B34:B65" ca="1" si="49">IF(I34="1","",IF(O34="",IF(G34="",A34,G34 &amp; " AS " &amp; A34),O34))</f>
        <v/>
      </c>
      <c r="C34" s="161" t="str">
        <f t="shared" ref="C34:C65" ca="1" si="50">IF(I34="1","bigint",P34)</f>
        <v/>
      </c>
      <c r="D34" s="161" t="str">
        <f t="shared" ref="D34:D65" ca="1" si="51">IF(Q34 ="",C34,Q34)</f>
        <v/>
      </c>
      <c r="E34" s="161" t="str">
        <f t="array" aca="1" ref="E34" ca="1">IF(TRIM(INDIRECT("Columns!E34"))="","",TRIM(INDIRECT("Columns!E34")))</f>
        <v/>
      </c>
      <c r="F34" s="161" t="str">
        <f t="array" aca="1" ref="F34" ca="1">IF(TRIM(INDIRECT("Columns!G34"))="","",TRIM(INDIRECT("Columns!G34")))</f>
        <v/>
      </c>
      <c r="G34" s="161" t="str">
        <f t="array" aca="1" ref="G34" ca="1">IF(TRIM(INDIRECT("Columns!F34"))="","",TRIM(INDIRECT("Columns!F34")))</f>
        <v/>
      </c>
      <c r="H34" s="161" t="str">
        <f t="array" aca="1" ref="H34" ca="1">IF(TRIM(INDIRECT("Columns!H34"))="","",TRIM(INDIRECT("Columns!H34")))</f>
        <v/>
      </c>
      <c r="I34" s="161" t="str">
        <f t="array" aca="1" ref="I34" ca="1">IF(TRIM(INDIRECT("Columns!I34"))="","",TRIM(INDIRECT("Columns!I34")))</f>
        <v/>
      </c>
      <c r="J34" s="161" t="str">
        <f t="array" aca="1" ref="J34" ca="1">IF(TRIM(INDIRECT("Columns!J34"))="","",TRIM(INDIRECT("Columns!J34")))</f>
        <v/>
      </c>
      <c r="K34" s="161" t="str">
        <f t="array" aca="1" ref="K34" ca="1">IF(TRIM(INDIRECT("Columns!K34"))="","",TRIM(INDIRECT("Columns!K34")))</f>
        <v/>
      </c>
      <c r="L34" s="161" t="str">
        <f t="array" aca="1" ref="L34" ca="1">IF(TRIM(INDIRECT("Columns!L34"))="","",TRIM(INDIRECT("Columns!L34")))</f>
        <v/>
      </c>
      <c r="M34" s="161" t="str">
        <f t="array" aca="1" ref="M34" ca="1">IF(TRIM(INDIRECT("Columns!M34"))="","",TRIM(INDIRECT("Columns!M34")))</f>
        <v/>
      </c>
      <c r="N34" s="161" t="str">
        <f t="array" aca="1" ref="N34" ca="1">IF(TRIM(INDIRECT("Columns!N34"))="","",TRIM(INDIRECT("Columns!N34")))</f>
        <v/>
      </c>
      <c r="O34" s="227" t="str">
        <f t="array" aca="1" ref="O34" ca="1">IF(TRIM(INDIRECT("Columns!B34"))="","",TRIM(INDIRECT("Columns!B34")))</f>
        <v/>
      </c>
      <c r="P34" s="227" t="str">
        <f t="array" aca="1" ref="P34" ca="1">IF(TRIM(INDIRECT("Columns!C34"))="","",TRIM(INDIRECT("Columns!C34")))</f>
        <v/>
      </c>
      <c r="Q34" s="227" t="str">
        <f t="array" aca="1" ref="Q34" ca="1">IF(TRIM(INDIRECT("Columns!D34"))="","",TRIM(INDIRECT("Columns!D34")))</f>
        <v/>
      </c>
      <c r="R34" s="227" t="str">
        <f t="array" aca="1" ref="R34" ca="1">IF(TRIM(INDIRECT("Columns!O34"))="","",TRIM(INDIRECT("Columns!O34")))</f>
        <v/>
      </c>
      <c r="S34" t="str">
        <f t="shared" ref="S34:S65" ca="1" si="52">IF(A34="","",A34 &amp; " " &amp; IF(C34="array&lt;varchar&gt;","array&lt;string&gt;",C34))</f>
        <v/>
      </c>
      <c r="T34" t="str">
        <f t="shared" ref="T34:T65" ca="1" si="53">IF(AND(H34="1",I34=""),B34,"")</f>
        <v/>
      </c>
      <c r="U34" t="str">
        <f t="shared" ref="U34:U65" ca="1" si="54">IF(AND(H34="1",I34=""),IF(G34="",B34,A34),"")</f>
        <v/>
      </c>
      <c r="V34" t="str">
        <f t="shared" ref="V34:V65" ca="1" si="55">IF(A34="","",IF(F34&lt;&gt;"1",S34,""))</f>
        <v/>
      </c>
      <c r="W34" t="str">
        <f t="shared" ref="W34:W65" ca="1" si="56">IF(I34="1",A34&amp;"_history bigint",IF(OR(E34="4"),S34,""))</f>
        <v/>
      </c>
      <c r="X34" t="str">
        <f t="shared" ref="X34:X65" ca="1" si="57">IF(I34="1",A34&amp;"_history",IF(OR(E34="4"),A34,""))</f>
        <v/>
      </c>
      <c r="Y34" t="str">
        <f t="shared" ref="Y34:Y65" ca="1" si="58">IF(F34="1",A34 &amp; " " &amp; C34,"" )</f>
        <v/>
      </c>
      <c r="Z34" t="str">
        <f ca="1">IF(A34="","", IF(F34="1",B34,""  ))</f>
        <v/>
      </c>
      <c r="AA34" t="str">
        <f ca="1">IF(E34="1",   IF( A34="","",IF(OR(F34="1",H34="1",I34="1"),"","COALESCE (CAST("&amp;A34&amp;" as varchar(" &amp; Options!$B$49&amp; ")),'')")),"")</f>
        <v/>
      </c>
      <c r="AB34" t="str">
        <f ca="1">IF(E34="1", IF(C34="string",  IF( A34="","",IF(OR(F34="1",H34="1",I34="1"),"","COALESCE (CAST(lower("&amp;A34&amp;") as varchar(" &amp;Options!$B$49 &amp; ")),'')")),AA34),"")</f>
        <v/>
      </c>
      <c r="AC34" t="str">
        <f ca="1">IF(E34="4",   IF( A34="","",IF(OR(F34="1",H34="1",I34="1"),"","COALESCE (CAST("  &amp;A34&amp;" as varchar(" &amp; Options!$B$49&amp; ")),'')")),"")</f>
        <v/>
      </c>
      <c r="AD34" t="str">
        <f ca="1">IF(E34="4",   IF( A34="","",IF(OR(F34="1",H34="1",I34="1"),"","COALESCE (CAST(" &amp; HELPER!$B$94 &amp; "."  &amp;A34&amp;" as varchar(" &amp; Options!$B$49&amp; ")),'')")),"")</f>
        <v/>
      </c>
      <c r="AE34" t="str">
        <f t="shared" ref="AE34:AE65" ca="1" si="59">IF(H34="1",A34,"")</f>
        <v/>
      </c>
      <c r="AF34" t="str">
        <f ca="1">IF(AE34&lt;&gt;"", HELPER!$B$93 &amp;  "." &amp; AE34,"")</f>
        <v/>
      </c>
      <c r="AG34" t="str">
        <f ca="1">IF(AE34&lt;&gt;"", HELPER!$B$94 &amp; "." &amp; AE34,"")</f>
        <v/>
      </c>
      <c r="AI34" t="str">
        <f t="shared" ref="AI34:AI65" ca="1" si="60">IF(E34="4","d." &amp; A34 &amp; " = m." &amp; A34,"")</f>
        <v/>
      </c>
      <c r="AJ34" t="str">
        <f t="shared" ref="AJ34:AJ65" ca="1" si="61">IF(E34="4", A34,"")</f>
        <v/>
      </c>
      <c r="AK34" t="str">
        <f ca="1">IF(E34="4", HELPER!$B$94 &amp;  "." &amp; A34,"")</f>
        <v/>
      </c>
      <c r="AL34" t="str">
        <f ca="1">IF(E34="4", HELPER!$B$93 &amp;  "." &amp; A34,"")</f>
        <v/>
      </c>
      <c r="AM34" t="str">
        <f t="shared" ref="AM34:AM65" ca="1" si="62">IF(E34="4",AL34&amp;" = "&amp;AU34,"")</f>
        <v/>
      </c>
      <c r="AN34" t="str">
        <f t="shared" ref="AN34:AN65" ca="1" si="63">IF(A34="","", IF(OR(F34="1",H34="1",I34="1"),"", A34))</f>
        <v/>
      </c>
      <c r="AO34" t="str">
        <f ca="1">IF(A34&lt;&gt;"", IF(OR(F34="1",H34="1",I34="1"),""," "&amp; HELPER!$B$94 &amp; "." &amp; A34),"")</f>
        <v/>
      </c>
      <c r="AP34" t="str">
        <f t="shared" ref="AP34:AP65" ca="1" si="64">IF(A34="","", IF(E34="2","", IF(AN34="","",AN34 &amp; " = " &amp; AO34)))</f>
        <v/>
      </c>
      <c r="AQ34" t="str">
        <f t="shared" ca="1" si="47"/>
        <v/>
      </c>
      <c r="AS34" t="str">
        <f ca="1">IF(A34="","",  HELPER!$B$94 &amp;  "." &amp; A34)</f>
        <v/>
      </c>
      <c r="AT34" t="str">
        <f t="shared" ref="AT34:AT65" ca="1" si="65">IF(I34="1",A34,"")</f>
        <v/>
      </c>
      <c r="AU34" t="str">
        <f t="shared" ref="AU34:AU65" ca="1" si="66">IF(C34="string","COALESCE(" &amp; AS34 &amp; ",'')",AS34)</f>
        <v/>
      </c>
      <c r="AV34" s="190" t="str">
        <f t="shared" ref="AV34:AV65" ca="1" si="67">IF(OR(H34="1",I34="1",E34="4",F34="1"),A34,"")</f>
        <v/>
      </c>
      <c r="AW34" t="str">
        <f t="shared" ref="AW34:AW65" ca="1" si="68">IF(OR(H34="1",I34="1",E34="4",F34="1"),AU34,"")</f>
        <v/>
      </c>
      <c r="AY34" t="str">
        <f t="shared" ref="AY34:AY65" ca="1" si="69">IF(A34="","",IF(I34="1","", IF(B34="",A34, B34) &amp;" AS "&amp;A34))</f>
        <v/>
      </c>
      <c r="AZ34" t="str">
        <f t="shared" ref="AZ34:AZ50" ca="1" si="70">IF(I34="1","",IF(H34="1",IF(B34="",A34,B34),""))</f>
        <v/>
      </c>
      <c r="BA34" t="str">
        <f ca="1">IF(AZ34="","", "CAST(" &amp; AZ34 &amp; " AS varchar(" &amp; Options!$B$49 &amp; "))")</f>
        <v/>
      </c>
      <c r="BB34" t="str">
        <f t="shared" ref="BB34:BB50" ca="1" si="71">IF(F34="1",IF(B34="",A34,B34),"")</f>
        <v/>
      </c>
      <c r="BC34" t="str">
        <f ca="1">IF(AZ34="","","COALESCE(" &amp;  AZ34 &amp; "," &amp; IF(C34="string","''",0  ) &amp; ") AS " &amp; A34)</f>
        <v/>
      </c>
      <c r="BE34" t="str">
        <f t="shared" ref="BE34:BE50" ca="1" si="72">IF(AE34="","","t1." &amp; AE34 &amp; " =  t2." &amp; AE34)</f>
        <v/>
      </c>
      <c r="BF34" t="str">
        <f t="shared" ref="BF34:BF65" ca="1" si="73">IF(A34="","",IF(I34="1","",B34&amp;" AS "&amp;A34))</f>
        <v/>
      </c>
      <c r="BG34" t="str">
        <f t="shared" ref="BG34:BG50" ca="1" si="74">IF(AT34="","",AT34 &amp; "=-1")</f>
        <v/>
      </c>
      <c r="BH34" s="285" t="str">
        <f ca="1">IF(G34="",   IF(B34="","","COALESCE(" &amp;  B34 &amp; "," &amp; IF(C34="string","''",0  ) &amp; ") AS " &amp; A34),G34 &amp; " AS " &amp;A34 )</f>
        <v/>
      </c>
      <c r="BI34" t="str">
        <f t="shared" ref="BI34:BI65" ca="1" si="75">IF(G34="", IF(A34="","",IF(I34="1","", IF(B34="","f." &amp; A34, "f." &amp; B34) &amp;" AS "&amp;A34)),BH34)</f>
        <v/>
      </c>
      <c r="BJ34" t="str">
        <f t="shared" ref="BJ34:BJ65" ca="1" si="76">IF(A34="","",IF(I34="1","-1",IF(C34="string","'missing'","0")))</f>
        <v/>
      </c>
      <c r="BK34" t="str">
        <f ca="1">IF(A34="","", IF(OR(F34="1",E34="4", I34="1",H34="1"),  IF(I34="1","-1",IF(C34="string","'missing'","0")),""))</f>
        <v/>
      </c>
      <c r="BL34" t="str">
        <f t="shared" ref="BL34:BL50" ca="1" si="77">IF(AND( H34="1",I34="1"),A34 &amp; " &gt; -1","")</f>
        <v/>
      </c>
      <c r="BM34" t="str">
        <f ca="1">IF(A34="","",IF(I34="1","",IF(C34&lt;&gt;D34,  IF(AND(D34="string",C34="timestamp"),"cast(from_iso8601_timestamp(" &amp; BO34 &amp; ") as timestamp) AS " &amp; A34, IF(AND(D34="string",C34="date"),"cast( from_iso8601_timestamp(" &amp; BO34 &amp;") as date) AS " &amp; A34,"")),BO34 &amp; " AS " &amp; A34)))</f>
        <v/>
      </c>
      <c r="BN34" t="str">
        <f ca="1">IF(A34="","",IF(I34="1","",IF(C34&lt;&gt;D34,  IF(AND(D34="string",C34="timestamp"),"cast(from_iso8601_timestamp(" &amp; BO34 &amp; ") as timestamp) AS " &amp; A34, IF(AND(D34="string",C34="date"),"cast( from_iso8601_timestamp(" &amp; BO34 &amp;") as date) AS " &amp; A34,"")),BO34 &amp; " AS " &amp; A34)))</f>
        <v/>
      </c>
      <c r="BO34" t="str">
        <f t="shared" ref="BO34:BO65" ca="1" si="78">IF(G34="", IF(B34="","","f." &amp; B34),G34)</f>
        <v/>
      </c>
      <c r="BP34" t="b">
        <f ca="1">COUNTIF(COLHELPER!A34:'COLHELPER'!A34,COLHELPER!A34)&gt;1</f>
        <v>0</v>
      </c>
      <c r="BQ34">
        <f t="shared" ref="BQ34:BQ65" ca="1" si="79">IF(BP34=TRUE,1,0)</f>
        <v>0</v>
      </c>
      <c r="BR34" s="290" t="str">
        <f t="shared" ca="1" si="48"/>
        <v/>
      </c>
      <c r="BS34" t="str">
        <f t="shared" ref="BS34:BS65" ca="1" si="80">IF(F34="1",SUBSTITUTE(BR34,"'",""),"")</f>
        <v/>
      </c>
      <c r="BT34" t="str">
        <f ca="1">IF(N34="","", SUBSTITUTE( SUBSTITUTE(BR34,"[:date_yyyy_mm_dd]",  N34),"[:date_yyymm]",N34))</f>
        <v/>
      </c>
      <c r="BU34" t="str">
        <f t="shared" ref="BU34:BU65" ca="1" si="81">IF(N34="","",SUBSTITUTE(BS34,"[:date_yyyy_mm_dd]",SUBSTITUTE(N34,"'","")))</f>
        <v/>
      </c>
      <c r="BV34">
        <f t="shared" ref="BV34:BV65" ca="1" si="82">IF(A33="",0,1)</f>
        <v>0</v>
      </c>
      <c r="BW34" t="str">
        <f t="shared" ref="BW34:BW65" ca="1" si="83">IF(AE34="","", "t3." &amp;AE34 &amp; " = t4." &amp; AE34)</f>
        <v/>
      </c>
      <c r="BX34" t="str">
        <f t="shared" ref="BX34:BX65" ca="1" si="84">IF(AE34="","", "t3." &amp;AE34 )</f>
        <v/>
      </c>
      <c r="BY34" t="str">
        <f ca="1">IF(R34="","",IF(R34&gt;Options!$B$3,"ALTER TABLE "&amp;HELPER!$B$4&amp;" ADD COLUMNS ("&amp;A34&amp;" "&amp;C34&amp;")",""))</f>
        <v/>
      </c>
      <c r="BZ34" t="str">
        <f ca="1">IF(R34="","",IF(R34&gt;Options!$B$3,A34,""))</f>
        <v/>
      </c>
      <c r="CA34" t="str">
        <f ca="1">IF(R34="","",IF(R34&gt;Options!$B$3,B34,""))</f>
        <v/>
      </c>
      <c r="CB34" t="str">
        <f t="shared" ref="CB34:CB65" ca="1" si="85">IF(A34&lt;&gt;"","&lt;tr&gt;&lt;td&gt;" &amp; _xlfn.TEXTJOIN("&lt;td&gt;",FALSE,A34:K34) &amp; "&lt;/td&gt;&lt;/tr&gt;","")</f>
        <v/>
      </c>
      <c r="CC34">
        <f t="shared" ref="CC34:CC65" ca="1" si="86">IF(E34="4",1,0)</f>
        <v>0</v>
      </c>
      <c r="CD34" t="str">
        <f ca="1">IF(J34="","",Options!$B$23 &amp; "." &amp; J34)</f>
        <v/>
      </c>
    </row>
    <row r="35" spans="1:82">
      <c r="A35" s="161" t="str">
        <f t="array" aca="1" ref="A35" ca="1">IF(TRIM(INDIRECT("Columns!A35")) ="","",TRIM(INDIRECT("Columns!A35")))</f>
        <v/>
      </c>
      <c r="B35" s="161" t="str">
        <f t="shared" ca="1" si="49"/>
        <v/>
      </c>
      <c r="C35" s="161" t="str">
        <f t="shared" ca="1" si="50"/>
        <v/>
      </c>
      <c r="D35" s="161" t="str">
        <f t="shared" ca="1" si="51"/>
        <v/>
      </c>
      <c r="E35" s="161" t="str">
        <f t="array" aca="1" ref="E35" ca="1">IF(TRIM(INDIRECT("Columns!E35"))="","",TRIM(INDIRECT("Columns!E35")))</f>
        <v/>
      </c>
      <c r="F35" s="161" t="str">
        <f t="array" aca="1" ref="F35" ca="1">IF(TRIM(INDIRECT("Columns!G35"))="","",TRIM(INDIRECT("Columns!G35")))</f>
        <v/>
      </c>
      <c r="G35" s="161" t="str">
        <f t="array" aca="1" ref="G35" ca="1">IF(TRIM(INDIRECT("Columns!F35"))="","",TRIM(INDIRECT("Columns!F35")))</f>
        <v/>
      </c>
      <c r="H35" s="161" t="str">
        <f t="array" aca="1" ref="H35" ca="1">IF(TRIM(INDIRECT("Columns!H35"))="","",TRIM(INDIRECT("Columns!H35")))</f>
        <v/>
      </c>
      <c r="I35" s="161" t="str">
        <f t="array" aca="1" ref="I35" ca="1">IF(TRIM(INDIRECT("Columns!I35"))="","",TRIM(INDIRECT("Columns!I35")))</f>
        <v/>
      </c>
      <c r="J35" s="161" t="str">
        <f t="array" aca="1" ref="J35" ca="1">IF(TRIM(INDIRECT("Columns!J35"))="","",TRIM(INDIRECT("Columns!J35")))</f>
        <v/>
      </c>
      <c r="K35" s="161" t="str">
        <f t="array" aca="1" ref="K35" ca="1">IF(TRIM(INDIRECT("Columns!K35"))="","",TRIM(INDIRECT("Columns!K35")))</f>
        <v/>
      </c>
      <c r="L35" s="161" t="str">
        <f t="array" aca="1" ref="L35" ca="1">IF(TRIM(INDIRECT("Columns!L35"))="","",TRIM(INDIRECT("Columns!L35")))</f>
        <v/>
      </c>
      <c r="M35" s="161" t="str">
        <f t="array" aca="1" ref="M35" ca="1">IF(TRIM(INDIRECT("Columns!M35"))="","",TRIM(INDIRECT("Columns!M35")))</f>
        <v/>
      </c>
      <c r="N35" s="161" t="str">
        <f t="array" aca="1" ref="N35" ca="1">IF(TRIM(INDIRECT("Columns!N35"))="","",TRIM(INDIRECT("Columns!N35")))</f>
        <v/>
      </c>
      <c r="O35" s="227" t="str">
        <f t="array" aca="1" ref="O35" ca="1">IF(TRIM(INDIRECT("Columns!B35"))="","",TRIM(INDIRECT("Columns!B35")))</f>
        <v/>
      </c>
      <c r="P35" s="227" t="str">
        <f t="array" aca="1" ref="P35" ca="1">IF(TRIM(INDIRECT("Columns!C35"))="","",TRIM(INDIRECT("Columns!C35")))</f>
        <v/>
      </c>
      <c r="Q35" s="227" t="str">
        <f t="array" aca="1" ref="Q35" ca="1">IF(TRIM(INDIRECT("Columns!D35"))="","",TRIM(INDIRECT("Columns!D35")))</f>
        <v/>
      </c>
      <c r="R35" s="227" t="str">
        <f t="array" aca="1" ref="R35" ca="1">IF(TRIM(INDIRECT("Columns!O35"))="","",TRIM(INDIRECT("Columns!O35")))</f>
        <v/>
      </c>
      <c r="S35" t="str">
        <f t="shared" ca="1" si="52"/>
        <v/>
      </c>
      <c r="T35" t="str">
        <f t="shared" ca="1" si="53"/>
        <v/>
      </c>
      <c r="U35" t="str">
        <f t="shared" ca="1" si="54"/>
        <v/>
      </c>
      <c r="V35" t="str">
        <f t="shared" ca="1" si="55"/>
        <v/>
      </c>
      <c r="W35" t="str">
        <f t="shared" ca="1" si="56"/>
        <v/>
      </c>
      <c r="X35" t="str">
        <f t="shared" ca="1" si="57"/>
        <v/>
      </c>
      <c r="Y35" t="str">
        <f t="shared" ca="1" si="58"/>
        <v/>
      </c>
      <c r="Z35" t="str">
        <f t="shared" ref="Z35:Z65" ca="1" si="87">IF(A35="","", IF(F35="1",B35,"" ))</f>
        <v/>
      </c>
      <c r="AA35" t="str">
        <f ca="1">IF(E35="1",   IF( A35="","",IF(OR(F35="1",H35="1",I35="1"),"","COALESCE (CAST("&amp;A35&amp;" as varchar(" &amp; Options!$B$49&amp; ")),'')")),"")</f>
        <v/>
      </c>
      <c r="AB35" t="str">
        <f ca="1">IF(E35="1", IF(C35="string",  IF( A35="","",IF(OR(F35="1",H35="1",I35="1"),"","COALESCE (CAST(lower("&amp;A35&amp;") as varchar(" &amp;Options!$B$49 &amp; ")),'')")),AA35),"")</f>
        <v/>
      </c>
      <c r="AC35" t="str">
        <f ca="1">IF(E35="4",   IF( A35="","",IF(OR(F35="1",H35="1",I35="1"),"","COALESCE (CAST("  &amp;A35&amp;" as varchar(" &amp; Options!$B$49&amp; ")),'')")),"")</f>
        <v/>
      </c>
      <c r="AD35" t="str">
        <f ca="1">IF(E35="4",   IF( A35="","",IF(OR(F35="1",H35="1",I35="1"),"","COALESCE (CAST(" &amp; HELPER!$B$94 &amp; "."  &amp;A35&amp;" as varchar(" &amp; Options!$B$49&amp; ")),'')")),"")</f>
        <v/>
      </c>
      <c r="AE35" t="str">
        <f t="shared" ca="1" si="59"/>
        <v/>
      </c>
      <c r="AF35" t="str">
        <f ca="1">IF(AE35&lt;&gt;"", HELPER!$B$93 &amp;  "." &amp; AE35,"")</f>
        <v/>
      </c>
      <c r="AG35" t="str">
        <f ca="1">IF(AE35&lt;&gt;"", HELPER!$B$94 &amp; "." &amp; AE35,"")</f>
        <v/>
      </c>
      <c r="AH35" t="str">
        <f t="shared" ref="AH35:AH66" ca="1" si="88">IF(AE35&lt;&gt;"",AF35&amp;" = "&amp;AU35,"")</f>
        <v/>
      </c>
      <c r="AI35" t="str">
        <f t="shared" ca="1" si="60"/>
        <v/>
      </c>
      <c r="AJ35" t="str">
        <f t="shared" ca="1" si="61"/>
        <v/>
      </c>
      <c r="AK35" t="str">
        <f ca="1">IF(E35="4", HELPER!$B$94 &amp;  "." &amp; A35,"")</f>
        <v/>
      </c>
      <c r="AL35" t="str">
        <f ca="1">IF(E35="4", HELPER!$B$93 &amp;  "." &amp; A35,"")</f>
        <v/>
      </c>
      <c r="AM35" t="str">
        <f t="shared" ca="1" si="62"/>
        <v/>
      </c>
      <c r="AN35" t="str">
        <f t="shared" ca="1" si="63"/>
        <v/>
      </c>
      <c r="AO35" t="str">
        <f ca="1">IF(A35&lt;&gt;"", IF(OR(F35="1",H35="1",I35="1"),""," "&amp; HELPER!$B$94 &amp; "." &amp; A35),"")</f>
        <v/>
      </c>
      <c r="AP35" t="str">
        <f t="shared" ca="1" si="64"/>
        <v/>
      </c>
      <c r="AQ35" t="str">
        <f t="shared" ca="1" si="47"/>
        <v/>
      </c>
      <c r="AS35" t="str">
        <f ca="1">IF(A35="","",  HELPER!$B$94 &amp;  "." &amp; A35)</f>
        <v/>
      </c>
      <c r="AT35" t="str">
        <f t="shared" ca="1" si="65"/>
        <v/>
      </c>
      <c r="AU35" t="str">
        <f t="shared" ca="1" si="66"/>
        <v/>
      </c>
      <c r="AV35" s="190" t="str">
        <f t="shared" ca="1" si="67"/>
        <v/>
      </c>
      <c r="AW35" t="str">
        <f t="shared" ca="1" si="68"/>
        <v/>
      </c>
      <c r="AY35" t="str">
        <f t="shared" ca="1" si="69"/>
        <v/>
      </c>
      <c r="AZ35" t="str">
        <f t="shared" ca="1" si="70"/>
        <v/>
      </c>
      <c r="BA35" t="str">
        <f ca="1">IF(AZ35="","", "CAST(" &amp; AZ35 &amp; " AS varchar(" &amp; Options!$B$49 &amp; "))")</f>
        <v/>
      </c>
      <c r="BB35" t="str">
        <f t="shared" ca="1" si="71"/>
        <v/>
      </c>
      <c r="BC35" t="str">
        <f t="shared" ref="BC35:BC50" ca="1" si="89">IF(AZ35="","","COALESCE(" &amp; AZ35 &amp; "," &amp; IF(C35="string","''",0 ) &amp; ") AS " &amp; A35)</f>
        <v/>
      </c>
      <c r="BE35" t="str">
        <f t="shared" ca="1" si="72"/>
        <v/>
      </c>
      <c r="BF35" t="str">
        <f t="shared" ca="1" si="73"/>
        <v/>
      </c>
      <c r="BG35" t="str">
        <f t="shared" ca="1" si="74"/>
        <v/>
      </c>
      <c r="BH35" s="285" t="str">
        <f t="shared" ref="BH35:BH65" ca="1" si="90">IF(G35="", IF(B35="","","COALESCE(" &amp; B35 &amp; "," &amp; IF(C35="string","''",0 ) &amp; ") AS " &amp; A35),G35 &amp; " AS " &amp;A35 )</f>
        <v/>
      </c>
      <c r="BI35" t="str">
        <f t="shared" ca="1" si="75"/>
        <v/>
      </c>
      <c r="BJ35" t="str">
        <f t="shared" ca="1" si="76"/>
        <v/>
      </c>
      <c r="BK35" t="str">
        <f t="shared" ref="BK35:BK65" ca="1" si="91">IF(A35="","", IF(OR(F35="1",E35="4", I35="1",H35="1"), IF(I35="1","-1",IF(C35="string","'missing'","0")),""))</f>
        <v/>
      </c>
      <c r="BL35" t="str">
        <f t="shared" ca="1" si="77"/>
        <v/>
      </c>
      <c r="BM35" t="str">
        <f t="shared" ref="BM35:BM65" ca="1" si="92">IF(A35="","",IF(I35="1","",IF(C35&lt;&gt;D35, IF(AND(D35="string",C35="timestamp"),"cast(from_iso8601_timestamp(" &amp; BO35 &amp; ") as timestamp) AS " &amp; A35, IF(AND(D35="string",C35="date"),"cast( from_iso8601_timestamp(" &amp; BO35 &amp;") as date) AS " &amp; A35,"")),BO35 &amp; " AS " &amp; A35)))</f>
        <v/>
      </c>
      <c r="BN35" t="str">
        <f t="shared" ref="BN35:BN65" ca="1" si="93">IF(A35="","",IF(I35="1","",IF(C35&lt;&gt;D35, IF(AND(D35="string",C35="timestamp"),"cast(from_iso8601_timestamp(" &amp; BO35 &amp; ") as timestamp) AS " &amp; A35, IF(AND(D35="string",C35="date"),"cast( from_iso8601_timestamp(" &amp; BO35 &amp;") as date) AS " &amp; A35,"")),BO35 &amp; " AS " &amp; A35)))</f>
        <v/>
      </c>
      <c r="BO35" t="str">
        <f t="shared" ca="1" si="78"/>
        <v/>
      </c>
      <c r="BP35" t="b">
        <f ca="1">COUNTIF(COLHELPER!A35:'COLHELPER'!A35,COLHELPER!A35)&gt;1</f>
        <v>0</v>
      </c>
      <c r="BQ35">
        <f t="shared" ca="1" si="79"/>
        <v>0</v>
      </c>
      <c r="BR35" s="290" t="str">
        <f t="shared" ca="1" si="48"/>
        <v/>
      </c>
      <c r="BS35" t="str">
        <f t="shared" ca="1" si="80"/>
        <v/>
      </c>
      <c r="BT35" t="str">
        <f t="shared" ref="BT35:BT65" ca="1" si="94">IF(N35="","", SUBSTITUTE( SUBSTITUTE(BR35,"[:date_yyyy_mm_dd]", N35),"[:date_yyymm]",N35))</f>
        <v/>
      </c>
      <c r="BU35" t="str">
        <f t="shared" ca="1" si="81"/>
        <v/>
      </c>
      <c r="BV35">
        <f t="shared" ca="1" si="82"/>
        <v>0</v>
      </c>
      <c r="BW35" t="str">
        <f t="shared" ca="1" si="83"/>
        <v/>
      </c>
      <c r="BX35" t="str">
        <f t="shared" ca="1" si="84"/>
        <v/>
      </c>
      <c r="BY35" t="str">
        <f ca="1">IF(R35="","",IF(R35&gt;Options!$B$3,"ALTER TABLE "&amp;HELPER!$B$4&amp;" ADD COLUMNS ("&amp;A35&amp;" "&amp;C35&amp;")",""))</f>
        <v/>
      </c>
      <c r="BZ35" t="str">
        <f ca="1">IF(R35="","",IF(R35&gt;Options!$B$3,A35,""))</f>
        <v/>
      </c>
      <c r="CA35" t="str">
        <f ca="1">IF(R35="","",IF(R35&gt;Options!$B$3,B35,""))</f>
        <v/>
      </c>
      <c r="CB35" t="str">
        <f t="shared" ca="1" si="85"/>
        <v/>
      </c>
      <c r="CC35">
        <f t="shared" ca="1" si="86"/>
        <v>0</v>
      </c>
      <c r="CD35" t="str">
        <f ca="1">IF(J35="","",Options!$B$23 &amp; "." &amp; J35)</f>
        <v/>
      </c>
    </row>
    <row r="36" spans="1:82">
      <c r="A36" s="161" t="str">
        <f t="array" aca="1" ref="A36" ca="1">IF(TRIM(INDIRECT("Columns!A36")) ="","",TRIM(INDIRECT("Columns!A36")))</f>
        <v/>
      </c>
      <c r="B36" s="161" t="str">
        <f t="shared" ca="1" si="49"/>
        <v/>
      </c>
      <c r="C36" s="161" t="str">
        <f t="shared" ca="1" si="50"/>
        <v/>
      </c>
      <c r="D36" s="161" t="str">
        <f t="shared" ca="1" si="51"/>
        <v/>
      </c>
      <c r="E36" s="161" t="str">
        <f t="array" aca="1" ref="E36" ca="1">IF(TRIM(INDIRECT("Columns!E36"))="","",TRIM(INDIRECT("Columns!E36")))</f>
        <v/>
      </c>
      <c r="F36" s="161" t="str">
        <f t="array" aca="1" ref="F36" ca="1">IF(TRIM(INDIRECT("Columns!G36"))="","",TRIM(INDIRECT("Columns!G36")))</f>
        <v/>
      </c>
      <c r="G36" s="161" t="str">
        <f t="array" aca="1" ref="G36" ca="1">IF(TRIM(INDIRECT("Columns!F36"))="","",TRIM(INDIRECT("Columns!F36")))</f>
        <v/>
      </c>
      <c r="H36" s="161" t="str">
        <f t="array" aca="1" ref="H36" ca="1">IF(TRIM(INDIRECT("Columns!H36"))="","",TRIM(INDIRECT("Columns!H36")))</f>
        <v/>
      </c>
      <c r="I36" s="161" t="str">
        <f t="array" aca="1" ref="I36" ca="1">IF(TRIM(INDIRECT("Columns!I36"))="","",TRIM(INDIRECT("Columns!I36")))</f>
        <v/>
      </c>
      <c r="J36" s="161" t="str">
        <f t="array" aca="1" ref="J36" ca="1">IF(TRIM(INDIRECT("Columns!J36"))="","",TRIM(INDIRECT("Columns!J36")))</f>
        <v/>
      </c>
      <c r="K36" s="161" t="str">
        <f t="array" aca="1" ref="K36" ca="1">IF(TRIM(INDIRECT("Columns!K36"))="","",TRIM(INDIRECT("Columns!K36")))</f>
        <v/>
      </c>
      <c r="L36" s="161" t="str">
        <f t="array" aca="1" ref="L36" ca="1">IF(TRIM(INDIRECT("Columns!L36"))="","",TRIM(INDIRECT("Columns!L36")))</f>
        <v/>
      </c>
      <c r="M36" s="161" t="str">
        <f t="array" aca="1" ref="M36" ca="1">IF(TRIM(INDIRECT("Columns!M36"))="","",TRIM(INDIRECT("Columns!M36")))</f>
        <v/>
      </c>
      <c r="N36" s="161" t="str">
        <f t="array" aca="1" ref="N36" ca="1">IF(TRIM(INDIRECT("Columns!N36"))="","",TRIM(INDIRECT("Columns!N36")))</f>
        <v/>
      </c>
      <c r="O36" s="227" t="str">
        <f t="array" aca="1" ref="O36" ca="1">IF(TRIM(INDIRECT("Columns!B36"))="","",TRIM(INDIRECT("Columns!B36")))</f>
        <v/>
      </c>
      <c r="P36" s="227" t="str">
        <f t="array" aca="1" ref="P36" ca="1">IF(TRIM(INDIRECT("Columns!C36"))="","",TRIM(INDIRECT("Columns!C36")))</f>
        <v/>
      </c>
      <c r="Q36" s="227" t="str">
        <f t="array" aca="1" ref="Q36" ca="1">IF(TRIM(INDIRECT("Columns!D36"))="","",TRIM(INDIRECT("Columns!D36")))</f>
        <v/>
      </c>
      <c r="R36" s="227" t="str">
        <f t="array" aca="1" ref="R36" ca="1">IF(TRIM(INDIRECT("Columns!O36"))="","",TRIM(INDIRECT("Columns!O36")))</f>
        <v/>
      </c>
      <c r="S36" t="str">
        <f t="shared" ca="1" si="52"/>
        <v/>
      </c>
      <c r="T36" t="str">
        <f t="shared" ca="1" si="53"/>
        <v/>
      </c>
      <c r="U36" t="str">
        <f t="shared" ca="1" si="54"/>
        <v/>
      </c>
      <c r="V36" t="str">
        <f t="shared" ca="1" si="55"/>
        <v/>
      </c>
      <c r="W36" t="str">
        <f t="shared" ca="1" si="56"/>
        <v/>
      </c>
      <c r="X36" t="str">
        <f t="shared" ca="1" si="57"/>
        <v/>
      </c>
      <c r="Y36" t="str">
        <f t="shared" ca="1" si="58"/>
        <v/>
      </c>
      <c r="Z36" t="str">
        <f t="shared" ca="1" si="87"/>
        <v/>
      </c>
      <c r="AA36" t="str">
        <f ca="1">IF(E36="1",   IF( A36="","",IF(OR(F36="1",H36="1",I36="1"),"","COALESCE (CAST("&amp;A36&amp;" as varchar(" &amp; Options!$B$49&amp; ")),'')")),"")</f>
        <v/>
      </c>
      <c r="AB36" t="str">
        <f ca="1">IF(E36="1", IF(C36="string",  IF( A36="","",IF(OR(F36="1",H36="1",I36="1"),"","COALESCE (CAST(lower("&amp;A36&amp;") as varchar(" &amp;Options!$B$49 &amp; ")),'')")),AA36),"")</f>
        <v/>
      </c>
      <c r="AC36" t="str">
        <f ca="1">IF(E36="4",   IF( A36="","",IF(OR(F36="1",H36="1",I36="1"),"","COALESCE (CAST("  &amp;A36&amp;" as varchar(" &amp; Options!$B$49&amp; ")),'')")),"")</f>
        <v/>
      </c>
      <c r="AD36" t="str">
        <f ca="1">IF(E36="4",   IF( A36="","",IF(OR(F36="1",H36="1",I36="1"),"","COALESCE (CAST(" &amp; HELPER!$B$94 &amp; "."  &amp;A36&amp;" as varchar(" &amp; Options!$B$49&amp; ")),'')")),"")</f>
        <v/>
      </c>
      <c r="AE36" t="str">
        <f t="shared" ca="1" si="59"/>
        <v/>
      </c>
      <c r="AF36" t="str">
        <f ca="1">IF(AE36&lt;&gt;"", HELPER!$B$93 &amp;  "." &amp; AE36,"")</f>
        <v/>
      </c>
      <c r="AG36" t="str">
        <f ca="1">IF(AE36&lt;&gt;"", HELPER!$B$94 &amp; "." &amp; AE36,"")</f>
        <v/>
      </c>
      <c r="AH36" t="str">
        <f t="shared" ca="1" si="88"/>
        <v/>
      </c>
      <c r="AI36" t="str">
        <f t="shared" ca="1" si="60"/>
        <v/>
      </c>
      <c r="AJ36" t="str">
        <f t="shared" ca="1" si="61"/>
        <v/>
      </c>
      <c r="AK36" t="str">
        <f ca="1">IF(E36="4", HELPER!$B$94 &amp;  "." &amp; A36,"")</f>
        <v/>
      </c>
      <c r="AL36" t="str">
        <f ca="1">IF(E36="4", HELPER!$B$93 &amp;  "." &amp; A36,"")</f>
        <v/>
      </c>
      <c r="AM36" t="str">
        <f t="shared" ca="1" si="62"/>
        <v/>
      </c>
      <c r="AN36" t="str">
        <f t="shared" ca="1" si="63"/>
        <v/>
      </c>
      <c r="AO36" t="str">
        <f ca="1">IF(A36&lt;&gt;"", IF(OR(F36="1",H36="1",I36="1"),""," "&amp; HELPER!$B$94 &amp; "." &amp; A36),"")</f>
        <v/>
      </c>
      <c r="AP36" t="str">
        <f t="shared" ca="1" si="64"/>
        <v/>
      </c>
      <c r="AQ36" t="str">
        <f t="shared" ref="AQ36:AQ67" ca="1" si="95">IF(A36="","", IF(E36="4", IF(AN36="","",AN36 &amp; " = " &amp; AO36),""))</f>
        <v/>
      </c>
      <c r="AS36" t="str">
        <f ca="1">IF(A36="","",  HELPER!$B$94 &amp;  "." &amp; A36)</f>
        <v/>
      </c>
      <c r="AT36" t="str">
        <f t="shared" ca="1" si="65"/>
        <v/>
      </c>
      <c r="AU36" t="str">
        <f t="shared" ca="1" si="66"/>
        <v/>
      </c>
      <c r="AV36" s="190" t="str">
        <f t="shared" ca="1" si="67"/>
        <v/>
      </c>
      <c r="AW36" t="str">
        <f t="shared" ca="1" si="68"/>
        <v/>
      </c>
      <c r="AY36" t="str">
        <f t="shared" ca="1" si="69"/>
        <v/>
      </c>
      <c r="AZ36" t="str">
        <f t="shared" ca="1" si="70"/>
        <v/>
      </c>
      <c r="BA36" t="str">
        <f ca="1">IF(AZ36="","", "CAST(" &amp; AZ36 &amp; " AS varchar(" &amp; Options!$B$49 &amp; "))")</f>
        <v/>
      </c>
      <c r="BB36" t="str">
        <f t="shared" ca="1" si="71"/>
        <v/>
      </c>
      <c r="BC36" t="str">
        <f t="shared" ca="1" si="89"/>
        <v/>
      </c>
      <c r="BE36" t="str">
        <f t="shared" ca="1" si="72"/>
        <v/>
      </c>
      <c r="BF36" t="str">
        <f t="shared" ca="1" si="73"/>
        <v/>
      </c>
      <c r="BG36" t="str">
        <f t="shared" ca="1" si="74"/>
        <v/>
      </c>
      <c r="BH36" s="285" t="str">
        <f t="shared" ca="1" si="90"/>
        <v/>
      </c>
      <c r="BI36" t="str">
        <f t="shared" ca="1" si="75"/>
        <v/>
      </c>
      <c r="BJ36" t="str">
        <f t="shared" ca="1" si="76"/>
        <v/>
      </c>
      <c r="BK36" t="str">
        <f t="shared" ca="1" si="91"/>
        <v/>
      </c>
      <c r="BL36" t="str">
        <f t="shared" ca="1" si="77"/>
        <v/>
      </c>
      <c r="BM36" t="str">
        <f t="shared" ca="1" si="92"/>
        <v/>
      </c>
      <c r="BN36" t="str">
        <f t="shared" ca="1" si="93"/>
        <v/>
      </c>
      <c r="BO36" t="str">
        <f t="shared" ca="1" si="78"/>
        <v/>
      </c>
      <c r="BP36" t="b">
        <f ca="1">COUNTIF(COLHELPER!A36:'COLHELPER'!A36,COLHELPER!A36)&gt;1</f>
        <v>0</v>
      </c>
      <c r="BQ36">
        <f t="shared" ca="1" si="79"/>
        <v>0</v>
      </c>
      <c r="BR36" s="290" t="str">
        <f t="shared" ca="1" si="48"/>
        <v/>
      </c>
      <c r="BS36" t="str">
        <f t="shared" ca="1" si="80"/>
        <v/>
      </c>
      <c r="BT36" t="str">
        <f t="shared" ca="1" si="94"/>
        <v/>
      </c>
      <c r="BU36" t="str">
        <f t="shared" ca="1" si="81"/>
        <v/>
      </c>
      <c r="BV36">
        <f t="shared" ca="1" si="82"/>
        <v>0</v>
      </c>
      <c r="BW36" t="str">
        <f t="shared" ca="1" si="83"/>
        <v/>
      </c>
      <c r="BX36" t="str">
        <f t="shared" ca="1" si="84"/>
        <v/>
      </c>
      <c r="BY36" t="str">
        <f ca="1">IF(R36="","",IF(R36&gt;Options!$B$3,"ALTER TABLE "&amp;HELPER!$B$4&amp;" ADD COLUMNS ("&amp;A36&amp;" "&amp;C36&amp;")",""))</f>
        <v/>
      </c>
      <c r="BZ36" t="str">
        <f ca="1">IF(R36="","",IF(R36&gt;Options!$B$3,A36,""))</f>
        <v/>
      </c>
      <c r="CA36" t="str">
        <f ca="1">IF(R36="","",IF(R36&gt;Options!$B$3,B36,""))</f>
        <v/>
      </c>
      <c r="CB36" t="str">
        <f t="shared" ca="1" si="85"/>
        <v/>
      </c>
      <c r="CC36">
        <f t="shared" ca="1" si="86"/>
        <v>0</v>
      </c>
      <c r="CD36" t="str">
        <f ca="1">IF(J36="","",Options!$B$23 &amp; "." &amp; J36)</f>
        <v/>
      </c>
    </row>
    <row r="37" spans="1:82">
      <c r="A37" s="161" t="str">
        <f t="array" aca="1" ref="A37" ca="1">IF(TRIM(INDIRECT("Columns!A37")) ="","",TRIM(INDIRECT("Columns!A37")))</f>
        <v/>
      </c>
      <c r="B37" s="161" t="str">
        <f t="shared" ca="1" si="49"/>
        <v/>
      </c>
      <c r="C37" s="161" t="str">
        <f t="shared" ca="1" si="50"/>
        <v/>
      </c>
      <c r="D37" s="161" t="str">
        <f t="shared" ca="1" si="51"/>
        <v/>
      </c>
      <c r="E37" s="161" t="str">
        <f t="array" aca="1" ref="E37" ca="1">IF(TRIM(INDIRECT("Columns!E37"))="","",TRIM(INDIRECT("Columns!E37")))</f>
        <v/>
      </c>
      <c r="F37" s="161" t="str">
        <f t="array" aca="1" ref="F37" ca="1">IF(TRIM(INDIRECT("Columns!G37"))="","",TRIM(INDIRECT("Columns!G37")))</f>
        <v/>
      </c>
      <c r="G37" s="161" t="str">
        <f t="array" aca="1" ref="G37" ca="1">IF(TRIM(INDIRECT("Columns!F37"))="","",TRIM(INDIRECT("Columns!F37")))</f>
        <v/>
      </c>
      <c r="H37" s="161" t="str">
        <f t="array" aca="1" ref="H37" ca="1">IF(TRIM(INDIRECT("Columns!H37"))="","",TRIM(INDIRECT("Columns!H37")))</f>
        <v/>
      </c>
      <c r="I37" s="161" t="str">
        <f t="array" aca="1" ref="I37" ca="1">IF(TRIM(INDIRECT("Columns!I37"))="","",TRIM(INDIRECT("Columns!I37")))</f>
        <v/>
      </c>
      <c r="J37" s="161" t="str">
        <f t="array" aca="1" ref="J37" ca="1">IF(TRIM(INDIRECT("Columns!J37"))="","",TRIM(INDIRECT("Columns!J37")))</f>
        <v/>
      </c>
      <c r="K37" s="161" t="str">
        <f t="array" aca="1" ref="K37" ca="1">IF(TRIM(INDIRECT("Columns!K37"))="","",TRIM(INDIRECT("Columns!K37")))</f>
        <v/>
      </c>
      <c r="L37" s="161" t="str">
        <f t="array" aca="1" ref="L37" ca="1">IF(TRIM(INDIRECT("Columns!L37"))="","",TRIM(INDIRECT("Columns!L37")))</f>
        <v/>
      </c>
      <c r="M37" s="161" t="str">
        <f t="array" aca="1" ref="M37" ca="1">IF(TRIM(INDIRECT("Columns!M37"))="","",TRIM(INDIRECT("Columns!M37")))</f>
        <v/>
      </c>
      <c r="N37" s="161" t="str">
        <f t="array" aca="1" ref="N37" ca="1">IF(TRIM(INDIRECT("Columns!N37"))="","",TRIM(INDIRECT("Columns!N37")))</f>
        <v/>
      </c>
      <c r="O37" s="227" t="str">
        <f t="array" aca="1" ref="O37" ca="1">IF(TRIM(INDIRECT("Columns!B37"))="","",TRIM(INDIRECT("Columns!B37")))</f>
        <v/>
      </c>
      <c r="P37" s="227" t="str">
        <f t="array" aca="1" ref="P37" ca="1">IF(TRIM(INDIRECT("Columns!C37"))="","",TRIM(INDIRECT("Columns!C37")))</f>
        <v/>
      </c>
      <c r="Q37" s="227" t="str">
        <f t="array" aca="1" ref="Q37" ca="1">IF(TRIM(INDIRECT("Columns!D37"))="","",TRIM(INDIRECT("Columns!D37")))</f>
        <v/>
      </c>
      <c r="R37" s="227" t="str">
        <f t="array" aca="1" ref="R37" ca="1">IF(TRIM(INDIRECT("Columns!O37"))="","",TRIM(INDIRECT("Columns!O37")))</f>
        <v/>
      </c>
      <c r="S37" t="str">
        <f t="shared" ca="1" si="52"/>
        <v/>
      </c>
      <c r="T37" t="str">
        <f t="shared" ca="1" si="53"/>
        <v/>
      </c>
      <c r="U37" t="str">
        <f t="shared" ca="1" si="54"/>
        <v/>
      </c>
      <c r="V37" t="str">
        <f t="shared" ca="1" si="55"/>
        <v/>
      </c>
      <c r="W37" t="str">
        <f t="shared" ca="1" si="56"/>
        <v/>
      </c>
      <c r="X37" t="str">
        <f t="shared" ca="1" si="57"/>
        <v/>
      </c>
      <c r="Y37" t="str">
        <f t="shared" ca="1" si="58"/>
        <v/>
      </c>
      <c r="Z37" t="str">
        <f t="shared" ca="1" si="87"/>
        <v/>
      </c>
      <c r="AA37" t="str">
        <f ca="1">IF(E37="1",   IF( A37="","",IF(OR(F37="1",H37="1",I37="1"),"","COALESCE (CAST("&amp;A37&amp;" as varchar(" &amp; Options!$B$49&amp; ")),'')")),"")</f>
        <v/>
      </c>
      <c r="AB37" t="str">
        <f ca="1">IF(E37="1", IF(C37="string",  IF( A37="","",IF(OR(F37="1",H37="1",I37="1"),"","COALESCE (CAST(lower("&amp;A37&amp;") as varchar(" &amp;Options!$B$49 &amp; ")),'')")),AA37),"")</f>
        <v/>
      </c>
      <c r="AC37" t="str">
        <f ca="1">IF(E37="4",   IF( A37="","",IF(OR(F37="1",H37="1",I37="1"),"","COALESCE (CAST("  &amp;A37&amp;" as varchar(" &amp; Options!$B$49&amp; ")),'')")),"")</f>
        <v/>
      </c>
      <c r="AD37" t="str">
        <f ca="1">IF(E37="4",   IF( A37="","",IF(OR(F37="1",H37="1",I37="1"),"","COALESCE (CAST(" &amp; HELPER!$B$94 &amp; "."  &amp;A37&amp;" as varchar(" &amp; Options!$B$49&amp; ")),'')")),"")</f>
        <v/>
      </c>
      <c r="AE37" t="str">
        <f t="shared" ca="1" si="59"/>
        <v/>
      </c>
      <c r="AF37" t="str">
        <f ca="1">IF(AE37&lt;&gt;"", HELPER!$B$93 &amp;  "." &amp; AE37,"")</f>
        <v/>
      </c>
      <c r="AG37" t="str">
        <f ca="1">IF(AE37&lt;&gt;"", HELPER!$B$94 &amp; "." &amp; AE37,"")</f>
        <v/>
      </c>
      <c r="AH37" t="str">
        <f t="shared" ca="1" si="88"/>
        <v/>
      </c>
      <c r="AI37" t="str">
        <f t="shared" ca="1" si="60"/>
        <v/>
      </c>
      <c r="AJ37" t="str">
        <f t="shared" ca="1" si="61"/>
        <v/>
      </c>
      <c r="AK37" t="str">
        <f ca="1">IF(E37="4", HELPER!$B$94 &amp;  "." &amp; A37,"")</f>
        <v/>
      </c>
      <c r="AL37" t="str">
        <f ca="1">IF(E37="4", HELPER!$B$93 &amp;  "." &amp; A37,"")</f>
        <v/>
      </c>
      <c r="AM37" t="str">
        <f t="shared" ca="1" si="62"/>
        <v/>
      </c>
      <c r="AN37" t="str">
        <f t="shared" ca="1" si="63"/>
        <v/>
      </c>
      <c r="AO37" t="str">
        <f ca="1">IF(A37&lt;&gt;"", IF(OR(F37="1",H37="1",I37="1"),""," "&amp; HELPER!$B$94 &amp; "." &amp; A37),"")</f>
        <v/>
      </c>
      <c r="AP37" t="str">
        <f t="shared" ca="1" si="64"/>
        <v/>
      </c>
      <c r="AQ37" t="str">
        <f t="shared" ca="1" si="95"/>
        <v/>
      </c>
      <c r="AS37" t="str">
        <f ca="1">IF(A37="","",  HELPER!$B$94 &amp;  "." &amp; A37)</f>
        <v/>
      </c>
      <c r="AT37" t="str">
        <f t="shared" ca="1" si="65"/>
        <v/>
      </c>
      <c r="AU37" t="str">
        <f t="shared" ca="1" si="66"/>
        <v/>
      </c>
      <c r="AV37" s="190" t="str">
        <f t="shared" ca="1" si="67"/>
        <v/>
      </c>
      <c r="AW37" t="str">
        <f t="shared" ca="1" si="68"/>
        <v/>
      </c>
      <c r="AY37" t="str">
        <f t="shared" ca="1" si="69"/>
        <v/>
      </c>
      <c r="AZ37" t="str">
        <f t="shared" ca="1" si="70"/>
        <v/>
      </c>
      <c r="BA37" t="str">
        <f ca="1">IF(AZ37="","", "CAST(" &amp; AZ37 &amp; " AS varchar(" &amp; Options!$B$49 &amp; "))")</f>
        <v/>
      </c>
      <c r="BB37" t="str">
        <f t="shared" ca="1" si="71"/>
        <v/>
      </c>
      <c r="BC37" t="str">
        <f t="shared" ca="1" si="89"/>
        <v/>
      </c>
      <c r="BE37" t="str">
        <f t="shared" ca="1" si="72"/>
        <v/>
      </c>
      <c r="BF37" t="str">
        <f t="shared" ca="1" si="73"/>
        <v/>
      </c>
      <c r="BG37" t="str">
        <f t="shared" ca="1" si="74"/>
        <v/>
      </c>
      <c r="BH37" s="285" t="str">
        <f t="shared" ca="1" si="90"/>
        <v/>
      </c>
      <c r="BI37" t="str">
        <f t="shared" ca="1" si="75"/>
        <v/>
      </c>
      <c r="BJ37" t="str">
        <f t="shared" ca="1" si="76"/>
        <v/>
      </c>
      <c r="BK37" t="str">
        <f t="shared" ca="1" si="91"/>
        <v/>
      </c>
      <c r="BL37" t="str">
        <f t="shared" ca="1" si="77"/>
        <v/>
      </c>
      <c r="BM37" t="str">
        <f t="shared" ca="1" si="92"/>
        <v/>
      </c>
      <c r="BN37" t="str">
        <f t="shared" ca="1" si="93"/>
        <v/>
      </c>
      <c r="BO37" t="str">
        <f t="shared" ca="1" si="78"/>
        <v/>
      </c>
      <c r="BP37" t="b">
        <f ca="1">COUNTIF(COLHELPER!A37:'COLHELPER'!A37,COLHELPER!A37)&gt;1</f>
        <v>0</v>
      </c>
      <c r="BQ37">
        <f t="shared" ca="1" si="79"/>
        <v>0</v>
      </c>
      <c r="BR37" s="290" t="str">
        <f t="shared" ca="1" si="48"/>
        <v/>
      </c>
      <c r="BS37" t="str">
        <f t="shared" ca="1" si="80"/>
        <v/>
      </c>
      <c r="BT37" t="str">
        <f t="shared" ca="1" si="94"/>
        <v/>
      </c>
      <c r="BU37" t="str">
        <f t="shared" ca="1" si="81"/>
        <v/>
      </c>
      <c r="BV37">
        <f t="shared" ca="1" si="82"/>
        <v>0</v>
      </c>
      <c r="BW37" t="str">
        <f t="shared" ca="1" si="83"/>
        <v/>
      </c>
      <c r="BX37" t="str">
        <f t="shared" ca="1" si="84"/>
        <v/>
      </c>
      <c r="BY37" t="str">
        <f ca="1">IF(R37="","",IF(R37&gt;Options!$B$3,"ALTER TABLE "&amp;HELPER!$B$4&amp;" ADD COLUMNS ("&amp;A37&amp;" "&amp;C37&amp;")",""))</f>
        <v/>
      </c>
      <c r="BZ37" t="str">
        <f ca="1">IF(R37="","",IF(R37&gt;Options!$B$3,A37,""))</f>
        <v/>
      </c>
      <c r="CA37" t="str">
        <f ca="1">IF(R37="","",IF(R37&gt;Options!$B$3,B37,""))</f>
        <v/>
      </c>
      <c r="CB37" t="str">
        <f t="shared" ca="1" si="85"/>
        <v/>
      </c>
      <c r="CC37">
        <f t="shared" ca="1" si="86"/>
        <v>0</v>
      </c>
      <c r="CD37" t="str">
        <f ca="1">IF(J37="","",Options!$B$23 &amp; "." &amp; J37)</f>
        <v/>
      </c>
    </row>
    <row r="38" spans="1:82">
      <c r="A38" s="161" t="str">
        <f t="array" aca="1" ref="A38" ca="1">IF(TRIM(INDIRECT("Columns!A38")) ="","",TRIM(INDIRECT("Columns!A38")))</f>
        <v/>
      </c>
      <c r="B38" s="161" t="str">
        <f t="shared" ca="1" si="49"/>
        <v/>
      </c>
      <c r="C38" s="161" t="str">
        <f t="shared" ca="1" si="50"/>
        <v/>
      </c>
      <c r="D38" s="161" t="str">
        <f t="shared" ca="1" si="51"/>
        <v/>
      </c>
      <c r="E38" s="161" t="str">
        <f t="array" aca="1" ref="E38" ca="1">IF(TRIM(INDIRECT("Columns!E38"))="","",TRIM(INDIRECT("Columns!E38")))</f>
        <v/>
      </c>
      <c r="F38" s="161" t="str">
        <f t="array" aca="1" ref="F38" ca="1">IF(TRIM(INDIRECT("Columns!G38"))="","",TRIM(INDIRECT("Columns!G38")))</f>
        <v/>
      </c>
      <c r="G38" s="161" t="str">
        <f t="array" aca="1" ref="G38" ca="1">IF(TRIM(INDIRECT("Columns!F38"))="","",TRIM(INDIRECT("Columns!F38")))</f>
        <v/>
      </c>
      <c r="H38" s="161" t="str">
        <f t="array" aca="1" ref="H38" ca="1">IF(TRIM(INDIRECT("Columns!H38"))="","",TRIM(INDIRECT("Columns!H38")))</f>
        <v/>
      </c>
      <c r="I38" s="161" t="str">
        <f t="array" aca="1" ref="I38" ca="1">IF(TRIM(INDIRECT("Columns!I38"))="","",TRIM(INDIRECT("Columns!I38")))</f>
        <v/>
      </c>
      <c r="J38" s="161" t="str">
        <f t="array" aca="1" ref="J38" ca="1">IF(TRIM(INDIRECT("Columns!J38"))="","",TRIM(INDIRECT("Columns!J38")))</f>
        <v/>
      </c>
      <c r="K38" s="161" t="str">
        <f t="array" aca="1" ref="K38" ca="1">IF(TRIM(INDIRECT("Columns!K38"))="","",TRIM(INDIRECT("Columns!K38")))</f>
        <v/>
      </c>
      <c r="L38" s="161" t="str">
        <f t="array" aca="1" ref="L38" ca="1">IF(TRIM(INDIRECT("Columns!L38"))="","",TRIM(INDIRECT("Columns!L38")))</f>
        <v/>
      </c>
      <c r="M38" s="161" t="str">
        <f t="array" aca="1" ref="M38" ca="1">IF(TRIM(INDIRECT("Columns!M38"))="","",TRIM(INDIRECT("Columns!M38")))</f>
        <v/>
      </c>
      <c r="N38" s="161" t="str">
        <f t="array" aca="1" ref="N38" ca="1">IF(TRIM(INDIRECT("Columns!N38"))="","",TRIM(INDIRECT("Columns!N38")))</f>
        <v/>
      </c>
      <c r="O38" s="227" t="str">
        <f t="array" aca="1" ref="O38" ca="1">IF(TRIM(INDIRECT("Columns!B38"))="","",TRIM(INDIRECT("Columns!B38")))</f>
        <v/>
      </c>
      <c r="P38" s="227" t="str">
        <f t="array" aca="1" ref="P38" ca="1">IF(TRIM(INDIRECT("Columns!C38"))="","",TRIM(INDIRECT("Columns!C38")))</f>
        <v/>
      </c>
      <c r="Q38" s="227" t="str">
        <f t="array" aca="1" ref="Q38" ca="1">IF(TRIM(INDIRECT("Columns!D38"))="","",TRIM(INDIRECT("Columns!D38")))</f>
        <v/>
      </c>
      <c r="R38" s="227" t="str">
        <f t="array" aca="1" ref="R38" ca="1">IF(TRIM(INDIRECT("Columns!O38"))="","",TRIM(INDIRECT("Columns!O38")))</f>
        <v/>
      </c>
      <c r="S38" t="str">
        <f t="shared" ca="1" si="52"/>
        <v/>
      </c>
      <c r="T38" t="str">
        <f t="shared" ca="1" si="53"/>
        <v/>
      </c>
      <c r="U38" t="str">
        <f t="shared" ca="1" si="54"/>
        <v/>
      </c>
      <c r="V38" t="str">
        <f t="shared" ca="1" si="55"/>
        <v/>
      </c>
      <c r="W38" t="str">
        <f t="shared" ca="1" si="56"/>
        <v/>
      </c>
      <c r="X38" t="str">
        <f t="shared" ca="1" si="57"/>
        <v/>
      </c>
      <c r="Y38" t="str">
        <f t="shared" ca="1" si="58"/>
        <v/>
      </c>
      <c r="Z38" t="str">
        <f t="shared" ca="1" si="87"/>
        <v/>
      </c>
      <c r="AA38" t="str">
        <f ca="1">IF(E38="1",   IF( A38="","",IF(OR(F38="1",H38="1",I38="1"),"","COALESCE (CAST("&amp;A38&amp;" as varchar(" &amp; Options!$B$49&amp; ")),'')")),"")</f>
        <v/>
      </c>
      <c r="AB38" t="str">
        <f ca="1">IF(E38="1", IF(C38="string",  IF( A38="","",IF(OR(F38="1",H38="1",I38="1"),"","COALESCE (CAST(lower("&amp;A38&amp;") as varchar(" &amp;Options!$B$49 &amp; ")),'')")),AA38),"")</f>
        <v/>
      </c>
      <c r="AC38" t="str">
        <f ca="1">IF(E38="4",   IF( A38="","",IF(OR(F38="1",H38="1",I38="1"),"","COALESCE (CAST("  &amp;A38&amp;" as varchar(" &amp; Options!$B$49&amp; ")),'')")),"")</f>
        <v/>
      </c>
      <c r="AD38" t="str">
        <f ca="1">IF(E38="4",   IF( A38="","",IF(OR(F38="1",H38="1",I38="1"),"","COALESCE (CAST(" &amp; HELPER!$B$94 &amp; "."  &amp;A38&amp;" as varchar(" &amp; Options!$B$49&amp; ")),'')")),"")</f>
        <v/>
      </c>
      <c r="AE38" t="str">
        <f t="shared" ca="1" si="59"/>
        <v/>
      </c>
      <c r="AF38" t="str">
        <f ca="1">IF(AE38&lt;&gt;"", HELPER!$B$93 &amp;  "." &amp; AE38,"")</f>
        <v/>
      </c>
      <c r="AG38" t="str">
        <f ca="1">IF(AE38&lt;&gt;"", HELPER!$B$94 &amp; "." &amp; AE38,"")</f>
        <v/>
      </c>
      <c r="AH38" t="str">
        <f t="shared" ca="1" si="88"/>
        <v/>
      </c>
      <c r="AI38" t="str">
        <f t="shared" ca="1" si="60"/>
        <v/>
      </c>
      <c r="AJ38" t="str">
        <f t="shared" ca="1" si="61"/>
        <v/>
      </c>
      <c r="AK38" t="str">
        <f ca="1">IF(E38="4", HELPER!$B$94 &amp;  "." &amp; A38,"")</f>
        <v/>
      </c>
      <c r="AL38" t="str">
        <f ca="1">IF(E38="4", HELPER!$B$93 &amp;  "." &amp; A38,"")</f>
        <v/>
      </c>
      <c r="AM38" t="str">
        <f t="shared" ca="1" si="62"/>
        <v/>
      </c>
      <c r="AN38" t="str">
        <f t="shared" ca="1" si="63"/>
        <v/>
      </c>
      <c r="AO38" t="str">
        <f ca="1">IF(A38&lt;&gt;"", IF(OR(F38="1",H38="1",I38="1"),""," "&amp; HELPER!$B$94 &amp; "." &amp; A38),"")</f>
        <v/>
      </c>
      <c r="AP38" t="str">
        <f t="shared" ca="1" si="64"/>
        <v/>
      </c>
      <c r="AQ38" t="str">
        <f t="shared" ca="1" si="95"/>
        <v/>
      </c>
      <c r="AS38" t="str">
        <f ca="1">IF(A38="","",  HELPER!$B$94 &amp;  "." &amp; A38)</f>
        <v/>
      </c>
      <c r="AT38" t="str">
        <f t="shared" ca="1" si="65"/>
        <v/>
      </c>
      <c r="AU38" t="str">
        <f t="shared" ca="1" si="66"/>
        <v/>
      </c>
      <c r="AV38" s="190" t="str">
        <f t="shared" ca="1" si="67"/>
        <v/>
      </c>
      <c r="AW38" t="str">
        <f t="shared" ca="1" si="68"/>
        <v/>
      </c>
      <c r="AY38" t="str">
        <f t="shared" ca="1" si="69"/>
        <v/>
      </c>
      <c r="AZ38" t="str">
        <f t="shared" ca="1" si="70"/>
        <v/>
      </c>
      <c r="BA38" t="str">
        <f ca="1">IF(AZ38="","", "CAST(" &amp; AZ38 &amp; " AS varchar(" &amp; Options!$B$49 &amp; "))")</f>
        <v/>
      </c>
      <c r="BB38" t="str">
        <f t="shared" ca="1" si="71"/>
        <v/>
      </c>
      <c r="BC38" t="str">
        <f t="shared" ca="1" si="89"/>
        <v/>
      </c>
      <c r="BE38" t="str">
        <f t="shared" ca="1" si="72"/>
        <v/>
      </c>
      <c r="BF38" t="str">
        <f t="shared" ca="1" si="73"/>
        <v/>
      </c>
      <c r="BG38" t="str">
        <f t="shared" ca="1" si="74"/>
        <v/>
      </c>
      <c r="BH38" s="285" t="str">
        <f t="shared" ca="1" si="90"/>
        <v/>
      </c>
      <c r="BI38" t="str">
        <f t="shared" ca="1" si="75"/>
        <v/>
      </c>
      <c r="BJ38" t="str">
        <f t="shared" ca="1" si="76"/>
        <v/>
      </c>
      <c r="BK38" t="str">
        <f t="shared" ca="1" si="91"/>
        <v/>
      </c>
      <c r="BL38" t="str">
        <f t="shared" ca="1" si="77"/>
        <v/>
      </c>
      <c r="BM38" t="str">
        <f t="shared" ca="1" si="92"/>
        <v/>
      </c>
      <c r="BN38" t="str">
        <f t="shared" ca="1" si="93"/>
        <v/>
      </c>
      <c r="BO38" t="str">
        <f t="shared" ca="1" si="78"/>
        <v/>
      </c>
      <c r="BP38" t="b">
        <f ca="1">COUNTIF(COLHELPER!A38:'COLHELPER'!A38,COLHELPER!A38)&gt;1</f>
        <v>0</v>
      </c>
      <c r="BQ38">
        <f t="shared" ca="1" si="79"/>
        <v>0</v>
      </c>
      <c r="BR38" s="290" t="str">
        <f t="shared" ca="1" si="48"/>
        <v/>
      </c>
      <c r="BS38" t="str">
        <f t="shared" ca="1" si="80"/>
        <v/>
      </c>
      <c r="BT38" t="str">
        <f t="shared" ca="1" si="94"/>
        <v/>
      </c>
      <c r="BU38" t="str">
        <f t="shared" ca="1" si="81"/>
        <v/>
      </c>
      <c r="BV38">
        <f t="shared" ca="1" si="82"/>
        <v>0</v>
      </c>
      <c r="BW38" t="str">
        <f t="shared" ca="1" si="83"/>
        <v/>
      </c>
      <c r="BX38" t="str">
        <f t="shared" ca="1" si="84"/>
        <v/>
      </c>
      <c r="BY38" t="str">
        <f ca="1">IF(R38="","",IF(R38&gt;Options!$B$3,"ALTER TABLE "&amp;HELPER!$B$4&amp;" ADD COLUMNS ("&amp;A38&amp;" "&amp;C38&amp;")",""))</f>
        <v/>
      </c>
      <c r="BZ38" t="str">
        <f ca="1">IF(R38="","",IF(R38&gt;Options!$B$3,A38,""))</f>
        <v/>
      </c>
      <c r="CA38" t="str">
        <f ca="1">IF(R38="","",IF(R38&gt;Options!$B$3,B38,""))</f>
        <v/>
      </c>
      <c r="CB38" t="str">
        <f t="shared" ca="1" si="85"/>
        <v/>
      </c>
      <c r="CC38">
        <f t="shared" ca="1" si="86"/>
        <v>0</v>
      </c>
      <c r="CD38" t="str">
        <f ca="1">IF(J38="","",Options!$B$23 &amp; "." &amp; J38)</f>
        <v/>
      </c>
    </row>
    <row r="39" spans="1:82">
      <c r="A39" s="161" t="str">
        <f t="array" aca="1" ref="A39" ca="1">IF(TRIM(INDIRECT("Columns!A39")) ="","",TRIM(INDIRECT("Columns!A39")))</f>
        <v/>
      </c>
      <c r="B39" s="161" t="str">
        <f t="shared" ca="1" si="49"/>
        <v/>
      </c>
      <c r="C39" s="161" t="str">
        <f t="shared" ca="1" si="50"/>
        <v/>
      </c>
      <c r="D39" s="161" t="str">
        <f t="shared" ca="1" si="51"/>
        <v/>
      </c>
      <c r="E39" s="161" t="str">
        <f t="array" aca="1" ref="E39" ca="1">IF(TRIM(INDIRECT("Columns!E39"))="","",TRIM(INDIRECT("Columns!E39")))</f>
        <v/>
      </c>
      <c r="F39" s="161" t="str">
        <f t="array" aca="1" ref="F39" ca="1">IF(TRIM(INDIRECT("Columns!G39"))="","",TRIM(INDIRECT("Columns!G39")))</f>
        <v/>
      </c>
      <c r="G39" s="161" t="str">
        <f t="array" aca="1" ref="G39" ca="1">IF(TRIM(INDIRECT("Columns!F39"))="","",TRIM(INDIRECT("Columns!F39")))</f>
        <v/>
      </c>
      <c r="H39" s="161" t="str">
        <f t="array" aca="1" ref="H39" ca="1">IF(TRIM(INDIRECT("Columns!H39"))="","",TRIM(INDIRECT("Columns!H39")))</f>
        <v/>
      </c>
      <c r="I39" s="161" t="str">
        <f t="array" aca="1" ref="I39" ca="1">IF(TRIM(INDIRECT("Columns!I39"))="","",TRIM(INDIRECT("Columns!I39")))</f>
        <v/>
      </c>
      <c r="J39" s="161" t="str">
        <f t="array" aca="1" ref="J39" ca="1">IF(TRIM(INDIRECT("Columns!J39"))="","",TRIM(INDIRECT("Columns!J39")))</f>
        <v/>
      </c>
      <c r="K39" s="161" t="str">
        <f t="array" aca="1" ref="K39" ca="1">IF(TRIM(INDIRECT("Columns!K39"))="","",TRIM(INDIRECT("Columns!K39")))</f>
        <v/>
      </c>
      <c r="L39" s="161" t="str">
        <f t="array" aca="1" ref="L39" ca="1">IF(TRIM(INDIRECT("Columns!L39"))="","",TRIM(INDIRECT("Columns!L39")))</f>
        <v/>
      </c>
      <c r="M39" s="161" t="str">
        <f t="array" aca="1" ref="M39" ca="1">IF(TRIM(INDIRECT("Columns!M39"))="","",TRIM(INDIRECT("Columns!M39")))</f>
        <v/>
      </c>
      <c r="N39" s="161" t="str">
        <f t="array" aca="1" ref="N39" ca="1">IF(TRIM(INDIRECT("Columns!N39"))="","",TRIM(INDIRECT("Columns!N39")))</f>
        <v/>
      </c>
      <c r="O39" s="227" t="str">
        <f t="array" aca="1" ref="O39" ca="1">IF(TRIM(INDIRECT("Columns!B39"))="","",TRIM(INDIRECT("Columns!B39")))</f>
        <v/>
      </c>
      <c r="P39" s="227" t="str">
        <f t="array" aca="1" ref="P39" ca="1">IF(TRIM(INDIRECT("Columns!C39"))="","",TRIM(INDIRECT("Columns!C39")))</f>
        <v/>
      </c>
      <c r="Q39" s="227" t="str">
        <f t="array" aca="1" ref="Q39" ca="1">IF(TRIM(INDIRECT("Columns!D39"))="","",TRIM(INDIRECT("Columns!D39")))</f>
        <v/>
      </c>
      <c r="R39" s="227" t="str">
        <f t="array" aca="1" ref="R39" ca="1">IF(TRIM(INDIRECT("Columns!O39"))="","",TRIM(INDIRECT("Columns!O39")))</f>
        <v/>
      </c>
      <c r="S39" t="str">
        <f t="shared" ca="1" si="52"/>
        <v/>
      </c>
      <c r="T39" t="str">
        <f t="shared" ca="1" si="53"/>
        <v/>
      </c>
      <c r="U39" t="str">
        <f t="shared" ca="1" si="54"/>
        <v/>
      </c>
      <c r="V39" t="str">
        <f t="shared" ca="1" si="55"/>
        <v/>
      </c>
      <c r="W39" t="str">
        <f t="shared" ca="1" si="56"/>
        <v/>
      </c>
      <c r="X39" t="str">
        <f t="shared" ca="1" si="57"/>
        <v/>
      </c>
      <c r="Y39" t="str">
        <f t="shared" ca="1" si="58"/>
        <v/>
      </c>
      <c r="Z39" t="str">
        <f t="shared" ca="1" si="87"/>
        <v/>
      </c>
      <c r="AA39" t="str">
        <f ca="1">IF(E39="1",   IF( A39="","",IF(OR(F39="1",H39="1",I39="1"),"","COALESCE (CAST("&amp;A39&amp;" as varchar(" &amp; Options!$B$49&amp; ")),'')")),"")</f>
        <v/>
      </c>
      <c r="AB39" t="str">
        <f ca="1">IF(E39="1", IF(C39="string",  IF( A39="","",IF(OR(F39="1",H39="1",I39="1"),"","COALESCE (CAST(lower("&amp;A39&amp;") as varchar(" &amp;Options!$B$49 &amp; ")),'')")),AA39),"")</f>
        <v/>
      </c>
      <c r="AC39" t="str">
        <f ca="1">IF(E39="4",   IF( A39="","",IF(OR(F39="1",H39="1",I39="1"),"","COALESCE (CAST("  &amp;A39&amp;" as varchar(" &amp; Options!$B$49&amp; ")),'')")),"")</f>
        <v/>
      </c>
      <c r="AD39" t="str">
        <f ca="1">IF(E39="4",   IF( A39="","",IF(OR(F39="1",H39="1",I39="1"),"","COALESCE (CAST(" &amp; HELPER!$B$94 &amp; "."  &amp;A39&amp;" as varchar(" &amp; Options!$B$49&amp; ")),'')")),"")</f>
        <v/>
      </c>
      <c r="AE39" t="str">
        <f t="shared" ca="1" si="59"/>
        <v/>
      </c>
      <c r="AF39" t="str">
        <f ca="1">IF(AE39&lt;&gt;"", HELPER!$B$93 &amp;  "." &amp; AE39,"")</f>
        <v/>
      </c>
      <c r="AG39" t="str">
        <f ca="1">IF(AE39&lt;&gt;"", HELPER!$B$94 &amp; "." &amp; AE39,"")</f>
        <v/>
      </c>
      <c r="AH39" t="str">
        <f t="shared" ca="1" si="88"/>
        <v/>
      </c>
      <c r="AI39" t="str">
        <f t="shared" ca="1" si="60"/>
        <v/>
      </c>
      <c r="AJ39" t="str">
        <f t="shared" ca="1" si="61"/>
        <v/>
      </c>
      <c r="AK39" t="str">
        <f ca="1">IF(E39="4", HELPER!$B$94 &amp;  "." &amp; A39,"")</f>
        <v/>
      </c>
      <c r="AL39" t="str">
        <f ca="1">IF(E39="4", HELPER!$B$93 &amp;  "." &amp; A39,"")</f>
        <v/>
      </c>
      <c r="AM39" t="str">
        <f t="shared" ca="1" si="62"/>
        <v/>
      </c>
      <c r="AN39" t="str">
        <f t="shared" ca="1" si="63"/>
        <v/>
      </c>
      <c r="AO39" t="str">
        <f ca="1">IF(A39&lt;&gt;"", IF(OR(F39="1",H39="1",I39="1"),""," "&amp; HELPER!$B$94 &amp; "." &amp; A39),"")</f>
        <v/>
      </c>
      <c r="AP39" t="str">
        <f t="shared" ca="1" si="64"/>
        <v/>
      </c>
      <c r="AQ39" t="str">
        <f t="shared" ca="1" si="95"/>
        <v/>
      </c>
      <c r="AS39" t="str">
        <f ca="1">IF(A39="","",  HELPER!$B$94 &amp;  "." &amp; A39)</f>
        <v/>
      </c>
      <c r="AT39" t="str">
        <f t="shared" ca="1" si="65"/>
        <v/>
      </c>
      <c r="AU39" t="str">
        <f t="shared" ca="1" si="66"/>
        <v/>
      </c>
      <c r="AV39" s="190" t="str">
        <f t="shared" ca="1" si="67"/>
        <v/>
      </c>
      <c r="AW39" t="str">
        <f t="shared" ca="1" si="68"/>
        <v/>
      </c>
      <c r="AY39" t="str">
        <f t="shared" ca="1" si="69"/>
        <v/>
      </c>
      <c r="AZ39" t="str">
        <f t="shared" ca="1" si="70"/>
        <v/>
      </c>
      <c r="BA39" t="str">
        <f ca="1">IF(AZ39="","", "CAST(" &amp; AZ39 &amp; " AS varchar(" &amp; Options!$B$49 &amp; "))")</f>
        <v/>
      </c>
      <c r="BB39" t="str">
        <f t="shared" ca="1" si="71"/>
        <v/>
      </c>
      <c r="BC39" t="str">
        <f t="shared" ca="1" si="89"/>
        <v/>
      </c>
      <c r="BE39" t="str">
        <f t="shared" ca="1" si="72"/>
        <v/>
      </c>
      <c r="BF39" t="str">
        <f t="shared" ca="1" si="73"/>
        <v/>
      </c>
      <c r="BG39" t="str">
        <f t="shared" ca="1" si="74"/>
        <v/>
      </c>
      <c r="BH39" s="285" t="str">
        <f t="shared" ca="1" si="90"/>
        <v/>
      </c>
      <c r="BI39" t="str">
        <f t="shared" ca="1" si="75"/>
        <v/>
      </c>
      <c r="BJ39" t="str">
        <f t="shared" ca="1" si="76"/>
        <v/>
      </c>
      <c r="BK39" t="str">
        <f t="shared" ca="1" si="91"/>
        <v/>
      </c>
      <c r="BL39" t="str">
        <f t="shared" ca="1" si="77"/>
        <v/>
      </c>
      <c r="BM39" t="str">
        <f t="shared" ca="1" si="92"/>
        <v/>
      </c>
      <c r="BN39" t="str">
        <f t="shared" ca="1" si="93"/>
        <v/>
      </c>
      <c r="BO39" t="str">
        <f t="shared" ca="1" si="78"/>
        <v/>
      </c>
      <c r="BP39" t="b">
        <f ca="1">COUNTIF(COLHELPER!A39:'COLHELPER'!A39,COLHELPER!A39)&gt;1</f>
        <v>0</v>
      </c>
      <c r="BQ39">
        <f t="shared" ca="1" si="79"/>
        <v>0</v>
      </c>
      <c r="BR39" s="290" t="str">
        <f t="shared" ca="1" si="48"/>
        <v/>
      </c>
      <c r="BS39" t="str">
        <f t="shared" ca="1" si="80"/>
        <v/>
      </c>
      <c r="BT39" t="str">
        <f t="shared" ca="1" si="94"/>
        <v/>
      </c>
      <c r="BU39" t="str">
        <f t="shared" ca="1" si="81"/>
        <v/>
      </c>
      <c r="BV39">
        <f t="shared" ca="1" si="82"/>
        <v>0</v>
      </c>
      <c r="BW39" t="str">
        <f t="shared" ca="1" si="83"/>
        <v/>
      </c>
      <c r="BX39" t="str">
        <f t="shared" ca="1" si="84"/>
        <v/>
      </c>
      <c r="BY39" t="str">
        <f ca="1">IF(R39="","",IF(R39&gt;Options!$B$3,"ALTER TABLE "&amp;HELPER!$B$4&amp;" ADD COLUMNS ("&amp;A39&amp;" "&amp;C39&amp;")",""))</f>
        <v/>
      </c>
      <c r="BZ39" t="str">
        <f ca="1">IF(R39="","",IF(R39&gt;Options!$B$3,A39,""))</f>
        <v/>
      </c>
      <c r="CA39" t="str">
        <f ca="1">IF(R39="","",IF(R39&gt;Options!$B$3,B39,""))</f>
        <v/>
      </c>
      <c r="CB39" t="str">
        <f t="shared" ca="1" si="85"/>
        <v/>
      </c>
      <c r="CC39">
        <f t="shared" ca="1" si="86"/>
        <v>0</v>
      </c>
      <c r="CD39" t="str">
        <f ca="1">IF(J39="","",Options!$B$23 &amp; "." &amp; J39)</f>
        <v/>
      </c>
    </row>
    <row r="40" spans="1:82">
      <c r="A40" s="161" t="str">
        <f t="array" aca="1" ref="A40" ca="1">IF(TRIM(INDIRECT("Columns!A40")) ="","",TRIM(INDIRECT("Columns!A40")))</f>
        <v/>
      </c>
      <c r="B40" s="161" t="str">
        <f t="shared" ca="1" si="49"/>
        <v/>
      </c>
      <c r="C40" s="161" t="str">
        <f t="shared" ca="1" si="50"/>
        <v/>
      </c>
      <c r="D40" s="161" t="str">
        <f t="shared" ca="1" si="51"/>
        <v/>
      </c>
      <c r="E40" s="161" t="str">
        <f t="array" aca="1" ref="E40" ca="1">IF(TRIM(INDIRECT("Columns!E40"))="","",TRIM(INDIRECT("Columns!E40")))</f>
        <v/>
      </c>
      <c r="F40" s="161" t="str">
        <f t="array" aca="1" ref="F40" ca="1">IF(TRIM(INDIRECT("Columns!G40"))="","",TRIM(INDIRECT("Columns!G40")))</f>
        <v/>
      </c>
      <c r="G40" s="161" t="str">
        <f t="array" aca="1" ref="G40" ca="1">IF(TRIM(INDIRECT("Columns!F40"))="","",TRIM(INDIRECT("Columns!F40")))</f>
        <v/>
      </c>
      <c r="H40" s="161" t="str">
        <f t="array" aca="1" ref="H40" ca="1">IF(TRIM(INDIRECT("Columns!H40"))="","",TRIM(INDIRECT("Columns!H40")))</f>
        <v/>
      </c>
      <c r="I40" s="161" t="str">
        <f t="array" aca="1" ref="I40" ca="1">IF(TRIM(INDIRECT("Columns!I40"))="","",TRIM(INDIRECT("Columns!I40")))</f>
        <v/>
      </c>
      <c r="J40" s="161" t="str">
        <f t="array" aca="1" ref="J40" ca="1">IF(TRIM(INDIRECT("Columns!J40"))="","",TRIM(INDIRECT("Columns!J40")))</f>
        <v/>
      </c>
      <c r="K40" s="161" t="str">
        <f t="array" aca="1" ref="K40" ca="1">IF(TRIM(INDIRECT("Columns!K40"))="","",TRIM(INDIRECT("Columns!K40")))</f>
        <v/>
      </c>
      <c r="L40" s="161" t="str">
        <f t="array" aca="1" ref="L40" ca="1">IF(TRIM(INDIRECT("Columns!L40"))="","",TRIM(INDIRECT("Columns!L40")))</f>
        <v/>
      </c>
      <c r="M40" s="161" t="str">
        <f t="array" aca="1" ref="M40" ca="1">IF(TRIM(INDIRECT("Columns!M40"))="","",TRIM(INDIRECT("Columns!M40")))</f>
        <v/>
      </c>
      <c r="N40" s="161" t="str">
        <f t="array" aca="1" ref="N40" ca="1">IF(TRIM(INDIRECT("Columns!N40"))="","",TRIM(INDIRECT("Columns!N40")))</f>
        <v/>
      </c>
      <c r="O40" s="227" t="str">
        <f t="array" aca="1" ref="O40" ca="1">IF(TRIM(INDIRECT("Columns!B40"))="","",TRIM(INDIRECT("Columns!B40")))</f>
        <v/>
      </c>
      <c r="P40" s="227" t="str">
        <f t="array" aca="1" ref="P40" ca="1">IF(TRIM(INDIRECT("Columns!C40"))="","",TRIM(INDIRECT("Columns!C40")))</f>
        <v/>
      </c>
      <c r="Q40" s="227" t="str">
        <f t="array" aca="1" ref="Q40" ca="1">IF(TRIM(INDIRECT("Columns!D40"))="","",TRIM(INDIRECT("Columns!D40")))</f>
        <v/>
      </c>
      <c r="R40" s="227" t="str">
        <f t="array" aca="1" ref="R40" ca="1">IF(TRIM(INDIRECT("Columns!O40"))="","",TRIM(INDIRECT("Columns!O40")))</f>
        <v/>
      </c>
      <c r="S40" t="str">
        <f t="shared" ca="1" si="52"/>
        <v/>
      </c>
      <c r="T40" t="str">
        <f t="shared" ca="1" si="53"/>
        <v/>
      </c>
      <c r="U40" t="str">
        <f t="shared" ca="1" si="54"/>
        <v/>
      </c>
      <c r="V40" t="str">
        <f t="shared" ca="1" si="55"/>
        <v/>
      </c>
      <c r="W40" t="str">
        <f t="shared" ca="1" si="56"/>
        <v/>
      </c>
      <c r="X40" t="str">
        <f t="shared" ca="1" si="57"/>
        <v/>
      </c>
      <c r="Y40" t="str">
        <f t="shared" ca="1" si="58"/>
        <v/>
      </c>
      <c r="Z40" t="str">
        <f t="shared" ca="1" si="87"/>
        <v/>
      </c>
      <c r="AA40" t="str">
        <f ca="1">IF(E40="1",   IF( A40="","",IF(OR(F40="1",H40="1",I40="1"),"","COALESCE (CAST("&amp;A40&amp;" as varchar(" &amp; Options!$B$49&amp; ")),'')")),"")</f>
        <v/>
      </c>
      <c r="AB40" t="str">
        <f ca="1">IF(E40="1", IF(C40="string",  IF( A40="","",IF(OR(F40="1",H40="1",I40="1"),"","COALESCE (CAST(lower("&amp;A40&amp;") as varchar(" &amp;Options!$B$49 &amp; ")),'')")),AA40),"")</f>
        <v/>
      </c>
      <c r="AC40" t="str">
        <f ca="1">IF(E40="4",   IF( A40="","",IF(OR(F40="1",H40="1",I40="1"),"","COALESCE (CAST("  &amp;A40&amp;" as varchar(" &amp; Options!$B$49&amp; ")),'')")),"")</f>
        <v/>
      </c>
      <c r="AD40" t="str">
        <f ca="1">IF(E40="4",   IF( A40="","",IF(OR(F40="1",H40="1",I40="1"),"","COALESCE (CAST(" &amp; HELPER!$B$94 &amp; "."  &amp;A40&amp;" as varchar(" &amp; Options!$B$49&amp; ")),'')")),"")</f>
        <v/>
      </c>
      <c r="AE40" t="str">
        <f t="shared" ca="1" si="59"/>
        <v/>
      </c>
      <c r="AF40" t="str">
        <f ca="1">IF(AE40&lt;&gt;"", HELPER!$B$93 &amp;  "." &amp; AE40,"")</f>
        <v/>
      </c>
      <c r="AG40" t="str">
        <f ca="1">IF(AE40&lt;&gt;"", HELPER!$B$94 &amp; "." &amp; AE40,"")</f>
        <v/>
      </c>
      <c r="AH40" t="str">
        <f t="shared" ca="1" si="88"/>
        <v/>
      </c>
      <c r="AI40" t="str">
        <f t="shared" ca="1" si="60"/>
        <v/>
      </c>
      <c r="AJ40" t="str">
        <f t="shared" ca="1" si="61"/>
        <v/>
      </c>
      <c r="AK40" t="str">
        <f ca="1">IF(E40="4", HELPER!$B$94 &amp;  "." &amp; A40,"")</f>
        <v/>
      </c>
      <c r="AL40" t="str">
        <f ca="1">IF(E40="4", HELPER!$B$93 &amp;  "." &amp; A40,"")</f>
        <v/>
      </c>
      <c r="AM40" t="str">
        <f t="shared" ca="1" si="62"/>
        <v/>
      </c>
      <c r="AN40" t="str">
        <f t="shared" ca="1" si="63"/>
        <v/>
      </c>
      <c r="AO40" t="str">
        <f ca="1">IF(A40&lt;&gt;"", IF(OR(F40="1",H40="1",I40="1"),""," "&amp; HELPER!$B$94 &amp; "." &amp; A40),"")</f>
        <v/>
      </c>
      <c r="AP40" t="str">
        <f t="shared" ca="1" si="64"/>
        <v/>
      </c>
      <c r="AQ40" t="str">
        <f t="shared" ca="1" si="95"/>
        <v/>
      </c>
      <c r="AS40" t="str">
        <f ca="1">IF(A40="","",  HELPER!$B$94 &amp;  "." &amp; A40)</f>
        <v/>
      </c>
      <c r="AT40" t="str">
        <f t="shared" ca="1" si="65"/>
        <v/>
      </c>
      <c r="AU40" t="str">
        <f t="shared" ca="1" si="66"/>
        <v/>
      </c>
      <c r="AV40" s="190" t="str">
        <f t="shared" ca="1" si="67"/>
        <v/>
      </c>
      <c r="AW40" t="str">
        <f t="shared" ca="1" si="68"/>
        <v/>
      </c>
      <c r="AY40" t="str">
        <f t="shared" ca="1" si="69"/>
        <v/>
      </c>
      <c r="AZ40" t="str">
        <f t="shared" ca="1" si="70"/>
        <v/>
      </c>
      <c r="BA40" t="str">
        <f ca="1">IF(AZ40="","", "CAST(" &amp; AZ40 &amp; " AS varchar(" &amp; Options!$B$49 &amp; "))")</f>
        <v/>
      </c>
      <c r="BB40" t="str">
        <f t="shared" ca="1" si="71"/>
        <v/>
      </c>
      <c r="BC40" t="str">
        <f t="shared" ca="1" si="89"/>
        <v/>
      </c>
      <c r="BE40" t="str">
        <f t="shared" ca="1" si="72"/>
        <v/>
      </c>
      <c r="BF40" t="str">
        <f t="shared" ca="1" si="73"/>
        <v/>
      </c>
      <c r="BG40" t="str">
        <f t="shared" ca="1" si="74"/>
        <v/>
      </c>
      <c r="BH40" s="285" t="str">
        <f t="shared" ca="1" si="90"/>
        <v/>
      </c>
      <c r="BI40" t="str">
        <f t="shared" ca="1" si="75"/>
        <v/>
      </c>
      <c r="BJ40" t="str">
        <f t="shared" ca="1" si="76"/>
        <v/>
      </c>
      <c r="BK40" t="str">
        <f t="shared" ca="1" si="91"/>
        <v/>
      </c>
      <c r="BL40" t="str">
        <f t="shared" ca="1" si="77"/>
        <v/>
      </c>
      <c r="BM40" t="str">
        <f t="shared" ca="1" si="92"/>
        <v/>
      </c>
      <c r="BN40" t="str">
        <f t="shared" ca="1" si="93"/>
        <v/>
      </c>
      <c r="BO40" t="str">
        <f t="shared" ca="1" si="78"/>
        <v/>
      </c>
      <c r="BP40" t="b">
        <f ca="1">COUNTIF(COLHELPER!A40:'COLHELPER'!A40,COLHELPER!A40)&gt;1</f>
        <v>0</v>
      </c>
      <c r="BQ40">
        <f t="shared" ca="1" si="79"/>
        <v>0</v>
      </c>
      <c r="BR40" s="290" t="str">
        <f t="shared" ca="1" si="48"/>
        <v/>
      </c>
      <c r="BS40" t="str">
        <f t="shared" ca="1" si="80"/>
        <v/>
      </c>
      <c r="BT40" t="str">
        <f t="shared" ca="1" si="94"/>
        <v/>
      </c>
      <c r="BU40" t="str">
        <f t="shared" ca="1" si="81"/>
        <v/>
      </c>
      <c r="BV40">
        <f t="shared" ca="1" si="82"/>
        <v>0</v>
      </c>
      <c r="BW40" t="str">
        <f t="shared" ca="1" si="83"/>
        <v/>
      </c>
      <c r="BX40" t="str">
        <f t="shared" ca="1" si="84"/>
        <v/>
      </c>
      <c r="BY40" t="str">
        <f ca="1">IF(R40="","",IF(R40&gt;Options!$B$3,"ALTER TABLE "&amp;HELPER!$B$4&amp;" ADD COLUMNS ("&amp;A40&amp;" "&amp;C40&amp;")",""))</f>
        <v/>
      </c>
      <c r="BZ40" t="str">
        <f ca="1">IF(R40="","",IF(R40&gt;Options!$B$3,A40,""))</f>
        <v/>
      </c>
      <c r="CA40" t="str">
        <f ca="1">IF(R40="","",IF(R40&gt;Options!$B$3,B40,""))</f>
        <v/>
      </c>
      <c r="CB40" t="str">
        <f t="shared" ca="1" si="85"/>
        <v/>
      </c>
      <c r="CC40">
        <f t="shared" ca="1" si="86"/>
        <v>0</v>
      </c>
      <c r="CD40" t="str">
        <f ca="1">IF(J40="","",Options!$B$23 &amp; "." &amp; J40)</f>
        <v/>
      </c>
    </row>
    <row r="41" spans="1:82">
      <c r="A41" s="161" t="str">
        <f t="array" aca="1" ref="A41" ca="1">IF(TRIM(INDIRECT("Columns!A41")) ="","",TRIM(INDIRECT("Columns!A41")))</f>
        <v/>
      </c>
      <c r="B41" s="161" t="str">
        <f t="shared" ca="1" si="49"/>
        <v/>
      </c>
      <c r="C41" s="161" t="str">
        <f t="shared" ca="1" si="50"/>
        <v/>
      </c>
      <c r="D41" s="161" t="str">
        <f t="shared" ca="1" si="51"/>
        <v/>
      </c>
      <c r="E41" s="161" t="str">
        <f t="array" aca="1" ref="E41" ca="1">IF(TRIM(INDIRECT("Columns!E41"))="","",TRIM(INDIRECT("Columns!E41")))</f>
        <v/>
      </c>
      <c r="F41" s="161" t="str">
        <f t="array" aca="1" ref="F41" ca="1">IF(TRIM(INDIRECT("Columns!G41"))="","",TRIM(INDIRECT("Columns!G41")))</f>
        <v/>
      </c>
      <c r="G41" s="161" t="str">
        <f t="array" aca="1" ref="G41" ca="1">IF(TRIM(INDIRECT("Columns!F41"))="","",TRIM(INDIRECT("Columns!F41")))</f>
        <v/>
      </c>
      <c r="H41" s="161" t="str">
        <f t="array" aca="1" ref="H41" ca="1">IF(TRIM(INDIRECT("Columns!H41"))="","",TRIM(INDIRECT("Columns!H41")))</f>
        <v/>
      </c>
      <c r="I41" s="161" t="str">
        <f t="array" aca="1" ref="I41" ca="1">IF(TRIM(INDIRECT("Columns!I41"))="","",TRIM(INDIRECT("Columns!I41")))</f>
        <v/>
      </c>
      <c r="J41" s="161" t="str">
        <f t="array" aca="1" ref="J41" ca="1">IF(TRIM(INDIRECT("Columns!J41"))="","",TRIM(INDIRECT("Columns!J41")))</f>
        <v/>
      </c>
      <c r="K41" s="161" t="str">
        <f t="array" aca="1" ref="K41" ca="1">IF(TRIM(INDIRECT("Columns!K41"))="","",TRIM(INDIRECT("Columns!K41")))</f>
        <v/>
      </c>
      <c r="L41" s="161" t="str">
        <f t="array" aca="1" ref="L41" ca="1">IF(TRIM(INDIRECT("Columns!L41"))="","",TRIM(INDIRECT("Columns!L41")))</f>
        <v/>
      </c>
      <c r="M41" s="161" t="str">
        <f t="array" aca="1" ref="M41" ca="1">IF(TRIM(INDIRECT("Columns!M41"))="","",TRIM(INDIRECT("Columns!M41")))</f>
        <v/>
      </c>
      <c r="N41" s="161" t="str">
        <f t="array" aca="1" ref="N41" ca="1">IF(TRIM(INDIRECT("Columns!N41"))="","",TRIM(INDIRECT("Columns!N41")))</f>
        <v/>
      </c>
      <c r="O41" s="227" t="str">
        <f t="array" aca="1" ref="O41" ca="1">IF(TRIM(INDIRECT("Columns!B41"))="","",TRIM(INDIRECT("Columns!B41")))</f>
        <v/>
      </c>
      <c r="P41" s="227" t="str">
        <f t="array" aca="1" ref="P41" ca="1">IF(TRIM(INDIRECT("Columns!C41"))="","",TRIM(INDIRECT("Columns!C41")))</f>
        <v/>
      </c>
      <c r="Q41" s="227" t="str">
        <f t="array" aca="1" ref="Q41" ca="1">IF(TRIM(INDIRECT("Columns!D41"))="","",TRIM(INDIRECT("Columns!D41")))</f>
        <v/>
      </c>
      <c r="R41" s="227" t="str">
        <f t="array" aca="1" ref="R41" ca="1">IF(TRIM(INDIRECT("Columns!O41"))="","",TRIM(INDIRECT("Columns!O41")))</f>
        <v/>
      </c>
      <c r="S41" t="str">
        <f t="shared" ca="1" si="52"/>
        <v/>
      </c>
      <c r="T41" t="str">
        <f t="shared" ca="1" si="53"/>
        <v/>
      </c>
      <c r="U41" t="str">
        <f t="shared" ca="1" si="54"/>
        <v/>
      </c>
      <c r="V41" t="str">
        <f t="shared" ca="1" si="55"/>
        <v/>
      </c>
      <c r="W41" t="str">
        <f t="shared" ca="1" si="56"/>
        <v/>
      </c>
      <c r="X41" t="str">
        <f t="shared" ca="1" si="57"/>
        <v/>
      </c>
      <c r="Y41" t="str">
        <f t="shared" ca="1" si="58"/>
        <v/>
      </c>
      <c r="Z41" t="str">
        <f t="shared" ca="1" si="87"/>
        <v/>
      </c>
      <c r="AA41" t="str">
        <f ca="1">IF(E41="1",   IF( A41="","",IF(OR(F41="1",H41="1",I41="1"),"","COALESCE (CAST("&amp;A41&amp;" as varchar(" &amp; Options!$B$49&amp; ")),'')")),"")</f>
        <v/>
      </c>
      <c r="AB41" t="str">
        <f ca="1">IF(E41="1", IF(C41="string",  IF( A41="","",IF(OR(F41="1",H41="1",I41="1"),"","COALESCE (CAST(lower("&amp;A41&amp;") as varchar(" &amp;Options!$B$49 &amp; ")),'')")),AA41),"")</f>
        <v/>
      </c>
      <c r="AC41" t="str">
        <f ca="1">IF(E41="4",   IF( A41="","",IF(OR(F41="1",H41="1",I41="1"),"","COALESCE (CAST("  &amp;A41&amp;" as varchar(" &amp; Options!$B$49&amp; ")),'')")),"")</f>
        <v/>
      </c>
      <c r="AD41" t="str">
        <f ca="1">IF(E41="4",   IF( A41="","",IF(OR(F41="1",H41="1",I41="1"),"","COALESCE (CAST(" &amp; HELPER!$B$94 &amp; "."  &amp;A41&amp;" as varchar(" &amp; Options!$B$49&amp; ")),'')")),"")</f>
        <v/>
      </c>
      <c r="AE41" t="str">
        <f t="shared" ca="1" si="59"/>
        <v/>
      </c>
      <c r="AF41" t="str">
        <f ca="1">IF(AE41&lt;&gt;"", HELPER!$B$93 &amp;  "." &amp; AE41,"")</f>
        <v/>
      </c>
      <c r="AG41" t="str">
        <f ca="1">IF(AE41&lt;&gt;"", HELPER!$B$94 &amp; "." &amp; AE41,"")</f>
        <v/>
      </c>
      <c r="AH41" t="str">
        <f t="shared" ca="1" si="88"/>
        <v/>
      </c>
      <c r="AI41" t="str">
        <f t="shared" ca="1" si="60"/>
        <v/>
      </c>
      <c r="AJ41" t="str">
        <f t="shared" ca="1" si="61"/>
        <v/>
      </c>
      <c r="AK41" t="str">
        <f ca="1">IF(E41="4", HELPER!$B$94 &amp;  "." &amp; A41,"")</f>
        <v/>
      </c>
      <c r="AL41" t="str">
        <f ca="1">IF(E41="4", HELPER!$B$93 &amp;  "." &amp; A41,"")</f>
        <v/>
      </c>
      <c r="AM41" t="str">
        <f t="shared" ca="1" si="62"/>
        <v/>
      </c>
      <c r="AN41" t="str">
        <f t="shared" ca="1" si="63"/>
        <v/>
      </c>
      <c r="AO41" t="str">
        <f ca="1">IF(A41&lt;&gt;"", IF(OR(F41="1",H41="1",I41="1"),""," "&amp; HELPER!$B$94 &amp; "." &amp; A41),"")</f>
        <v/>
      </c>
      <c r="AP41" t="str">
        <f t="shared" ca="1" si="64"/>
        <v/>
      </c>
      <c r="AQ41" t="str">
        <f t="shared" ca="1" si="95"/>
        <v/>
      </c>
      <c r="AS41" t="str">
        <f ca="1">IF(A41="","",  HELPER!$B$94 &amp;  "." &amp; A41)</f>
        <v/>
      </c>
      <c r="AT41" t="str">
        <f t="shared" ca="1" si="65"/>
        <v/>
      </c>
      <c r="AU41" t="str">
        <f t="shared" ca="1" si="66"/>
        <v/>
      </c>
      <c r="AV41" s="190" t="str">
        <f t="shared" ca="1" si="67"/>
        <v/>
      </c>
      <c r="AW41" t="str">
        <f t="shared" ca="1" si="68"/>
        <v/>
      </c>
      <c r="AY41" t="str">
        <f t="shared" ca="1" si="69"/>
        <v/>
      </c>
      <c r="AZ41" t="str">
        <f t="shared" ca="1" si="70"/>
        <v/>
      </c>
      <c r="BA41" t="str">
        <f ca="1">IF(AZ41="","", "CAST(" &amp; AZ41 &amp; " AS varchar(" &amp; Options!$B$49 &amp; "))")</f>
        <v/>
      </c>
      <c r="BB41" t="str">
        <f t="shared" ca="1" si="71"/>
        <v/>
      </c>
      <c r="BC41" t="str">
        <f t="shared" ca="1" si="89"/>
        <v/>
      </c>
      <c r="BE41" t="str">
        <f t="shared" ca="1" si="72"/>
        <v/>
      </c>
      <c r="BF41" t="str">
        <f t="shared" ca="1" si="73"/>
        <v/>
      </c>
      <c r="BG41" t="str">
        <f t="shared" ca="1" si="74"/>
        <v/>
      </c>
      <c r="BH41" s="285" t="str">
        <f t="shared" ca="1" si="90"/>
        <v/>
      </c>
      <c r="BI41" t="str">
        <f t="shared" ca="1" si="75"/>
        <v/>
      </c>
      <c r="BJ41" t="str">
        <f t="shared" ca="1" si="76"/>
        <v/>
      </c>
      <c r="BK41" t="str">
        <f t="shared" ca="1" si="91"/>
        <v/>
      </c>
      <c r="BL41" t="str">
        <f t="shared" ca="1" si="77"/>
        <v/>
      </c>
      <c r="BM41" t="str">
        <f t="shared" ca="1" si="92"/>
        <v/>
      </c>
      <c r="BN41" t="str">
        <f t="shared" ca="1" si="93"/>
        <v/>
      </c>
      <c r="BO41" t="str">
        <f t="shared" ca="1" si="78"/>
        <v/>
      </c>
      <c r="BP41" t="b">
        <f ca="1">COUNTIF(COLHELPER!A41:'COLHELPER'!A41,COLHELPER!A41)&gt;1</f>
        <v>0</v>
      </c>
      <c r="BQ41">
        <f t="shared" ca="1" si="79"/>
        <v>0</v>
      </c>
      <c r="BR41" s="290" t="str">
        <f t="shared" ca="1" si="48"/>
        <v/>
      </c>
      <c r="BS41" t="str">
        <f t="shared" ca="1" si="80"/>
        <v/>
      </c>
      <c r="BT41" t="str">
        <f t="shared" ca="1" si="94"/>
        <v/>
      </c>
      <c r="BU41" t="str">
        <f t="shared" ca="1" si="81"/>
        <v/>
      </c>
      <c r="BV41">
        <f t="shared" ca="1" si="82"/>
        <v>0</v>
      </c>
      <c r="BW41" t="str">
        <f t="shared" ca="1" si="83"/>
        <v/>
      </c>
      <c r="BX41" t="str">
        <f t="shared" ca="1" si="84"/>
        <v/>
      </c>
      <c r="BY41" t="str">
        <f ca="1">IF(R41="","",IF(R41&gt;Options!$B$3,"ALTER TABLE "&amp;HELPER!$B$4&amp;" ADD COLUMNS ("&amp;A41&amp;" "&amp;C41&amp;")",""))</f>
        <v/>
      </c>
      <c r="BZ41" t="str">
        <f ca="1">IF(R41="","",IF(R41&gt;Options!$B$3,A41,""))</f>
        <v/>
      </c>
      <c r="CA41" t="str">
        <f ca="1">IF(R41="","",IF(R41&gt;Options!$B$3,B41,""))</f>
        <v/>
      </c>
      <c r="CB41" t="str">
        <f t="shared" ca="1" si="85"/>
        <v/>
      </c>
      <c r="CC41">
        <f t="shared" ca="1" si="86"/>
        <v>0</v>
      </c>
      <c r="CD41" t="str">
        <f ca="1">IF(J41="","",Options!$B$23 &amp; "." &amp; J41)</f>
        <v/>
      </c>
    </row>
    <row r="42" spans="1:82">
      <c r="A42" s="161" t="str">
        <f t="array" aca="1" ref="A42" ca="1">IF(TRIM(INDIRECT("Columns!A42")) ="","",TRIM(INDIRECT("Columns!A42")))</f>
        <v/>
      </c>
      <c r="B42" s="161" t="str">
        <f t="shared" ca="1" si="49"/>
        <v/>
      </c>
      <c r="C42" s="161" t="str">
        <f t="shared" ca="1" si="50"/>
        <v/>
      </c>
      <c r="D42" s="161" t="str">
        <f t="shared" ca="1" si="51"/>
        <v/>
      </c>
      <c r="E42" s="161" t="str">
        <f t="array" aca="1" ref="E42" ca="1">IF(TRIM(INDIRECT("Columns!E42"))="","",TRIM(INDIRECT("Columns!E42")))</f>
        <v/>
      </c>
      <c r="F42" s="161" t="str">
        <f t="array" aca="1" ref="F42" ca="1">IF(TRIM(INDIRECT("Columns!G42"))="","",TRIM(INDIRECT("Columns!G42")))</f>
        <v/>
      </c>
      <c r="G42" s="161" t="str">
        <f t="array" aca="1" ref="G42" ca="1">IF(TRIM(INDIRECT("Columns!F42"))="","",TRIM(INDIRECT("Columns!F42")))</f>
        <v/>
      </c>
      <c r="H42" s="161" t="str">
        <f t="array" aca="1" ref="H42" ca="1">IF(TRIM(INDIRECT("Columns!H42"))="","",TRIM(INDIRECT("Columns!H42")))</f>
        <v/>
      </c>
      <c r="I42" s="161" t="str">
        <f t="array" aca="1" ref="I42" ca="1">IF(TRIM(INDIRECT("Columns!I42"))="","",TRIM(INDIRECT("Columns!I42")))</f>
        <v/>
      </c>
      <c r="J42" s="161" t="str">
        <f t="array" aca="1" ref="J42" ca="1">IF(TRIM(INDIRECT("Columns!J42"))="","",TRIM(INDIRECT("Columns!J42")))</f>
        <v/>
      </c>
      <c r="K42" s="161" t="str">
        <f t="array" aca="1" ref="K42" ca="1">IF(TRIM(INDIRECT("Columns!K42"))="","",TRIM(INDIRECT("Columns!K42")))</f>
        <v/>
      </c>
      <c r="L42" s="161" t="str">
        <f t="array" aca="1" ref="L42" ca="1">IF(TRIM(INDIRECT("Columns!L42"))="","",TRIM(INDIRECT("Columns!L42")))</f>
        <v/>
      </c>
      <c r="M42" s="161" t="str">
        <f t="array" aca="1" ref="M42" ca="1">IF(TRIM(INDIRECT("Columns!M42"))="","",TRIM(INDIRECT("Columns!M42")))</f>
        <v/>
      </c>
      <c r="N42" s="161" t="str">
        <f t="array" aca="1" ref="N42" ca="1">IF(TRIM(INDIRECT("Columns!N42"))="","",TRIM(INDIRECT("Columns!N42")))</f>
        <v/>
      </c>
      <c r="O42" s="227" t="str">
        <f t="array" aca="1" ref="O42" ca="1">IF(TRIM(INDIRECT("Columns!B42"))="","",TRIM(INDIRECT("Columns!B42")))</f>
        <v/>
      </c>
      <c r="P42" s="227" t="str">
        <f t="array" aca="1" ref="P42" ca="1">IF(TRIM(INDIRECT("Columns!C42"))="","",TRIM(INDIRECT("Columns!C42")))</f>
        <v/>
      </c>
      <c r="Q42" s="227" t="str">
        <f t="array" aca="1" ref="Q42" ca="1">IF(TRIM(INDIRECT("Columns!D42"))="","",TRIM(INDIRECT("Columns!D42")))</f>
        <v/>
      </c>
      <c r="R42" s="227" t="str">
        <f t="array" aca="1" ref="R42" ca="1">IF(TRIM(INDIRECT("Columns!O42"))="","",TRIM(INDIRECT("Columns!O42")))</f>
        <v/>
      </c>
      <c r="S42" t="str">
        <f t="shared" ca="1" si="52"/>
        <v/>
      </c>
      <c r="T42" t="str">
        <f t="shared" ca="1" si="53"/>
        <v/>
      </c>
      <c r="U42" t="str">
        <f t="shared" ca="1" si="54"/>
        <v/>
      </c>
      <c r="V42" t="str">
        <f t="shared" ca="1" si="55"/>
        <v/>
      </c>
      <c r="W42" t="str">
        <f t="shared" ca="1" si="56"/>
        <v/>
      </c>
      <c r="X42" t="str">
        <f t="shared" ca="1" si="57"/>
        <v/>
      </c>
      <c r="Y42" t="str">
        <f t="shared" ca="1" si="58"/>
        <v/>
      </c>
      <c r="Z42" t="str">
        <f t="shared" ca="1" si="87"/>
        <v/>
      </c>
      <c r="AA42" t="str">
        <f ca="1">IF(E42="1",   IF( A42="","",IF(OR(F42="1",H42="1",I42="1"),"","COALESCE (CAST("&amp;A42&amp;" as varchar(" &amp; Options!$B$49&amp; ")),'')")),"")</f>
        <v/>
      </c>
      <c r="AB42" t="str">
        <f ca="1">IF(E42="1", IF(C42="string",  IF( A42="","",IF(OR(F42="1",H42="1",I42="1"),"","COALESCE (CAST(lower("&amp;A42&amp;") as varchar(" &amp;Options!$B$49 &amp; ")),'')")),AA42),"")</f>
        <v/>
      </c>
      <c r="AC42" t="str">
        <f ca="1">IF(E42="4",   IF( A42="","",IF(OR(F42="1",H42="1",I42="1"),"","COALESCE (CAST("  &amp;A42&amp;" as varchar(" &amp; Options!$B$49&amp; ")),'')")),"")</f>
        <v/>
      </c>
      <c r="AD42" t="str">
        <f ca="1">IF(E42="4",   IF( A42="","",IF(OR(F42="1",H42="1",I42="1"),"","COALESCE (CAST(" &amp; HELPER!$B$94 &amp; "."  &amp;A42&amp;" as varchar(" &amp; Options!$B$49&amp; ")),'')")),"")</f>
        <v/>
      </c>
      <c r="AE42" t="str">
        <f t="shared" ca="1" si="59"/>
        <v/>
      </c>
      <c r="AF42" t="str">
        <f ca="1">IF(AE42&lt;&gt;"", HELPER!$B$93 &amp;  "." &amp; AE42,"")</f>
        <v/>
      </c>
      <c r="AG42" t="str">
        <f ca="1">IF(AE42&lt;&gt;"", HELPER!$B$94 &amp; "." &amp; AE42,"")</f>
        <v/>
      </c>
      <c r="AH42" t="str">
        <f t="shared" ca="1" si="88"/>
        <v/>
      </c>
      <c r="AI42" t="str">
        <f t="shared" ca="1" si="60"/>
        <v/>
      </c>
      <c r="AJ42" t="str">
        <f t="shared" ca="1" si="61"/>
        <v/>
      </c>
      <c r="AK42" t="str">
        <f ca="1">IF(E42="4", HELPER!$B$94 &amp;  "." &amp; A42,"")</f>
        <v/>
      </c>
      <c r="AL42" t="str">
        <f ca="1">IF(E42="4", HELPER!$B$93 &amp;  "." &amp; A42,"")</f>
        <v/>
      </c>
      <c r="AM42" t="str">
        <f t="shared" ca="1" si="62"/>
        <v/>
      </c>
      <c r="AN42" t="str">
        <f t="shared" ca="1" si="63"/>
        <v/>
      </c>
      <c r="AO42" t="str">
        <f ca="1">IF(A42&lt;&gt;"", IF(OR(F42="1",H42="1",I42="1"),""," "&amp; HELPER!$B$94 &amp; "." &amp; A42),"")</f>
        <v/>
      </c>
      <c r="AP42" t="str">
        <f t="shared" ca="1" si="64"/>
        <v/>
      </c>
      <c r="AQ42" t="str">
        <f t="shared" ca="1" si="95"/>
        <v/>
      </c>
      <c r="AS42" t="str">
        <f ca="1">IF(A42="","",  HELPER!$B$94 &amp;  "." &amp; A42)</f>
        <v/>
      </c>
      <c r="AT42" t="str">
        <f t="shared" ca="1" si="65"/>
        <v/>
      </c>
      <c r="AU42" t="str">
        <f t="shared" ca="1" si="66"/>
        <v/>
      </c>
      <c r="AV42" s="190" t="str">
        <f t="shared" ca="1" si="67"/>
        <v/>
      </c>
      <c r="AW42" t="str">
        <f t="shared" ca="1" si="68"/>
        <v/>
      </c>
      <c r="AY42" t="str">
        <f t="shared" ca="1" si="69"/>
        <v/>
      </c>
      <c r="AZ42" t="str">
        <f t="shared" ca="1" si="70"/>
        <v/>
      </c>
      <c r="BA42" t="str">
        <f ca="1">IF(AZ42="","", "CAST(" &amp; AZ42 &amp; " AS varchar(" &amp; Options!$B$49 &amp; "))")</f>
        <v/>
      </c>
      <c r="BB42" t="str">
        <f t="shared" ca="1" si="71"/>
        <v/>
      </c>
      <c r="BC42" t="str">
        <f t="shared" ca="1" si="89"/>
        <v/>
      </c>
      <c r="BE42" t="str">
        <f t="shared" ca="1" si="72"/>
        <v/>
      </c>
      <c r="BF42" t="str">
        <f t="shared" ca="1" si="73"/>
        <v/>
      </c>
      <c r="BG42" t="str">
        <f t="shared" ca="1" si="74"/>
        <v/>
      </c>
      <c r="BH42" s="285" t="str">
        <f t="shared" ca="1" si="90"/>
        <v/>
      </c>
      <c r="BI42" t="str">
        <f t="shared" ca="1" si="75"/>
        <v/>
      </c>
      <c r="BJ42" t="str">
        <f t="shared" ca="1" si="76"/>
        <v/>
      </c>
      <c r="BK42" t="str">
        <f t="shared" ca="1" si="91"/>
        <v/>
      </c>
      <c r="BL42" t="str">
        <f t="shared" ca="1" si="77"/>
        <v/>
      </c>
      <c r="BM42" t="str">
        <f t="shared" ca="1" si="92"/>
        <v/>
      </c>
      <c r="BN42" t="str">
        <f t="shared" ca="1" si="93"/>
        <v/>
      </c>
      <c r="BO42" t="str">
        <f t="shared" ca="1" si="78"/>
        <v/>
      </c>
      <c r="BP42" t="b">
        <f ca="1">COUNTIF(COLHELPER!A42:'COLHELPER'!A42,COLHELPER!A42)&gt;1</f>
        <v>0</v>
      </c>
      <c r="BQ42">
        <f t="shared" ca="1" si="79"/>
        <v>0</v>
      </c>
      <c r="BR42" s="290" t="str">
        <f t="shared" ca="1" si="48"/>
        <v/>
      </c>
      <c r="BS42" t="str">
        <f t="shared" ca="1" si="80"/>
        <v/>
      </c>
      <c r="BT42" t="str">
        <f t="shared" ca="1" si="94"/>
        <v/>
      </c>
      <c r="BU42" t="str">
        <f t="shared" ca="1" si="81"/>
        <v/>
      </c>
      <c r="BV42">
        <f t="shared" ca="1" si="82"/>
        <v>0</v>
      </c>
      <c r="BW42" t="str">
        <f t="shared" ca="1" si="83"/>
        <v/>
      </c>
      <c r="BX42" t="str">
        <f t="shared" ca="1" si="84"/>
        <v/>
      </c>
      <c r="BY42" t="str">
        <f ca="1">IF(R42="","",IF(R42&gt;Options!$B$3,"ALTER TABLE "&amp;HELPER!$B$4&amp;" ADD COLUMNS ("&amp;A42&amp;" "&amp;C42&amp;")",""))</f>
        <v/>
      </c>
      <c r="BZ42" t="str">
        <f ca="1">IF(R42="","",IF(R42&gt;Options!$B$3,A42,""))</f>
        <v/>
      </c>
      <c r="CA42" t="str">
        <f ca="1">IF(R42="","",IF(R42&gt;Options!$B$3,B42,""))</f>
        <v/>
      </c>
      <c r="CB42" t="str">
        <f t="shared" ca="1" si="85"/>
        <v/>
      </c>
      <c r="CC42">
        <f t="shared" ca="1" si="86"/>
        <v>0</v>
      </c>
      <c r="CD42" t="str">
        <f ca="1">IF(J42="","",Options!$B$23 &amp; "." &amp; J42)</f>
        <v/>
      </c>
    </row>
    <row r="43" spans="1:82">
      <c r="A43" s="161" t="str">
        <f t="array" aca="1" ref="A43" ca="1">IF(TRIM(INDIRECT("Columns!A43")) ="","",TRIM(INDIRECT("Columns!A43")))</f>
        <v/>
      </c>
      <c r="B43" s="161" t="str">
        <f t="shared" ca="1" si="49"/>
        <v/>
      </c>
      <c r="C43" s="161" t="str">
        <f t="shared" ca="1" si="50"/>
        <v/>
      </c>
      <c r="D43" s="161" t="str">
        <f t="shared" ca="1" si="51"/>
        <v/>
      </c>
      <c r="E43" s="161" t="str">
        <f t="array" aca="1" ref="E43" ca="1">IF(TRIM(INDIRECT("Columns!E43"))="","",TRIM(INDIRECT("Columns!E43")))</f>
        <v/>
      </c>
      <c r="F43" s="161" t="str">
        <f t="array" aca="1" ref="F43" ca="1">IF(TRIM(INDIRECT("Columns!G43"))="","",TRIM(INDIRECT("Columns!G43")))</f>
        <v/>
      </c>
      <c r="G43" s="161" t="str">
        <f t="array" aca="1" ref="G43" ca="1">IF(TRIM(INDIRECT("Columns!F43"))="","",TRIM(INDIRECT("Columns!F43")))</f>
        <v/>
      </c>
      <c r="H43" s="161" t="str">
        <f t="array" aca="1" ref="H43" ca="1">IF(TRIM(INDIRECT("Columns!H43"))="","",TRIM(INDIRECT("Columns!H43")))</f>
        <v/>
      </c>
      <c r="I43" s="161" t="str">
        <f t="array" aca="1" ref="I43" ca="1">IF(TRIM(INDIRECT("Columns!I43"))="","",TRIM(INDIRECT("Columns!I43")))</f>
        <v/>
      </c>
      <c r="J43" s="161" t="str">
        <f t="array" aca="1" ref="J43" ca="1">IF(TRIM(INDIRECT("Columns!J43"))="","",TRIM(INDIRECT("Columns!J43")))</f>
        <v/>
      </c>
      <c r="K43" s="161" t="str">
        <f t="array" aca="1" ref="K43" ca="1">IF(TRIM(INDIRECT("Columns!K43"))="","",TRIM(INDIRECT("Columns!K43")))</f>
        <v/>
      </c>
      <c r="L43" s="161" t="str">
        <f t="array" aca="1" ref="L43" ca="1">IF(TRIM(INDIRECT("Columns!L43"))="","",TRIM(INDIRECT("Columns!L43")))</f>
        <v/>
      </c>
      <c r="M43" s="161" t="str">
        <f t="array" aca="1" ref="M43" ca="1">IF(TRIM(INDIRECT("Columns!M43"))="","",TRIM(INDIRECT("Columns!M43")))</f>
        <v/>
      </c>
      <c r="N43" s="161" t="str">
        <f t="array" aca="1" ref="N43" ca="1">IF(TRIM(INDIRECT("Columns!N43"))="","",TRIM(INDIRECT("Columns!N43")))</f>
        <v/>
      </c>
      <c r="O43" s="227" t="str">
        <f t="array" aca="1" ref="O43" ca="1">IF(TRIM(INDIRECT("Columns!B43"))="","",TRIM(INDIRECT("Columns!B43")))</f>
        <v/>
      </c>
      <c r="P43" s="227" t="str">
        <f t="array" aca="1" ref="P43" ca="1">IF(TRIM(INDIRECT("Columns!C43"))="","",TRIM(INDIRECT("Columns!C43")))</f>
        <v/>
      </c>
      <c r="Q43" s="227" t="str">
        <f t="array" aca="1" ref="Q43" ca="1">IF(TRIM(INDIRECT("Columns!D43"))="","",TRIM(INDIRECT("Columns!D43")))</f>
        <v/>
      </c>
      <c r="R43" s="227" t="str">
        <f t="array" aca="1" ref="R43" ca="1">IF(TRIM(INDIRECT("Columns!O43"))="","",TRIM(INDIRECT("Columns!O43")))</f>
        <v/>
      </c>
      <c r="S43" t="str">
        <f t="shared" ca="1" si="52"/>
        <v/>
      </c>
      <c r="T43" t="str">
        <f t="shared" ca="1" si="53"/>
        <v/>
      </c>
      <c r="U43" t="str">
        <f t="shared" ca="1" si="54"/>
        <v/>
      </c>
      <c r="V43" t="str">
        <f t="shared" ca="1" si="55"/>
        <v/>
      </c>
      <c r="W43" t="str">
        <f t="shared" ca="1" si="56"/>
        <v/>
      </c>
      <c r="X43" t="str">
        <f t="shared" ca="1" si="57"/>
        <v/>
      </c>
      <c r="Y43" t="str">
        <f t="shared" ca="1" si="58"/>
        <v/>
      </c>
      <c r="Z43" t="str">
        <f t="shared" ca="1" si="87"/>
        <v/>
      </c>
      <c r="AA43" t="str">
        <f ca="1">IF(E43="1",   IF( A43="","",IF(OR(F43="1",H43="1",I43="1"),"","COALESCE (CAST("&amp;A43&amp;" as varchar(" &amp; Options!$B$49&amp; ")),'')")),"")</f>
        <v/>
      </c>
      <c r="AB43" t="str">
        <f ca="1">IF(E43="1", IF(C43="string",  IF( A43="","",IF(OR(F43="1",H43="1",I43="1"),"","COALESCE (CAST(lower("&amp;A43&amp;") as varchar(" &amp;Options!$B$49 &amp; ")),'')")),AA43),"")</f>
        <v/>
      </c>
      <c r="AC43" t="str">
        <f ca="1">IF(E43="4",   IF( A43="","",IF(OR(F43="1",H43="1",I43="1"),"","COALESCE (CAST("  &amp;A43&amp;" as varchar(" &amp; Options!$B$49&amp; ")),'')")),"")</f>
        <v/>
      </c>
      <c r="AD43" t="str">
        <f ca="1">IF(E43="4",   IF( A43="","",IF(OR(F43="1",H43="1",I43="1"),"","COALESCE (CAST(" &amp; HELPER!$B$94 &amp; "."  &amp;A43&amp;" as varchar(" &amp; Options!$B$49&amp; ")),'')")),"")</f>
        <v/>
      </c>
      <c r="AE43" t="str">
        <f t="shared" ca="1" si="59"/>
        <v/>
      </c>
      <c r="AF43" t="str">
        <f ca="1">IF(AE43&lt;&gt;"", HELPER!$B$93 &amp;  "." &amp; AE43,"")</f>
        <v/>
      </c>
      <c r="AG43" t="str">
        <f ca="1">IF(AE43&lt;&gt;"", HELPER!$B$94 &amp; "." &amp; AE43,"")</f>
        <v/>
      </c>
      <c r="AH43" t="str">
        <f t="shared" ca="1" si="88"/>
        <v/>
      </c>
      <c r="AI43" t="str">
        <f t="shared" ca="1" si="60"/>
        <v/>
      </c>
      <c r="AJ43" t="str">
        <f t="shared" ca="1" si="61"/>
        <v/>
      </c>
      <c r="AK43" t="str">
        <f ca="1">IF(E43="4", HELPER!$B$94 &amp;  "." &amp; A43,"")</f>
        <v/>
      </c>
      <c r="AL43" t="str">
        <f ca="1">IF(E43="4", HELPER!$B$93 &amp;  "." &amp; A43,"")</f>
        <v/>
      </c>
      <c r="AM43" t="str">
        <f t="shared" ca="1" si="62"/>
        <v/>
      </c>
      <c r="AN43" t="str">
        <f t="shared" ca="1" si="63"/>
        <v/>
      </c>
      <c r="AO43" t="str">
        <f ca="1">IF(A43&lt;&gt;"", IF(OR(F43="1",H43="1",I43="1"),""," "&amp; HELPER!$B$94 &amp; "." &amp; A43),"")</f>
        <v/>
      </c>
      <c r="AP43" t="str">
        <f t="shared" ca="1" si="64"/>
        <v/>
      </c>
      <c r="AQ43" t="str">
        <f t="shared" ca="1" si="95"/>
        <v/>
      </c>
      <c r="AS43" t="str">
        <f ca="1">IF(A43="","",  HELPER!$B$94 &amp;  "." &amp; A43)</f>
        <v/>
      </c>
      <c r="AT43" t="str">
        <f t="shared" ca="1" si="65"/>
        <v/>
      </c>
      <c r="AU43" t="str">
        <f t="shared" ca="1" si="66"/>
        <v/>
      </c>
      <c r="AV43" s="190" t="str">
        <f t="shared" ca="1" si="67"/>
        <v/>
      </c>
      <c r="AW43" t="str">
        <f t="shared" ca="1" si="68"/>
        <v/>
      </c>
      <c r="AY43" t="str">
        <f t="shared" ca="1" si="69"/>
        <v/>
      </c>
      <c r="AZ43" t="str">
        <f t="shared" ca="1" si="70"/>
        <v/>
      </c>
      <c r="BA43" t="str">
        <f ca="1">IF(AZ43="","", "CAST(" &amp; AZ43 &amp; " AS varchar(" &amp; Options!$B$49 &amp; "))")</f>
        <v/>
      </c>
      <c r="BB43" t="str">
        <f t="shared" ca="1" si="71"/>
        <v/>
      </c>
      <c r="BC43" t="str">
        <f t="shared" ca="1" si="89"/>
        <v/>
      </c>
      <c r="BE43" t="str">
        <f t="shared" ca="1" si="72"/>
        <v/>
      </c>
      <c r="BF43" t="str">
        <f t="shared" ca="1" si="73"/>
        <v/>
      </c>
      <c r="BG43" t="str">
        <f t="shared" ca="1" si="74"/>
        <v/>
      </c>
      <c r="BH43" s="285" t="str">
        <f t="shared" ca="1" si="90"/>
        <v/>
      </c>
      <c r="BI43" t="str">
        <f t="shared" ca="1" si="75"/>
        <v/>
      </c>
      <c r="BJ43" t="str">
        <f t="shared" ca="1" si="76"/>
        <v/>
      </c>
      <c r="BK43" t="str">
        <f t="shared" ca="1" si="91"/>
        <v/>
      </c>
      <c r="BL43" t="str">
        <f t="shared" ca="1" si="77"/>
        <v/>
      </c>
      <c r="BM43" t="str">
        <f t="shared" ca="1" si="92"/>
        <v/>
      </c>
      <c r="BN43" t="str">
        <f t="shared" ca="1" si="93"/>
        <v/>
      </c>
      <c r="BO43" t="str">
        <f t="shared" ca="1" si="78"/>
        <v/>
      </c>
      <c r="BP43" t="b">
        <f ca="1">COUNTIF(COLHELPER!A43:'COLHELPER'!A43,COLHELPER!A43)&gt;1</f>
        <v>0</v>
      </c>
      <c r="BQ43">
        <f t="shared" ca="1" si="79"/>
        <v>0</v>
      </c>
      <c r="BR43" s="290" t="str">
        <f t="shared" ca="1" si="48"/>
        <v/>
      </c>
      <c r="BS43" t="str">
        <f t="shared" ca="1" si="80"/>
        <v/>
      </c>
      <c r="BT43" t="str">
        <f t="shared" ca="1" si="94"/>
        <v/>
      </c>
      <c r="BU43" t="str">
        <f t="shared" ca="1" si="81"/>
        <v/>
      </c>
      <c r="BV43">
        <f t="shared" ca="1" si="82"/>
        <v>0</v>
      </c>
      <c r="BW43" t="str">
        <f t="shared" ca="1" si="83"/>
        <v/>
      </c>
      <c r="BX43" t="str">
        <f t="shared" ca="1" si="84"/>
        <v/>
      </c>
      <c r="BY43" t="str">
        <f ca="1">IF(R43="","",IF(R43&gt;Options!$B$3,"ALTER TABLE "&amp;HELPER!$B$4&amp;" ADD COLUMNS ("&amp;A43&amp;" "&amp;C43&amp;")",""))</f>
        <v/>
      </c>
      <c r="BZ43" t="str">
        <f ca="1">IF(R43="","",IF(R43&gt;Options!$B$3,A43,""))</f>
        <v/>
      </c>
      <c r="CA43" t="str">
        <f ca="1">IF(R43="","",IF(R43&gt;Options!$B$3,B43,""))</f>
        <v/>
      </c>
      <c r="CB43" t="str">
        <f t="shared" ca="1" si="85"/>
        <v/>
      </c>
      <c r="CC43">
        <f t="shared" ca="1" si="86"/>
        <v>0</v>
      </c>
      <c r="CD43" t="str">
        <f ca="1">IF(J43="","",Options!$B$23 &amp; "." &amp; J43)</f>
        <v/>
      </c>
    </row>
    <row r="44" spans="1:82">
      <c r="A44" s="161" t="str">
        <f t="array" aca="1" ref="A44" ca="1">IF(TRIM(INDIRECT("Columns!A44")) ="","",TRIM(INDIRECT("Columns!A44")))</f>
        <v/>
      </c>
      <c r="B44" s="161" t="str">
        <f t="shared" ca="1" si="49"/>
        <v/>
      </c>
      <c r="C44" s="161" t="str">
        <f t="shared" ca="1" si="50"/>
        <v/>
      </c>
      <c r="D44" s="161" t="str">
        <f t="shared" ca="1" si="51"/>
        <v/>
      </c>
      <c r="E44" s="161" t="str">
        <f t="array" aca="1" ref="E44" ca="1">IF(TRIM(INDIRECT("Columns!E44"))="","",TRIM(INDIRECT("Columns!E44")))</f>
        <v/>
      </c>
      <c r="F44" s="161" t="str">
        <f t="array" aca="1" ref="F44" ca="1">IF(TRIM(INDIRECT("Columns!G44"))="","",TRIM(INDIRECT("Columns!G44")))</f>
        <v/>
      </c>
      <c r="G44" s="161" t="str">
        <f t="array" aca="1" ref="G44" ca="1">IF(TRIM(INDIRECT("Columns!F44"))="","",TRIM(INDIRECT("Columns!F44")))</f>
        <v/>
      </c>
      <c r="H44" s="161" t="str">
        <f t="array" aca="1" ref="H44" ca="1">IF(TRIM(INDIRECT("Columns!H44"))="","",TRIM(INDIRECT("Columns!H44")))</f>
        <v/>
      </c>
      <c r="I44" s="161" t="str">
        <f t="array" aca="1" ref="I44" ca="1">IF(TRIM(INDIRECT("Columns!I44"))="","",TRIM(INDIRECT("Columns!I44")))</f>
        <v/>
      </c>
      <c r="J44" s="161" t="str">
        <f t="array" aca="1" ref="J44" ca="1">IF(TRIM(INDIRECT("Columns!J44"))="","",TRIM(INDIRECT("Columns!J44")))</f>
        <v/>
      </c>
      <c r="K44" s="161" t="str">
        <f t="array" aca="1" ref="K44" ca="1">IF(TRIM(INDIRECT("Columns!K44"))="","",TRIM(INDIRECT("Columns!K44")))</f>
        <v/>
      </c>
      <c r="L44" s="161" t="str">
        <f t="array" aca="1" ref="L44" ca="1">IF(TRIM(INDIRECT("Columns!L44"))="","",TRIM(INDIRECT("Columns!L44")))</f>
        <v/>
      </c>
      <c r="M44" s="161" t="str">
        <f t="array" aca="1" ref="M44" ca="1">IF(TRIM(INDIRECT("Columns!M44"))="","",TRIM(INDIRECT("Columns!M44")))</f>
        <v/>
      </c>
      <c r="N44" s="161" t="str">
        <f t="array" aca="1" ref="N44" ca="1">IF(TRIM(INDIRECT("Columns!N44"))="","",TRIM(INDIRECT("Columns!N44")))</f>
        <v/>
      </c>
      <c r="O44" s="227" t="str">
        <f t="array" aca="1" ref="O44" ca="1">IF(TRIM(INDIRECT("Columns!B44"))="","",TRIM(INDIRECT("Columns!B44")))</f>
        <v/>
      </c>
      <c r="P44" s="227" t="str">
        <f t="array" aca="1" ref="P44" ca="1">IF(TRIM(INDIRECT("Columns!C44"))="","",TRIM(INDIRECT("Columns!C44")))</f>
        <v/>
      </c>
      <c r="Q44" s="227" t="str">
        <f t="array" aca="1" ref="Q44" ca="1">IF(TRIM(INDIRECT("Columns!D44"))="","",TRIM(INDIRECT("Columns!D44")))</f>
        <v/>
      </c>
      <c r="R44" s="227" t="str">
        <f t="array" aca="1" ref="R44" ca="1">IF(TRIM(INDIRECT("Columns!O44"))="","",TRIM(INDIRECT("Columns!O44")))</f>
        <v/>
      </c>
      <c r="S44" t="str">
        <f t="shared" ca="1" si="52"/>
        <v/>
      </c>
      <c r="T44" t="str">
        <f t="shared" ca="1" si="53"/>
        <v/>
      </c>
      <c r="U44" t="str">
        <f t="shared" ca="1" si="54"/>
        <v/>
      </c>
      <c r="V44" t="str">
        <f t="shared" ca="1" si="55"/>
        <v/>
      </c>
      <c r="W44" t="str">
        <f t="shared" ca="1" si="56"/>
        <v/>
      </c>
      <c r="X44" t="str">
        <f t="shared" ca="1" si="57"/>
        <v/>
      </c>
      <c r="Y44" t="str">
        <f t="shared" ca="1" si="58"/>
        <v/>
      </c>
      <c r="Z44" t="str">
        <f t="shared" ca="1" si="87"/>
        <v/>
      </c>
      <c r="AA44" t="str">
        <f ca="1">IF(E44="1",   IF( A44="","",IF(OR(F44="1",H44="1",I44="1"),"","COALESCE (CAST("&amp;A44&amp;" as varchar(" &amp; Options!$B$49&amp; ")),'')")),"")</f>
        <v/>
      </c>
      <c r="AB44" t="str">
        <f ca="1">IF(E44="1", IF(C44="string",  IF( A44="","",IF(OR(F44="1",H44="1",I44="1"),"","COALESCE (CAST(lower("&amp;A44&amp;") as varchar(" &amp;Options!$B$49 &amp; ")),'')")),AA44),"")</f>
        <v/>
      </c>
      <c r="AC44" t="str">
        <f ca="1">IF(E44="4",   IF( A44="","",IF(OR(F44="1",H44="1",I44="1"),"","COALESCE (CAST("  &amp;A44&amp;" as varchar(" &amp; Options!$B$49&amp; ")),'')")),"")</f>
        <v/>
      </c>
      <c r="AD44" t="str">
        <f ca="1">IF(E44="4",   IF( A44="","",IF(OR(F44="1",H44="1",I44="1"),"","COALESCE (CAST(" &amp; HELPER!$B$94 &amp; "."  &amp;A44&amp;" as varchar(" &amp; Options!$B$49&amp; ")),'')")),"")</f>
        <v/>
      </c>
      <c r="AE44" t="str">
        <f t="shared" ca="1" si="59"/>
        <v/>
      </c>
      <c r="AF44" t="str">
        <f ca="1">IF(AE44&lt;&gt;"", HELPER!$B$93 &amp;  "." &amp; AE44,"")</f>
        <v/>
      </c>
      <c r="AG44" t="str">
        <f ca="1">IF(AE44&lt;&gt;"", HELPER!$B$94 &amp; "." &amp; AE44,"")</f>
        <v/>
      </c>
      <c r="AH44" t="str">
        <f t="shared" ca="1" si="88"/>
        <v/>
      </c>
      <c r="AI44" t="str">
        <f t="shared" ca="1" si="60"/>
        <v/>
      </c>
      <c r="AJ44" t="str">
        <f t="shared" ca="1" si="61"/>
        <v/>
      </c>
      <c r="AK44" t="str">
        <f ca="1">IF(E44="4", HELPER!$B$94 &amp;  "." &amp; A44,"")</f>
        <v/>
      </c>
      <c r="AL44" t="str">
        <f ca="1">IF(E44="4", HELPER!$B$93 &amp;  "." &amp; A44,"")</f>
        <v/>
      </c>
      <c r="AM44" t="str">
        <f t="shared" ca="1" si="62"/>
        <v/>
      </c>
      <c r="AN44" t="str">
        <f t="shared" ca="1" si="63"/>
        <v/>
      </c>
      <c r="AO44" t="str">
        <f ca="1">IF(A44&lt;&gt;"", IF(OR(F44="1",H44="1",I44="1"),""," "&amp; HELPER!$B$94 &amp; "." &amp; A44),"")</f>
        <v/>
      </c>
      <c r="AP44" t="str">
        <f t="shared" ca="1" si="64"/>
        <v/>
      </c>
      <c r="AQ44" t="str">
        <f t="shared" ca="1" si="95"/>
        <v/>
      </c>
      <c r="AS44" t="str">
        <f ca="1">IF(A44="","",  HELPER!$B$94 &amp;  "." &amp; A44)</f>
        <v/>
      </c>
      <c r="AT44" t="str">
        <f t="shared" ca="1" si="65"/>
        <v/>
      </c>
      <c r="AU44" t="str">
        <f t="shared" ca="1" si="66"/>
        <v/>
      </c>
      <c r="AV44" s="190" t="str">
        <f t="shared" ca="1" si="67"/>
        <v/>
      </c>
      <c r="AW44" t="str">
        <f t="shared" ca="1" si="68"/>
        <v/>
      </c>
      <c r="AY44" t="str">
        <f t="shared" ca="1" si="69"/>
        <v/>
      </c>
      <c r="AZ44" t="str">
        <f t="shared" ca="1" si="70"/>
        <v/>
      </c>
      <c r="BA44" t="str">
        <f ca="1">IF(AZ44="","", "CAST(" &amp; AZ44 &amp; " AS varchar(" &amp; Options!$B$49 &amp; "))")</f>
        <v/>
      </c>
      <c r="BB44" t="str">
        <f t="shared" ca="1" si="71"/>
        <v/>
      </c>
      <c r="BC44" t="str">
        <f t="shared" ca="1" si="89"/>
        <v/>
      </c>
      <c r="BE44" t="str">
        <f t="shared" ca="1" si="72"/>
        <v/>
      </c>
      <c r="BF44" t="str">
        <f t="shared" ca="1" si="73"/>
        <v/>
      </c>
      <c r="BG44" t="str">
        <f t="shared" ca="1" si="74"/>
        <v/>
      </c>
      <c r="BH44" s="285" t="str">
        <f t="shared" ca="1" si="90"/>
        <v/>
      </c>
      <c r="BI44" t="str">
        <f t="shared" ca="1" si="75"/>
        <v/>
      </c>
      <c r="BJ44" t="str">
        <f t="shared" ca="1" si="76"/>
        <v/>
      </c>
      <c r="BK44" t="str">
        <f t="shared" ca="1" si="91"/>
        <v/>
      </c>
      <c r="BL44" t="str">
        <f t="shared" ca="1" si="77"/>
        <v/>
      </c>
      <c r="BM44" t="str">
        <f t="shared" ca="1" si="92"/>
        <v/>
      </c>
      <c r="BN44" t="str">
        <f t="shared" ca="1" si="93"/>
        <v/>
      </c>
      <c r="BO44" t="str">
        <f t="shared" ca="1" si="78"/>
        <v/>
      </c>
      <c r="BP44" t="b">
        <f ca="1">COUNTIF(COLHELPER!A44:'COLHELPER'!A44,COLHELPER!A44)&gt;1</f>
        <v>0</v>
      </c>
      <c r="BQ44">
        <f t="shared" ca="1" si="79"/>
        <v>0</v>
      </c>
      <c r="BR44" s="290" t="str">
        <f t="shared" ca="1" si="48"/>
        <v/>
      </c>
      <c r="BS44" t="str">
        <f t="shared" ca="1" si="80"/>
        <v/>
      </c>
      <c r="BT44" t="str">
        <f t="shared" ca="1" si="94"/>
        <v/>
      </c>
      <c r="BU44" t="str">
        <f t="shared" ca="1" si="81"/>
        <v/>
      </c>
      <c r="BV44">
        <f t="shared" ca="1" si="82"/>
        <v>0</v>
      </c>
      <c r="BW44" t="str">
        <f t="shared" ca="1" si="83"/>
        <v/>
      </c>
      <c r="BX44" t="str">
        <f t="shared" ca="1" si="84"/>
        <v/>
      </c>
      <c r="BY44" t="str">
        <f ca="1">IF(R44="","",IF(R44&gt;Options!$B$3,"ALTER TABLE "&amp;HELPER!$B$4&amp;" ADD COLUMNS ("&amp;A44&amp;" "&amp;C44&amp;")",""))</f>
        <v/>
      </c>
      <c r="BZ44" t="str">
        <f ca="1">IF(R44="","",IF(R44&gt;Options!$B$3,A44,""))</f>
        <v/>
      </c>
      <c r="CA44" t="str">
        <f ca="1">IF(R44="","",IF(R44&gt;Options!$B$3,B44,""))</f>
        <v/>
      </c>
      <c r="CB44" t="str">
        <f t="shared" ca="1" si="85"/>
        <v/>
      </c>
      <c r="CC44">
        <f t="shared" ca="1" si="86"/>
        <v>0</v>
      </c>
      <c r="CD44" t="str">
        <f ca="1">IF(J44="","",Options!$B$23 &amp; "." &amp; J44)</f>
        <v/>
      </c>
    </row>
    <row r="45" spans="1:82">
      <c r="A45" s="161" t="str">
        <f t="array" aca="1" ref="A45" ca="1">IF(TRIM(INDIRECT("Columns!A45")) ="","",TRIM(INDIRECT("Columns!A45")))</f>
        <v/>
      </c>
      <c r="B45" s="161" t="str">
        <f t="shared" ca="1" si="49"/>
        <v/>
      </c>
      <c r="C45" s="161" t="str">
        <f t="shared" ca="1" si="50"/>
        <v/>
      </c>
      <c r="D45" s="161" t="str">
        <f t="shared" ca="1" si="51"/>
        <v/>
      </c>
      <c r="E45" s="161" t="str">
        <f t="array" aca="1" ref="E45" ca="1">IF(TRIM(INDIRECT("Columns!E45"))="","",TRIM(INDIRECT("Columns!E45")))</f>
        <v/>
      </c>
      <c r="F45" s="161" t="str">
        <f t="array" aca="1" ref="F45" ca="1">IF(TRIM(INDIRECT("Columns!G45"))="","",TRIM(INDIRECT("Columns!G45")))</f>
        <v/>
      </c>
      <c r="G45" s="161" t="str">
        <f t="array" aca="1" ref="G45" ca="1">IF(TRIM(INDIRECT("Columns!F45"))="","",TRIM(INDIRECT("Columns!F45")))</f>
        <v/>
      </c>
      <c r="H45" s="161" t="str">
        <f t="array" aca="1" ref="H45" ca="1">IF(TRIM(INDIRECT("Columns!H45"))="","",TRIM(INDIRECT("Columns!H45")))</f>
        <v/>
      </c>
      <c r="I45" s="161" t="str">
        <f t="array" aca="1" ref="I45" ca="1">IF(TRIM(INDIRECT("Columns!I45"))="","",TRIM(INDIRECT("Columns!I45")))</f>
        <v/>
      </c>
      <c r="J45" s="161" t="str">
        <f t="array" aca="1" ref="J45" ca="1">IF(TRIM(INDIRECT("Columns!J45"))="","",TRIM(INDIRECT("Columns!J45")))</f>
        <v/>
      </c>
      <c r="K45" s="161" t="str">
        <f t="array" aca="1" ref="K45" ca="1">IF(TRIM(INDIRECT("Columns!K45"))="","",TRIM(INDIRECT("Columns!K45")))</f>
        <v/>
      </c>
      <c r="L45" s="161" t="str">
        <f t="array" aca="1" ref="L45" ca="1">IF(TRIM(INDIRECT("Columns!L45"))="","",TRIM(INDIRECT("Columns!L45")))</f>
        <v/>
      </c>
      <c r="M45" s="161" t="str">
        <f t="array" aca="1" ref="M45" ca="1">IF(TRIM(INDIRECT("Columns!M45"))="","",TRIM(INDIRECT("Columns!M45")))</f>
        <v/>
      </c>
      <c r="N45" s="161" t="str">
        <f t="array" aca="1" ref="N45" ca="1">IF(TRIM(INDIRECT("Columns!N45"))="","",TRIM(INDIRECT("Columns!N45")))</f>
        <v/>
      </c>
      <c r="O45" s="227" t="str">
        <f t="array" aca="1" ref="O45" ca="1">IF(TRIM(INDIRECT("Columns!B45"))="","",TRIM(INDIRECT("Columns!B45")))</f>
        <v/>
      </c>
      <c r="P45" s="227" t="str">
        <f t="array" aca="1" ref="P45" ca="1">IF(TRIM(INDIRECT("Columns!C45"))="","",TRIM(INDIRECT("Columns!C45")))</f>
        <v/>
      </c>
      <c r="Q45" s="227" t="str">
        <f t="array" aca="1" ref="Q45" ca="1">IF(TRIM(INDIRECT("Columns!D45"))="","",TRIM(INDIRECT("Columns!D45")))</f>
        <v/>
      </c>
      <c r="R45" s="227" t="str">
        <f t="array" aca="1" ref="R45" ca="1">IF(TRIM(INDIRECT("Columns!O45"))="","",TRIM(INDIRECT("Columns!O45")))</f>
        <v/>
      </c>
      <c r="S45" t="str">
        <f t="shared" ca="1" si="52"/>
        <v/>
      </c>
      <c r="T45" t="str">
        <f t="shared" ca="1" si="53"/>
        <v/>
      </c>
      <c r="U45" t="str">
        <f t="shared" ca="1" si="54"/>
        <v/>
      </c>
      <c r="V45" t="str">
        <f t="shared" ca="1" si="55"/>
        <v/>
      </c>
      <c r="W45" t="str">
        <f t="shared" ca="1" si="56"/>
        <v/>
      </c>
      <c r="X45" t="str">
        <f t="shared" ca="1" si="57"/>
        <v/>
      </c>
      <c r="Y45" t="str">
        <f t="shared" ca="1" si="58"/>
        <v/>
      </c>
      <c r="Z45" t="str">
        <f t="shared" ca="1" si="87"/>
        <v/>
      </c>
      <c r="AA45" t="str">
        <f ca="1">IF(E45="1",   IF( A45="","",IF(OR(F45="1",H45="1",I45="1"),"","COALESCE (CAST("&amp;A45&amp;" as varchar(" &amp; Options!$B$49&amp; ")),'')")),"")</f>
        <v/>
      </c>
      <c r="AB45" t="str">
        <f ca="1">IF(E45="1", IF(C45="string",  IF( A45="","",IF(OR(F45="1",H45="1",I45="1"),"","COALESCE (CAST(lower("&amp;A45&amp;") as varchar(" &amp;Options!$B$49 &amp; ")),'')")),AA45),"")</f>
        <v/>
      </c>
      <c r="AC45" t="str">
        <f ca="1">IF(E45="4",   IF( A45="","",IF(OR(F45="1",H45="1",I45="1"),"","COALESCE (CAST("  &amp;A45&amp;" as varchar(" &amp; Options!$B$49&amp; ")),'')")),"")</f>
        <v/>
      </c>
      <c r="AD45" t="str">
        <f ca="1">IF(E45="4",   IF( A45="","",IF(OR(F45="1",H45="1",I45="1"),"","COALESCE (CAST(" &amp; HELPER!$B$94 &amp; "."  &amp;A45&amp;" as varchar(" &amp; Options!$B$49&amp; ")),'')")),"")</f>
        <v/>
      </c>
      <c r="AE45" t="str">
        <f t="shared" ca="1" si="59"/>
        <v/>
      </c>
      <c r="AF45" t="str">
        <f ca="1">IF(AE45&lt;&gt;"", HELPER!$B$93 &amp;  "." &amp; AE45,"")</f>
        <v/>
      </c>
      <c r="AG45" t="str">
        <f ca="1">IF(AE45&lt;&gt;"", HELPER!$B$94 &amp; "." &amp; AE45,"")</f>
        <v/>
      </c>
      <c r="AH45" t="str">
        <f t="shared" ca="1" si="88"/>
        <v/>
      </c>
      <c r="AI45" t="str">
        <f t="shared" ca="1" si="60"/>
        <v/>
      </c>
      <c r="AJ45" t="str">
        <f t="shared" ca="1" si="61"/>
        <v/>
      </c>
      <c r="AK45" t="str">
        <f ca="1">IF(E45="4", HELPER!$B$94 &amp;  "." &amp; A45,"")</f>
        <v/>
      </c>
      <c r="AL45" t="str">
        <f ca="1">IF(E45="4", HELPER!$B$93 &amp;  "." &amp; A45,"")</f>
        <v/>
      </c>
      <c r="AM45" t="str">
        <f t="shared" ca="1" si="62"/>
        <v/>
      </c>
      <c r="AN45" t="str">
        <f t="shared" ca="1" si="63"/>
        <v/>
      </c>
      <c r="AO45" t="str">
        <f ca="1">IF(A45&lt;&gt;"", IF(OR(F45="1",H45="1",I45="1"),""," "&amp; HELPER!$B$94 &amp; "." &amp; A45),"")</f>
        <v/>
      </c>
      <c r="AP45" t="str">
        <f t="shared" ca="1" si="64"/>
        <v/>
      </c>
      <c r="AQ45" t="str">
        <f t="shared" ca="1" si="95"/>
        <v/>
      </c>
      <c r="AS45" t="str">
        <f ca="1">IF(A45="","",  HELPER!$B$94 &amp;  "." &amp; A45)</f>
        <v/>
      </c>
      <c r="AT45" t="str">
        <f t="shared" ca="1" si="65"/>
        <v/>
      </c>
      <c r="AU45" t="str">
        <f t="shared" ca="1" si="66"/>
        <v/>
      </c>
      <c r="AV45" s="190" t="str">
        <f t="shared" ca="1" si="67"/>
        <v/>
      </c>
      <c r="AW45" t="str">
        <f t="shared" ca="1" si="68"/>
        <v/>
      </c>
      <c r="AY45" t="str">
        <f t="shared" ca="1" si="69"/>
        <v/>
      </c>
      <c r="AZ45" t="str">
        <f t="shared" ca="1" si="70"/>
        <v/>
      </c>
      <c r="BA45" t="str">
        <f ca="1">IF(AZ45="","", "CAST(" &amp; AZ45 &amp; " AS varchar(" &amp; Options!$B$49 &amp; "))")</f>
        <v/>
      </c>
      <c r="BB45" t="str">
        <f t="shared" ca="1" si="71"/>
        <v/>
      </c>
      <c r="BC45" t="str">
        <f t="shared" ca="1" si="89"/>
        <v/>
      </c>
      <c r="BE45" t="str">
        <f t="shared" ca="1" si="72"/>
        <v/>
      </c>
      <c r="BF45" t="str">
        <f t="shared" ca="1" si="73"/>
        <v/>
      </c>
      <c r="BG45" t="str">
        <f t="shared" ca="1" si="74"/>
        <v/>
      </c>
      <c r="BH45" s="285" t="str">
        <f t="shared" ca="1" si="90"/>
        <v/>
      </c>
      <c r="BI45" t="str">
        <f t="shared" ca="1" si="75"/>
        <v/>
      </c>
      <c r="BJ45" t="str">
        <f t="shared" ca="1" si="76"/>
        <v/>
      </c>
      <c r="BK45" t="str">
        <f t="shared" ca="1" si="91"/>
        <v/>
      </c>
      <c r="BL45" t="str">
        <f t="shared" ca="1" si="77"/>
        <v/>
      </c>
      <c r="BM45" t="str">
        <f t="shared" ca="1" si="92"/>
        <v/>
      </c>
      <c r="BN45" t="str">
        <f t="shared" ca="1" si="93"/>
        <v/>
      </c>
      <c r="BO45" t="str">
        <f t="shared" ca="1" si="78"/>
        <v/>
      </c>
      <c r="BP45" t="b">
        <f ca="1">COUNTIF(COLHELPER!A45:'COLHELPER'!A45,COLHELPER!A45)&gt;1</f>
        <v>0</v>
      </c>
      <c r="BQ45">
        <f t="shared" ca="1" si="79"/>
        <v>0</v>
      </c>
      <c r="BR45" s="290" t="str">
        <f t="shared" ca="1" si="48"/>
        <v/>
      </c>
      <c r="BS45" t="str">
        <f t="shared" ca="1" si="80"/>
        <v/>
      </c>
      <c r="BT45" t="str">
        <f t="shared" ca="1" si="94"/>
        <v/>
      </c>
      <c r="BU45" t="str">
        <f t="shared" ca="1" si="81"/>
        <v/>
      </c>
      <c r="BV45">
        <f t="shared" ca="1" si="82"/>
        <v>0</v>
      </c>
      <c r="BW45" t="str">
        <f t="shared" ca="1" si="83"/>
        <v/>
      </c>
      <c r="BX45" t="str">
        <f t="shared" ca="1" si="84"/>
        <v/>
      </c>
      <c r="BY45" t="str">
        <f ca="1">IF(R45="","",IF(R45&gt;Options!$B$3,"ALTER TABLE "&amp;HELPER!$B$4&amp;" ADD COLUMNS ("&amp;A45&amp;" "&amp;C45&amp;")",""))</f>
        <v/>
      </c>
      <c r="BZ45" t="str">
        <f ca="1">IF(R45="","",IF(R45&gt;Options!$B$3,A45,""))</f>
        <v/>
      </c>
      <c r="CA45" t="str">
        <f ca="1">IF(R45="","",IF(R45&gt;Options!$B$3,B45,""))</f>
        <v/>
      </c>
      <c r="CB45" t="str">
        <f t="shared" ca="1" si="85"/>
        <v/>
      </c>
      <c r="CC45">
        <f t="shared" ca="1" si="86"/>
        <v>0</v>
      </c>
      <c r="CD45" t="str">
        <f ca="1">IF(J45="","",Options!$B$23 &amp; "." &amp; J45)</f>
        <v/>
      </c>
    </row>
    <row r="46" spans="1:82">
      <c r="A46" s="161" t="str">
        <f t="array" aca="1" ref="A46" ca="1">IF(TRIM(INDIRECT("Columns!A46")) ="","",TRIM(INDIRECT("Columns!A46")))</f>
        <v/>
      </c>
      <c r="B46" s="161" t="str">
        <f t="shared" ca="1" si="49"/>
        <v/>
      </c>
      <c r="C46" s="161" t="str">
        <f t="shared" ca="1" si="50"/>
        <v/>
      </c>
      <c r="D46" s="161" t="str">
        <f t="shared" ca="1" si="51"/>
        <v/>
      </c>
      <c r="E46" s="161" t="str">
        <f t="array" aca="1" ref="E46" ca="1">IF(TRIM(INDIRECT("Columns!E46"))="","",TRIM(INDIRECT("Columns!E46")))</f>
        <v/>
      </c>
      <c r="F46" s="161" t="str">
        <f t="array" aca="1" ref="F46" ca="1">IF(TRIM(INDIRECT("Columns!G46"))="","",TRIM(INDIRECT("Columns!G46")))</f>
        <v/>
      </c>
      <c r="G46" s="161" t="str">
        <f t="array" aca="1" ref="G46" ca="1">IF(TRIM(INDIRECT("Columns!F46"))="","",TRIM(INDIRECT("Columns!F46")))</f>
        <v/>
      </c>
      <c r="H46" s="161" t="str">
        <f t="array" aca="1" ref="H46" ca="1">IF(TRIM(INDIRECT("Columns!H46"))="","",TRIM(INDIRECT("Columns!H46")))</f>
        <v/>
      </c>
      <c r="I46" s="161" t="str">
        <f t="array" aca="1" ref="I46" ca="1">IF(TRIM(INDIRECT("Columns!I46"))="","",TRIM(INDIRECT("Columns!I46")))</f>
        <v/>
      </c>
      <c r="J46" s="161" t="str">
        <f t="array" aca="1" ref="J46" ca="1">IF(TRIM(INDIRECT("Columns!J46"))="","",TRIM(INDIRECT("Columns!J46")))</f>
        <v/>
      </c>
      <c r="K46" s="161" t="str">
        <f t="array" aca="1" ref="K46" ca="1">IF(TRIM(INDIRECT("Columns!K46"))="","",TRIM(INDIRECT("Columns!K46")))</f>
        <v/>
      </c>
      <c r="L46" s="161" t="str">
        <f t="array" aca="1" ref="L46" ca="1">IF(TRIM(INDIRECT("Columns!L46"))="","",TRIM(INDIRECT("Columns!L46")))</f>
        <v/>
      </c>
      <c r="M46" s="161" t="str">
        <f t="array" aca="1" ref="M46" ca="1">IF(TRIM(INDIRECT("Columns!M46"))="","",TRIM(INDIRECT("Columns!M46")))</f>
        <v/>
      </c>
      <c r="N46" s="161" t="str">
        <f t="array" aca="1" ref="N46" ca="1">IF(TRIM(INDIRECT("Columns!N46"))="","",TRIM(INDIRECT("Columns!N46")))</f>
        <v/>
      </c>
      <c r="O46" s="227" t="str">
        <f t="array" aca="1" ref="O46" ca="1">IF(TRIM(INDIRECT("Columns!B46"))="","",TRIM(INDIRECT("Columns!B46")))</f>
        <v/>
      </c>
      <c r="P46" s="227" t="str">
        <f t="array" aca="1" ref="P46" ca="1">IF(TRIM(INDIRECT("Columns!C46"))="","",TRIM(INDIRECT("Columns!C46")))</f>
        <v/>
      </c>
      <c r="Q46" s="227" t="str">
        <f t="array" aca="1" ref="Q46" ca="1">IF(TRIM(INDIRECT("Columns!D46"))="","",TRIM(INDIRECT("Columns!D46")))</f>
        <v/>
      </c>
      <c r="R46" s="227" t="str">
        <f t="array" aca="1" ref="R46" ca="1">IF(TRIM(INDIRECT("Columns!O46"))="","",TRIM(INDIRECT("Columns!O46")))</f>
        <v/>
      </c>
      <c r="S46" t="str">
        <f t="shared" ca="1" si="52"/>
        <v/>
      </c>
      <c r="T46" t="str">
        <f t="shared" ca="1" si="53"/>
        <v/>
      </c>
      <c r="U46" t="str">
        <f t="shared" ca="1" si="54"/>
        <v/>
      </c>
      <c r="V46" t="str">
        <f t="shared" ca="1" si="55"/>
        <v/>
      </c>
      <c r="W46" t="str">
        <f t="shared" ca="1" si="56"/>
        <v/>
      </c>
      <c r="X46" t="str">
        <f t="shared" ca="1" si="57"/>
        <v/>
      </c>
      <c r="Y46" t="str">
        <f t="shared" ca="1" si="58"/>
        <v/>
      </c>
      <c r="Z46" t="str">
        <f t="shared" ca="1" si="87"/>
        <v/>
      </c>
      <c r="AA46" t="str">
        <f ca="1">IF(E46="1",   IF( A46="","",IF(OR(F46="1",H46="1",I46="1"),"","COALESCE (CAST("&amp;A46&amp;" as varchar(" &amp; Options!$B$49&amp; ")),'')")),"")</f>
        <v/>
      </c>
      <c r="AB46" t="str">
        <f ca="1">IF(E46="1", IF(C46="string",  IF( A46="","",IF(OR(F46="1",H46="1",I46="1"),"","COALESCE (CAST(lower("&amp;A46&amp;") as varchar(" &amp;Options!$B$49 &amp; ")),'')")),AA46),"")</f>
        <v/>
      </c>
      <c r="AC46" t="str">
        <f ca="1">IF(E46="4",   IF( A46="","",IF(OR(F46="1",H46="1",I46="1"),"","COALESCE (CAST("  &amp;A46&amp;" as varchar(" &amp; Options!$B$49&amp; ")),'')")),"")</f>
        <v/>
      </c>
      <c r="AD46" t="str">
        <f ca="1">IF(E46="4",   IF( A46="","",IF(OR(F46="1",H46="1",I46="1"),"","COALESCE (CAST(" &amp; HELPER!$B$94 &amp; "."  &amp;A46&amp;" as varchar(" &amp; Options!$B$49&amp; ")),'')")),"")</f>
        <v/>
      </c>
      <c r="AE46" t="str">
        <f t="shared" ca="1" si="59"/>
        <v/>
      </c>
      <c r="AF46" t="str">
        <f ca="1">IF(AE46&lt;&gt;"", HELPER!$B$93 &amp;  "." &amp; AE46,"")</f>
        <v/>
      </c>
      <c r="AG46" t="str">
        <f ca="1">IF(AE46&lt;&gt;"", HELPER!$B$94 &amp; "." &amp; AE46,"")</f>
        <v/>
      </c>
      <c r="AH46" t="str">
        <f t="shared" ca="1" si="88"/>
        <v/>
      </c>
      <c r="AI46" t="str">
        <f t="shared" ca="1" si="60"/>
        <v/>
      </c>
      <c r="AJ46" t="str">
        <f t="shared" ca="1" si="61"/>
        <v/>
      </c>
      <c r="AK46" t="str">
        <f ca="1">IF(E46="4", HELPER!$B$94 &amp;  "." &amp; A46,"")</f>
        <v/>
      </c>
      <c r="AL46" t="str">
        <f ca="1">IF(E46="4", HELPER!$B$93 &amp;  "." &amp; A46,"")</f>
        <v/>
      </c>
      <c r="AM46" t="str">
        <f t="shared" ca="1" si="62"/>
        <v/>
      </c>
      <c r="AN46" t="str">
        <f t="shared" ca="1" si="63"/>
        <v/>
      </c>
      <c r="AO46" t="str">
        <f ca="1">IF(A46&lt;&gt;"", IF(OR(F46="1",H46="1",I46="1"),""," "&amp; HELPER!$B$94 &amp; "." &amp; A46),"")</f>
        <v/>
      </c>
      <c r="AP46" t="str">
        <f t="shared" ca="1" si="64"/>
        <v/>
      </c>
      <c r="AQ46" t="str">
        <f t="shared" ca="1" si="95"/>
        <v/>
      </c>
      <c r="AS46" t="str">
        <f ca="1">IF(A46="","",  HELPER!$B$94 &amp;  "." &amp; A46)</f>
        <v/>
      </c>
      <c r="AT46" t="str">
        <f t="shared" ca="1" si="65"/>
        <v/>
      </c>
      <c r="AU46" t="str">
        <f t="shared" ca="1" si="66"/>
        <v/>
      </c>
      <c r="AV46" s="190" t="str">
        <f t="shared" ca="1" si="67"/>
        <v/>
      </c>
      <c r="AW46" t="str">
        <f t="shared" ca="1" si="68"/>
        <v/>
      </c>
      <c r="AY46" t="str">
        <f t="shared" ca="1" si="69"/>
        <v/>
      </c>
      <c r="AZ46" t="str">
        <f t="shared" ca="1" si="70"/>
        <v/>
      </c>
      <c r="BA46" t="str">
        <f ca="1">IF(AZ46="","", "CAST(" &amp; AZ46 &amp; " AS varchar(" &amp; Options!$B$49 &amp; "))")</f>
        <v/>
      </c>
      <c r="BB46" t="str">
        <f t="shared" ca="1" si="71"/>
        <v/>
      </c>
      <c r="BC46" t="str">
        <f t="shared" ca="1" si="89"/>
        <v/>
      </c>
      <c r="BE46" t="str">
        <f t="shared" ca="1" si="72"/>
        <v/>
      </c>
      <c r="BF46" t="str">
        <f t="shared" ca="1" si="73"/>
        <v/>
      </c>
      <c r="BG46" t="str">
        <f t="shared" ca="1" si="74"/>
        <v/>
      </c>
      <c r="BH46" s="285" t="str">
        <f t="shared" ca="1" si="90"/>
        <v/>
      </c>
      <c r="BI46" t="str">
        <f t="shared" ca="1" si="75"/>
        <v/>
      </c>
      <c r="BJ46" t="str">
        <f t="shared" ca="1" si="76"/>
        <v/>
      </c>
      <c r="BK46" t="str">
        <f t="shared" ca="1" si="91"/>
        <v/>
      </c>
      <c r="BL46" t="str">
        <f t="shared" ca="1" si="77"/>
        <v/>
      </c>
      <c r="BM46" t="str">
        <f t="shared" ca="1" si="92"/>
        <v/>
      </c>
      <c r="BN46" t="str">
        <f t="shared" ca="1" si="93"/>
        <v/>
      </c>
      <c r="BO46" t="str">
        <f t="shared" ca="1" si="78"/>
        <v/>
      </c>
      <c r="BP46" t="b">
        <f ca="1">COUNTIF(COLHELPER!A46:'COLHELPER'!A46,COLHELPER!A46)&gt;1</f>
        <v>0</v>
      </c>
      <c r="BQ46">
        <f t="shared" ca="1" si="79"/>
        <v>0</v>
      </c>
      <c r="BR46" s="290" t="str">
        <f t="shared" ca="1" si="48"/>
        <v/>
      </c>
      <c r="BS46" t="str">
        <f t="shared" ca="1" si="80"/>
        <v/>
      </c>
      <c r="BT46" t="str">
        <f t="shared" ca="1" si="94"/>
        <v/>
      </c>
      <c r="BU46" t="str">
        <f t="shared" ca="1" si="81"/>
        <v/>
      </c>
      <c r="BV46">
        <f t="shared" ca="1" si="82"/>
        <v>0</v>
      </c>
      <c r="BW46" t="str">
        <f t="shared" ca="1" si="83"/>
        <v/>
      </c>
      <c r="BX46" t="str">
        <f t="shared" ca="1" si="84"/>
        <v/>
      </c>
      <c r="BY46" t="str">
        <f ca="1">IF(R46="","",IF(R46&gt;Options!$B$3,"ALTER TABLE "&amp;HELPER!$B$4&amp;" ADD COLUMNS ("&amp;A46&amp;" "&amp;C46&amp;")",""))</f>
        <v/>
      </c>
      <c r="BZ46" t="str">
        <f ca="1">IF(R46="","",IF(R46&gt;Options!$B$3,A46,""))</f>
        <v/>
      </c>
      <c r="CA46" t="str">
        <f ca="1">IF(R46="","",IF(R46&gt;Options!$B$3,B46,""))</f>
        <v/>
      </c>
      <c r="CB46" t="str">
        <f t="shared" ca="1" si="85"/>
        <v/>
      </c>
      <c r="CC46">
        <f t="shared" ca="1" si="86"/>
        <v>0</v>
      </c>
      <c r="CD46" t="str">
        <f ca="1">IF(J46="","",Options!$B$23 &amp; "." &amp; J46)</f>
        <v/>
      </c>
    </row>
    <row r="47" spans="1:82">
      <c r="A47" s="161" t="str">
        <f t="array" aca="1" ref="A47" ca="1">IF(TRIM(INDIRECT("Columns!A47")) ="","",TRIM(INDIRECT("Columns!A47")))</f>
        <v/>
      </c>
      <c r="B47" s="161" t="str">
        <f t="shared" ca="1" si="49"/>
        <v/>
      </c>
      <c r="C47" s="161" t="str">
        <f t="shared" ca="1" si="50"/>
        <v/>
      </c>
      <c r="D47" s="161" t="str">
        <f t="shared" ca="1" si="51"/>
        <v/>
      </c>
      <c r="E47" s="161" t="str">
        <f t="array" aca="1" ref="E47" ca="1">IF(TRIM(INDIRECT("Columns!E47"))="","",TRIM(INDIRECT("Columns!E47")))</f>
        <v/>
      </c>
      <c r="F47" s="161" t="str">
        <f t="array" aca="1" ref="F47" ca="1">IF(TRIM(INDIRECT("Columns!G47"))="","",TRIM(INDIRECT("Columns!G47")))</f>
        <v/>
      </c>
      <c r="G47" s="161" t="str">
        <f t="array" aca="1" ref="G47" ca="1">IF(TRIM(INDIRECT("Columns!F47"))="","",TRIM(INDIRECT("Columns!F47")))</f>
        <v/>
      </c>
      <c r="H47" s="161" t="str">
        <f t="array" aca="1" ref="H47" ca="1">IF(TRIM(INDIRECT("Columns!H47"))="","",TRIM(INDIRECT("Columns!H47")))</f>
        <v/>
      </c>
      <c r="I47" s="161" t="str">
        <f t="array" aca="1" ref="I47" ca="1">IF(TRIM(INDIRECT("Columns!I47"))="","",TRIM(INDIRECT("Columns!I47")))</f>
        <v/>
      </c>
      <c r="J47" s="161" t="str">
        <f t="array" aca="1" ref="J47" ca="1">IF(TRIM(INDIRECT("Columns!J47"))="","",TRIM(INDIRECT("Columns!J47")))</f>
        <v/>
      </c>
      <c r="K47" s="161" t="str">
        <f t="array" aca="1" ref="K47" ca="1">IF(TRIM(INDIRECT("Columns!K47"))="","",TRIM(INDIRECT("Columns!K47")))</f>
        <v/>
      </c>
      <c r="L47" s="161" t="str">
        <f t="array" aca="1" ref="L47" ca="1">IF(TRIM(INDIRECT("Columns!L47"))="","",TRIM(INDIRECT("Columns!L47")))</f>
        <v/>
      </c>
      <c r="M47" s="161" t="str">
        <f t="array" aca="1" ref="M47" ca="1">IF(TRIM(INDIRECT("Columns!M47"))="","",TRIM(INDIRECT("Columns!M47")))</f>
        <v/>
      </c>
      <c r="N47" s="161" t="str">
        <f t="array" aca="1" ref="N47" ca="1">IF(TRIM(INDIRECT("Columns!N47"))="","",TRIM(INDIRECT("Columns!N47")))</f>
        <v/>
      </c>
      <c r="O47" s="227" t="str">
        <f t="array" aca="1" ref="O47" ca="1">IF(TRIM(INDIRECT("Columns!B47"))="","",TRIM(INDIRECT("Columns!B47")))</f>
        <v/>
      </c>
      <c r="P47" s="227" t="str">
        <f t="array" aca="1" ref="P47" ca="1">IF(TRIM(INDIRECT("Columns!C47"))="","",TRIM(INDIRECT("Columns!C47")))</f>
        <v/>
      </c>
      <c r="Q47" s="227" t="str">
        <f t="array" aca="1" ref="Q47" ca="1">IF(TRIM(INDIRECT("Columns!D47"))="","",TRIM(INDIRECT("Columns!D47")))</f>
        <v/>
      </c>
      <c r="R47" s="227" t="str">
        <f t="array" aca="1" ref="R47" ca="1">IF(TRIM(INDIRECT("Columns!O47"))="","",TRIM(INDIRECT("Columns!O47")))</f>
        <v/>
      </c>
      <c r="S47" t="str">
        <f t="shared" ca="1" si="52"/>
        <v/>
      </c>
      <c r="T47" t="str">
        <f t="shared" ca="1" si="53"/>
        <v/>
      </c>
      <c r="U47" t="str">
        <f t="shared" ca="1" si="54"/>
        <v/>
      </c>
      <c r="V47" t="str">
        <f t="shared" ca="1" si="55"/>
        <v/>
      </c>
      <c r="W47" t="str">
        <f t="shared" ca="1" si="56"/>
        <v/>
      </c>
      <c r="X47" t="str">
        <f t="shared" ca="1" si="57"/>
        <v/>
      </c>
      <c r="Y47" t="str">
        <f t="shared" ca="1" si="58"/>
        <v/>
      </c>
      <c r="Z47" t="str">
        <f t="shared" ca="1" si="87"/>
        <v/>
      </c>
      <c r="AA47" t="str">
        <f ca="1">IF(E47="1",   IF( A47="","",IF(OR(F47="1",H47="1",I47="1"),"","COALESCE (CAST("&amp;A47&amp;" as varchar(" &amp; Options!$B$49&amp; ")),'')")),"")</f>
        <v/>
      </c>
      <c r="AB47" t="str">
        <f ca="1">IF(E47="1", IF(C47="string",  IF( A47="","",IF(OR(F47="1",H47="1",I47="1"),"","COALESCE (CAST(lower("&amp;A47&amp;") as varchar(" &amp;Options!$B$49 &amp; ")),'')")),AA47),"")</f>
        <v/>
      </c>
      <c r="AC47" t="str">
        <f ca="1">IF(E47="4",   IF( A47="","",IF(OR(F47="1",H47="1",I47="1"),"","COALESCE (CAST("  &amp;A47&amp;" as varchar(" &amp; Options!$B$49&amp; ")),'')")),"")</f>
        <v/>
      </c>
      <c r="AD47" t="str">
        <f ca="1">IF(E47="4",   IF( A47="","",IF(OR(F47="1",H47="1",I47="1"),"","COALESCE (CAST(" &amp; HELPER!$B$94 &amp; "."  &amp;A47&amp;" as varchar(" &amp; Options!$B$49&amp; ")),'')")),"")</f>
        <v/>
      </c>
      <c r="AE47" t="str">
        <f t="shared" ca="1" si="59"/>
        <v/>
      </c>
      <c r="AF47" t="str">
        <f ca="1">IF(AE47&lt;&gt;"", HELPER!$B$93 &amp;  "." &amp; AE47,"")</f>
        <v/>
      </c>
      <c r="AG47" t="str">
        <f ca="1">IF(AE47&lt;&gt;"", HELPER!$B$94 &amp; "." &amp; AE47,"")</f>
        <v/>
      </c>
      <c r="AH47" t="str">
        <f t="shared" ca="1" si="88"/>
        <v/>
      </c>
      <c r="AI47" t="str">
        <f t="shared" ca="1" si="60"/>
        <v/>
      </c>
      <c r="AJ47" t="str">
        <f t="shared" ca="1" si="61"/>
        <v/>
      </c>
      <c r="AK47" t="str">
        <f ca="1">IF(E47="4", HELPER!$B$94 &amp;  "." &amp; A47,"")</f>
        <v/>
      </c>
      <c r="AL47" t="str">
        <f ca="1">IF(E47="4", HELPER!$B$93 &amp;  "." &amp; A47,"")</f>
        <v/>
      </c>
      <c r="AM47" t="str">
        <f t="shared" ca="1" si="62"/>
        <v/>
      </c>
      <c r="AN47" t="str">
        <f t="shared" ca="1" si="63"/>
        <v/>
      </c>
      <c r="AO47" t="str">
        <f ca="1">IF(A47&lt;&gt;"", IF(OR(F47="1",H47="1",I47="1"),""," "&amp; HELPER!$B$94 &amp; "." &amp; A47),"")</f>
        <v/>
      </c>
      <c r="AP47" t="str">
        <f t="shared" ca="1" si="64"/>
        <v/>
      </c>
      <c r="AQ47" t="str">
        <f t="shared" ca="1" si="95"/>
        <v/>
      </c>
      <c r="AS47" t="str">
        <f ca="1">IF(A47="","",  HELPER!$B$94 &amp;  "." &amp; A47)</f>
        <v/>
      </c>
      <c r="AT47" t="str">
        <f t="shared" ca="1" si="65"/>
        <v/>
      </c>
      <c r="AU47" t="str">
        <f t="shared" ca="1" si="66"/>
        <v/>
      </c>
      <c r="AV47" s="190" t="str">
        <f t="shared" ca="1" si="67"/>
        <v/>
      </c>
      <c r="AW47" t="str">
        <f t="shared" ca="1" si="68"/>
        <v/>
      </c>
      <c r="AY47" t="str">
        <f t="shared" ca="1" si="69"/>
        <v/>
      </c>
      <c r="AZ47" t="str">
        <f t="shared" ca="1" si="70"/>
        <v/>
      </c>
      <c r="BA47" t="str">
        <f ca="1">IF(AZ47="","", "CAST(" &amp; AZ47 &amp; " AS varchar(" &amp; Options!$B$49 &amp; "))")</f>
        <v/>
      </c>
      <c r="BB47" t="str">
        <f t="shared" ca="1" si="71"/>
        <v/>
      </c>
      <c r="BC47" t="str">
        <f t="shared" ca="1" si="89"/>
        <v/>
      </c>
      <c r="BE47" t="str">
        <f t="shared" ca="1" si="72"/>
        <v/>
      </c>
      <c r="BF47" t="str">
        <f t="shared" ca="1" si="73"/>
        <v/>
      </c>
      <c r="BG47" t="str">
        <f t="shared" ca="1" si="74"/>
        <v/>
      </c>
      <c r="BH47" s="285" t="str">
        <f t="shared" ca="1" si="90"/>
        <v/>
      </c>
      <c r="BI47" t="str">
        <f t="shared" ca="1" si="75"/>
        <v/>
      </c>
      <c r="BJ47" t="str">
        <f t="shared" ca="1" si="76"/>
        <v/>
      </c>
      <c r="BK47" t="str">
        <f t="shared" ca="1" si="91"/>
        <v/>
      </c>
      <c r="BL47" t="str">
        <f t="shared" ca="1" si="77"/>
        <v/>
      </c>
      <c r="BM47" t="str">
        <f t="shared" ca="1" si="92"/>
        <v/>
      </c>
      <c r="BN47" t="str">
        <f t="shared" ca="1" si="93"/>
        <v/>
      </c>
      <c r="BO47" t="str">
        <f t="shared" ca="1" si="78"/>
        <v/>
      </c>
      <c r="BP47" t="b">
        <f ca="1">COUNTIF(COLHELPER!A47:'COLHELPER'!A47,COLHELPER!A47)&gt;1</f>
        <v>0</v>
      </c>
      <c r="BQ47">
        <f t="shared" ca="1" si="79"/>
        <v>0</v>
      </c>
      <c r="BR47" s="290" t="str">
        <f t="shared" ca="1" si="48"/>
        <v/>
      </c>
      <c r="BS47" t="str">
        <f t="shared" ca="1" si="80"/>
        <v/>
      </c>
      <c r="BT47" t="str">
        <f t="shared" ca="1" si="94"/>
        <v/>
      </c>
      <c r="BU47" t="str">
        <f t="shared" ca="1" si="81"/>
        <v/>
      </c>
      <c r="BV47">
        <f t="shared" ca="1" si="82"/>
        <v>0</v>
      </c>
      <c r="BW47" t="str">
        <f t="shared" ca="1" si="83"/>
        <v/>
      </c>
      <c r="BX47" t="str">
        <f t="shared" ca="1" si="84"/>
        <v/>
      </c>
      <c r="BY47" t="str">
        <f ca="1">IF(R47="","",IF(R47&gt;Options!$B$3,"ALTER TABLE "&amp;HELPER!$B$4&amp;" ADD COLUMNS ("&amp;A47&amp;" "&amp;C47&amp;")",""))</f>
        <v/>
      </c>
      <c r="BZ47" t="str">
        <f ca="1">IF(R47="","",IF(R47&gt;Options!$B$3,A47,""))</f>
        <v/>
      </c>
      <c r="CA47" t="str">
        <f ca="1">IF(R47="","",IF(R47&gt;Options!$B$3,B47,""))</f>
        <v/>
      </c>
      <c r="CB47" t="str">
        <f t="shared" ca="1" si="85"/>
        <v/>
      </c>
      <c r="CC47">
        <f t="shared" ca="1" si="86"/>
        <v>0</v>
      </c>
      <c r="CD47" t="str">
        <f ca="1">IF(J47="","",Options!$B$23 &amp; "." &amp; J47)</f>
        <v/>
      </c>
    </row>
    <row r="48" spans="1:82">
      <c r="A48" s="161" t="str">
        <f t="array" aca="1" ref="A48" ca="1">IF(TRIM(INDIRECT("Columns!A48")) ="","",TRIM(INDIRECT("Columns!A48")))</f>
        <v/>
      </c>
      <c r="B48" s="161" t="str">
        <f t="shared" ca="1" si="49"/>
        <v/>
      </c>
      <c r="C48" s="161" t="str">
        <f t="shared" ca="1" si="50"/>
        <v/>
      </c>
      <c r="D48" s="161" t="str">
        <f t="shared" ca="1" si="51"/>
        <v/>
      </c>
      <c r="E48" s="161" t="str">
        <f t="array" aca="1" ref="E48" ca="1">IF(TRIM(INDIRECT("Columns!E48"))="","",TRIM(INDIRECT("Columns!E48")))</f>
        <v/>
      </c>
      <c r="F48" s="161" t="str">
        <f t="array" aca="1" ref="F48" ca="1">IF(TRIM(INDIRECT("Columns!G48"))="","",TRIM(INDIRECT("Columns!G48")))</f>
        <v/>
      </c>
      <c r="G48" s="161" t="str">
        <f t="array" aca="1" ref="G48" ca="1">IF(TRIM(INDIRECT("Columns!F48"))="","",TRIM(INDIRECT("Columns!F48")))</f>
        <v/>
      </c>
      <c r="H48" s="161" t="str">
        <f t="array" aca="1" ref="H48" ca="1">IF(TRIM(INDIRECT("Columns!H48"))="","",TRIM(INDIRECT("Columns!H48")))</f>
        <v/>
      </c>
      <c r="I48" s="161" t="str">
        <f t="array" aca="1" ref="I48" ca="1">IF(TRIM(INDIRECT("Columns!I48"))="","",TRIM(INDIRECT("Columns!I48")))</f>
        <v/>
      </c>
      <c r="J48" s="161" t="str">
        <f t="array" aca="1" ref="J48" ca="1">IF(TRIM(INDIRECT("Columns!J48"))="","",TRIM(INDIRECT("Columns!J48")))</f>
        <v/>
      </c>
      <c r="K48" s="161" t="str">
        <f t="array" aca="1" ref="K48" ca="1">IF(TRIM(INDIRECT("Columns!K48"))="","",TRIM(INDIRECT("Columns!K48")))</f>
        <v/>
      </c>
      <c r="L48" s="161" t="str">
        <f t="array" aca="1" ref="L48" ca="1">IF(TRIM(INDIRECT("Columns!L48"))="","",TRIM(INDIRECT("Columns!L48")))</f>
        <v/>
      </c>
      <c r="M48" s="161" t="str">
        <f t="array" aca="1" ref="M48" ca="1">IF(TRIM(INDIRECT("Columns!M48"))="","",TRIM(INDIRECT("Columns!M48")))</f>
        <v/>
      </c>
      <c r="N48" s="161" t="str">
        <f t="array" aca="1" ref="N48" ca="1">IF(TRIM(INDIRECT("Columns!N48"))="","",TRIM(INDIRECT("Columns!N48")))</f>
        <v/>
      </c>
      <c r="O48" s="227" t="str">
        <f t="array" aca="1" ref="O48" ca="1">IF(TRIM(INDIRECT("Columns!B48"))="","",TRIM(INDIRECT("Columns!B48")))</f>
        <v/>
      </c>
      <c r="P48" s="227" t="str">
        <f t="array" aca="1" ref="P48" ca="1">IF(TRIM(INDIRECT("Columns!C48"))="","",TRIM(INDIRECT("Columns!C48")))</f>
        <v/>
      </c>
      <c r="Q48" s="227" t="str">
        <f t="array" aca="1" ref="Q48" ca="1">IF(TRIM(INDIRECT("Columns!D48"))="","",TRIM(INDIRECT("Columns!D48")))</f>
        <v/>
      </c>
      <c r="R48" s="227" t="str">
        <f t="array" aca="1" ref="R48" ca="1">IF(TRIM(INDIRECT("Columns!O48"))="","",TRIM(INDIRECT("Columns!O48")))</f>
        <v/>
      </c>
      <c r="S48" t="str">
        <f t="shared" ca="1" si="52"/>
        <v/>
      </c>
      <c r="T48" t="str">
        <f t="shared" ca="1" si="53"/>
        <v/>
      </c>
      <c r="U48" t="str">
        <f t="shared" ca="1" si="54"/>
        <v/>
      </c>
      <c r="V48" t="str">
        <f t="shared" ca="1" si="55"/>
        <v/>
      </c>
      <c r="W48" t="str">
        <f t="shared" ca="1" si="56"/>
        <v/>
      </c>
      <c r="X48" t="str">
        <f t="shared" ca="1" si="57"/>
        <v/>
      </c>
      <c r="Y48" t="str">
        <f t="shared" ca="1" si="58"/>
        <v/>
      </c>
      <c r="Z48" t="str">
        <f t="shared" ca="1" si="87"/>
        <v/>
      </c>
      <c r="AA48" t="str">
        <f ca="1">IF(E48="1",   IF( A48="","",IF(OR(F48="1",H48="1",I48="1"),"","COALESCE (CAST("&amp;A48&amp;" as varchar(" &amp; Options!$B$49&amp; ")),'')")),"")</f>
        <v/>
      </c>
      <c r="AB48" t="str">
        <f ca="1">IF(E48="1", IF(C48="string",  IF( A48="","",IF(OR(F48="1",H48="1",I48="1"),"","COALESCE (CAST(lower("&amp;A48&amp;") as varchar(" &amp;Options!$B$49 &amp; ")),'')")),AA48),"")</f>
        <v/>
      </c>
      <c r="AC48" t="str">
        <f ca="1">IF(E48="4",   IF( A48="","",IF(OR(F48="1",H48="1",I48="1"),"","COALESCE (CAST("  &amp;A48&amp;" as varchar(" &amp; Options!$B$49&amp; ")),'')")),"")</f>
        <v/>
      </c>
      <c r="AD48" t="str">
        <f ca="1">IF(E48="4",   IF( A48="","",IF(OR(F48="1",H48="1",I48="1"),"","COALESCE (CAST(" &amp; HELPER!$B$94 &amp; "."  &amp;A48&amp;" as varchar(" &amp; Options!$B$49&amp; ")),'')")),"")</f>
        <v/>
      </c>
      <c r="AE48" t="str">
        <f t="shared" ca="1" si="59"/>
        <v/>
      </c>
      <c r="AF48" t="str">
        <f ca="1">IF(AE48&lt;&gt;"", HELPER!$B$93 &amp;  "." &amp; AE48,"")</f>
        <v/>
      </c>
      <c r="AG48" t="str">
        <f ca="1">IF(AE48&lt;&gt;"", HELPER!$B$94 &amp; "." &amp; AE48,"")</f>
        <v/>
      </c>
      <c r="AH48" t="str">
        <f t="shared" ca="1" si="88"/>
        <v/>
      </c>
      <c r="AI48" t="str">
        <f t="shared" ca="1" si="60"/>
        <v/>
      </c>
      <c r="AJ48" t="str">
        <f t="shared" ca="1" si="61"/>
        <v/>
      </c>
      <c r="AK48" t="str">
        <f ca="1">IF(E48="4", HELPER!$B$94 &amp;  "." &amp; A48,"")</f>
        <v/>
      </c>
      <c r="AL48" t="str">
        <f ca="1">IF(E48="4", HELPER!$B$93 &amp;  "." &amp; A48,"")</f>
        <v/>
      </c>
      <c r="AM48" t="str">
        <f t="shared" ca="1" si="62"/>
        <v/>
      </c>
      <c r="AN48" t="str">
        <f t="shared" ca="1" si="63"/>
        <v/>
      </c>
      <c r="AO48" t="str">
        <f ca="1">IF(A48&lt;&gt;"", IF(OR(F48="1",H48="1",I48="1"),""," "&amp; HELPER!$B$94 &amp; "." &amp; A48),"")</f>
        <v/>
      </c>
      <c r="AP48" t="str">
        <f t="shared" ca="1" si="64"/>
        <v/>
      </c>
      <c r="AQ48" t="str">
        <f t="shared" ca="1" si="95"/>
        <v/>
      </c>
      <c r="AS48" t="str">
        <f ca="1">IF(A48="","",  HELPER!$B$94 &amp;  "." &amp; A48)</f>
        <v/>
      </c>
      <c r="AT48" t="str">
        <f t="shared" ca="1" si="65"/>
        <v/>
      </c>
      <c r="AU48" t="str">
        <f t="shared" ca="1" si="66"/>
        <v/>
      </c>
      <c r="AV48" s="190" t="str">
        <f t="shared" ca="1" si="67"/>
        <v/>
      </c>
      <c r="AW48" t="str">
        <f t="shared" ca="1" si="68"/>
        <v/>
      </c>
      <c r="AY48" t="str">
        <f t="shared" ca="1" si="69"/>
        <v/>
      </c>
      <c r="AZ48" t="str">
        <f t="shared" ca="1" si="70"/>
        <v/>
      </c>
      <c r="BA48" t="str">
        <f ca="1">IF(AZ48="","", "CAST(" &amp; AZ48 &amp; " AS varchar(" &amp; Options!$B$49 &amp; "))")</f>
        <v/>
      </c>
      <c r="BB48" t="str">
        <f t="shared" ca="1" si="71"/>
        <v/>
      </c>
      <c r="BC48" t="str">
        <f t="shared" ca="1" si="89"/>
        <v/>
      </c>
      <c r="BE48" t="str">
        <f t="shared" ca="1" si="72"/>
        <v/>
      </c>
      <c r="BF48" t="str">
        <f t="shared" ca="1" si="73"/>
        <v/>
      </c>
      <c r="BG48" t="str">
        <f t="shared" ca="1" si="74"/>
        <v/>
      </c>
      <c r="BH48" s="285" t="str">
        <f t="shared" ca="1" si="90"/>
        <v/>
      </c>
      <c r="BI48" t="str">
        <f t="shared" ca="1" si="75"/>
        <v/>
      </c>
      <c r="BJ48" t="str">
        <f t="shared" ca="1" si="76"/>
        <v/>
      </c>
      <c r="BK48" t="str">
        <f t="shared" ca="1" si="91"/>
        <v/>
      </c>
      <c r="BL48" t="str">
        <f t="shared" ca="1" si="77"/>
        <v/>
      </c>
      <c r="BM48" t="str">
        <f t="shared" ca="1" si="92"/>
        <v/>
      </c>
      <c r="BN48" t="str">
        <f t="shared" ca="1" si="93"/>
        <v/>
      </c>
      <c r="BO48" t="str">
        <f t="shared" ca="1" si="78"/>
        <v/>
      </c>
      <c r="BP48" t="b">
        <f ca="1">COUNTIF(COLHELPER!A48:'COLHELPER'!A48,COLHELPER!A48)&gt;1</f>
        <v>0</v>
      </c>
      <c r="BQ48">
        <f t="shared" ca="1" si="79"/>
        <v>0</v>
      </c>
      <c r="BR48" s="290" t="str">
        <f t="shared" ca="1" si="48"/>
        <v/>
      </c>
      <c r="BS48" t="str">
        <f t="shared" ca="1" si="80"/>
        <v/>
      </c>
      <c r="BT48" t="str">
        <f t="shared" ca="1" si="94"/>
        <v/>
      </c>
      <c r="BU48" t="str">
        <f t="shared" ca="1" si="81"/>
        <v/>
      </c>
      <c r="BV48">
        <f t="shared" ca="1" si="82"/>
        <v>0</v>
      </c>
      <c r="BW48" t="str">
        <f t="shared" ca="1" si="83"/>
        <v/>
      </c>
      <c r="BX48" t="str">
        <f t="shared" ca="1" si="84"/>
        <v/>
      </c>
      <c r="BY48" t="str">
        <f ca="1">IF(R48="","",IF(R48&gt;Options!$B$3,"ALTER TABLE "&amp;HELPER!$B$4&amp;" ADD COLUMNS ("&amp;A48&amp;" "&amp;C48&amp;")",""))</f>
        <v/>
      </c>
      <c r="BZ48" t="str">
        <f ca="1">IF(R48="","",IF(R48&gt;Options!$B$3,A48,""))</f>
        <v/>
      </c>
      <c r="CA48" t="str">
        <f ca="1">IF(R48="","",IF(R48&gt;Options!$B$3,B48,""))</f>
        <v/>
      </c>
      <c r="CB48" t="str">
        <f t="shared" ca="1" si="85"/>
        <v/>
      </c>
      <c r="CC48">
        <f t="shared" ca="1" si="86"/>
        <v>0</v>
      </c>
      <c r="CD48" t="str">
        <f ca="1">IF(J48="","",Options!$B$23 &amp; "." &amp; J48)</f>
        <v/>
      </c>
    </row>
    <row r="49" spans="1:82">
      <c r="A49" s="161" t="str">
        <f t="array" aca="1" ref="A49" ca="1">IF(TRIM(INDIRECT("Columns!A49")) ="","",TRIM(INDIRECT("Columns!A49")))</f>
        <v/>
      </c>
      <c r="B49" s="161" t="str">
        <f t="shared" ca="1" si="49"/>
        <v/>
      </c>
      <c r="C49" s="161" t="str">
        <f t="shared" ca="1" si="50"/>
        <v/>
      </c>
      <c r="D49" s="161" t="str">
        <f t="shared" ca="1" si="51"/>
        <v/>
      </c>
      <c r="E49" s="161" t="str">
        <f t="array" aca="1" ref="E49" ca="1">IF(TRIM(INDIRECT("Columns!E49"))="","",TRIM(INDIRECT("Columns!E49")))</f>
        <v/>
      </c>
      <c r="F49" s="161" t="str">
        <f t="array" aca="1" ref="F49" ca="1">IF(TRIM(INDIRECT("Columns!G49"))="","",TRIM(INDIRECT("Columns!G49")))</f>
        <v/>
      </c>
      <c r="G49" s="161" t="str">
        <f t="array" aca="1" ref="G49" ca="1">IF(TRIM(INDIRECT("Columns!F49"))="","",TRIM(INDIRECT("Columns!F49")))</f>
        <v/>
      </c>
      <c r="H49" s="161" t="str">
        <f t="array" aca="1" ref="H49" ca="1">IF(TRIM(INDIRECT("Columns!H49"))="","",TRIM(INDIRECT("Columns!H49")))</f>
        <v/>
      </c>
      <c r="I49" s="161" t="str">
        <f t="array" aca="1" ref="I49" ca="1">IF(TRIM(INDIRECT("Columns!I49"))="","",TRIM(INDIRECT("Columns!I49")))</f>
        <v/>
      </c>
      <c r="J49" s="161" t="str">
        <f t="array" aca="1" ref="J49" ca="1">IF(TRIM(INDIRECT("Columns!J49"))="","",TRIM(INDIRECT("Columns!J49")))</f>
        <v/>
      </c>
      <c r="K49" s="161" t="str">
        <f t="array" aca="1" ref="K49" ca="1">IF(TRIM(INDIRECT("Columns!K49"))="","",TRIM(INDIRECT("Columns!K49")))</f>
        <v/>
      </c>
      <c r="L49" s="161" t="str">
        <f t="array" aca="1" ref="L49" ca="1">IF(TRIM(INDIRECT("Columns!L49"))="","",TRIM(INDIRECT("Columns!L49")))</f>
        <v/>
      </c>
      <c r="M49" s="161" t="str">
        <f t="array" aca="1" ref="M49" ca="1">IF(TRIM(INDIRECT("Columns!M49"))="","",TRIM(INDIRECT("Columns!M49")))</f>
        <v/>
      </c>
      <c r="N49" s="161" t="str">
        <f t="array" aca="1" ref="N49" ca="1">IF(TRIM(INDIRECT("Columns!N49"))="","",TRIM(INDIRECT("Columns!N49")))</f>
        <v/>
      </c>
      <c r="O49" s="227" t="str">
        <f t="array" aca="1" ref="O49" ca="1">IF(TRIM(INDIRECT("Columns!B49"))="","",TRIM(INDIRECT("Columns!B49")))</f>
        <v/>
      </c>
      <c r="P49" s="227" t="str">
        <f t="array" aca="1" ref="P49" ca="1">IF(TRIM(INDIRECT("Columns!C49"))="","",TRIM(INDIRECT("Columns!C49")))</f>
        <v/>
      </c>
      <c r="Q49" s="227" t="str">
        <f t="array" aca="1" ref="Q49" ca="1">IF(TRIM(INDIRECT("Columns!D49"))="","",TRIM(INDIRECT("Columns!D49")))</f>
        <v/>
      </c>
      <c r="R49" s="227" t="str">
        <f t="array" aca="1" ref="R49" ca="1">IF(TRIM(INDIRECT("Columns!O49"))="","",TRIM(INDIRECT("Columns!O49")))</f>
        <v/>
      </c>
      <c r="S49" t="str">
        <f t="shared" ca="1" si="52"/>
        <v/>
      </c>
      <c r="T49" t="str">
        <f t="shared" ca="1" si="53"/>
        <v/>
      </c>
      <c r="U49" t="str">
        <f t="shared" ca="1" si="54"/>
        <v/>
      </c>
      <c r="V49" t="str">
        <f t="shared" ca="1" si="55"/>
        <v/>
      </c>
      <c r="W49" t="str">
        <f t="shared" ca="1" si="56"/>
        <v/>
      </c>
      <c r="X49" t="str">
        <f t="shared" ca="1" si="57"/>
        <v/>
      </c>
      <c r="Y49" t="str">
        <f t="shared" ca="1" si="58"/>
        <v/>
      </c>
      <c r="Z49" t="str">
        <f t="shared" ca="1" si="87"/>
        <v/>
      </c>
      <c r="AA49" t="str">
        <f ca="1">IF(E49="1",   IF( A49="","",IF(OR(F49="1",H49="1",I49="1"),"","COALESCE (CAST("&amp;A49&amp;" as varchar(" &amp; Options!$B$49&amp; ")),'')")),"")</f>
        <v/>
      </c>
      <c r="AB49" t="str">
        <f ca="1">IF(E49="1", IF(C49="string",  IF( A49="","",IF(OR(F49="1",H49="1",I49="1"),"","COALESCE (CAST(lower("&amp;A49&amp;") as varchar(" &amp;Options!$B$49 &amp; ")),'')")),AA49),"")</f>
        <v/>
      </c>
      <c r="AC49" t="str">
        <f ca="1">IF(E49="4",   IF( A49="","",IF(OR(F49="1",H49="1",I49="1"),"","COALESCE (CAST("  &amp;A49&amp;" as varchar(" &amp; Options!$B$49&amp; ")),'')")),"")</f>
        <v/>
      </c>
      <c r="AD49" t="str">
        <f ca="1">IF(E49="4",   IF( A49="","",IF(OR(F49="1",H49="1",I49="1"),"","COALESCE (CAST(" &amp; HELPER!$B$94 &amp; "."  &amp;A49&amp;" as varchar(" &amp; Options!$B$49&amp; ")),'')")),"")</f>
        <v/>
      </c>
      <c r="AE49" t="str">
        <f t="shared" ca="1" si="59"/>
        <v/>
      </c>
      <c r="AF49" t="str">
        <f ca="1">IF(AE49&lt;&gt;"", HELPER!$B$93 &amp;  "." &amp; AE49,"")</f>
        <v/>
      </c>
      <c r="AG49" t="str">
        <f ca="1">IF(AE49&lt;&gt;"", HELPER!$B$94 &amp; "." &amp; AE49,"")</f>
        <v/>
      </c>
      <c r="AH49" t="str">
        <f t="shared" ca="1" si="88"/>
        <v/>
      </c>
      <c r="AI49" t="str">
        <f t="shared" ca="1" si="60"/>
        <v/>
      </c>
      <c r="AJ49" t="str">
        <f t="shared" ca="1" si="61"/>
        <v/>
      </c>
      <c r="AK49" t="str">
        <f ca="1">IF(E49="4", HELPER!$B$94 &amp;  "." &amp; A49,"")</f>
        <v/>
      </c>
      <c r="AL49" t="str">
        <f ca="1">IF(E49="4", HELPER!$B$93 &amp;  "." &amp; A49,"")</f>
        <v/>
      </c>
      <c r="AM49" t="str">
        <f t="shared" ca="1" si="62"/>
        <v/>
      </c>
      <c r="AN49" t="str">
        <f t="shared" ca="1" si="63"/>
        <v/>
      </c>
      <c r="AO49" t="str">
        <f ca="1">IF(A49&lt;&gt;"", IF(OR(F49="1",H49="1",I49="1"),""," "&amp; HELPER!$B$94 &amp; "." &amp; A49),"")</f>
        <v/>
      </c>
      <c r="AP49" t="str">
        <f t="shared" ca="1" si="64"/>
        <v/>
      </c>
      <c r="AQ49" t="str">
        <f t="shared" ca="1" si="95"/>
        <v/>
      </c>
      <c r="AS49" t="str">
        <f ca="1">IF(A49="","",  HELPER!$B$94 &amp;  "." &amp; A49)</f>
        <v/>
      </c>
      <c r="AT49" t="str">
        <f t="shared" ca="1" si="65"/>
        <v/>
      </c>
      <c r="AU49" t="str">
        <f t="shared" ca="1" si="66"/>
        <v/>
      </c>
      <c r="AV49" s="190" t="str">
        <f t="shared" ca="1" si="67"/>
        <v/>
      </c>
      <c r="AW49" t="str">
        <f t="shared" ca="1" si="68"/>
        <v/>
      </c>
      <c r="AY49" t="str">
        <f t="shared" ca="1" si="69"/>
        <v/>
      </c>
      <c r="AZ49" t="str">
        <f t="shared" ca="1" si="70"/>
        <v/>
      </c>
      <c r="BA49" t="str">
        <f ca="1">IF(AZ49="","", "CAST(" &amp; AZ49 &amp; " AS varchar(" &amp; Options!$B$49 &amp; "))")</f>
        <v/>
      </c>
      <c r="BB49" t="str">
        <f t="shared" ca="1" si="71"/>
        <v/>
      </c>
      <c r="BC49" t="str">
        <f t="shared" ca="1" si="89"/>
        <v/>
      </c>
      <c r="BE49" t="str">
        <f t="shared" ca="1" si="72"/>
        <v/>
      </c>
      <c r="BF49" t="str">
        <f t="shared" ca="1" si="73"/>
        <v/>
      </c>
      <c r="BG49" t="str">
        <f t="shared" ca="1" si="74"/>
        <v/>
      </c>
      <c r="BH49" s="285" t="str">
        <f t="shared" ca="1" si="90"/>
        <v/>
      </c>
      <c r="BI49" t="str">
        <f t="shared" ca="1" si="75"/>
        <v/>
      </c>
      <c r="BJ49" t="str">
        <f t="shared" ca="1" si="76"/>
        <v/>
      </c>
      <c r="BK49" t="str">
        <f t="shared" ca="1" si="91"/>
        <v/>
      </c>
      <c r="BL49" t="str">
        <f t="shared" ca="1" si="77"/>
        <v/>
      </c>
      <c r="BM49" t="str">
        <f t="shared" ca="1" si="92"/>
        <v/>
      </c>
      <c r="BN49" t="str">
        <f t="shared" ca="1" si="93"/>
        <v/>
      </c>
      <c r="BO49" t="str">
        <f t="shared" ca="1" si="78"/>
        <v/>
      </c>
      <c r="BP49" t="b">
        <f ca="1">COUNTIF(COLHELPER!A49:'COLHELPER'!A49,COLHELPER!A49)&gt;1</f>
        <v>0</v>
      </c>
      <c r="BQ49">
        <f t="shared" ca="1" si="79"/>
        <v>0</v>
      </c>
      <c r="BR49" s="290" t="str">
        <f t="shared" ca="1" si="48"/>
        <v/>
      </c>
      <c r="BS49" t="str">
        <f t="shared" ca="1" si="80"/>
        <v/>
      </c>
      <c r="BT49" t="str">
        <f t="shared" ca="1" si="94"/>
        <v/>
      </c>
      <c r="BU49" t="str">
        <f t="shared" ca="1" si="81"/>
        <v/>
      </c>
      <c r="BV49">
        <f t="shared" ca="1" si="82"/>
        <v>0</v>
      </c>
      <c r="BW49" t="str">
        <f t="shared" ca="1" si="83"/>
        <v/>
      </c>
      <c r="BX49" t="str">
        <f t="shared" ca="1" si="84"/>
        <v/>
      </c>
      <c r="BY49" t="str">
        <f ca="1">IF(R49="","",IF(R49&gt;Options!$B$3,"ALTER TABLE "&amp;HELPER!$B$4&amp;" ADD COLUMNS ("&amp;A49&amp;" "&amp;C49&amp;")",""))</f>
        <v/>
      </c>
      <c r="BZ49" t="str">
        <f ca="1">IF(R49="","",IF(R49&gt;Options!$B$3,A49,""))</f>
        <v/>
      </c>
      <c r="CA49" t="str">
        <f ca="1">IF(R49="","",IF(R49&gt;Options!$B$3,B49,""))</f>
        <v/>
      </c>
      <c r="CB49" t="str">
        <f t="shared" ca="1" si="85"/>
        <v/>
      </c>
      <c r="CC49">
        <f t="shared" ca="1" si="86"/>
        <v>0</v>
      </c>
      <c r="CD49" t="str">
        <f ca="1">IF(J49="","",Options!$B$23 &amp; "." &amp; J49)</f>
        <v/>
      </c>
    </row>
    <row r="50" spans="1:82">
      <c r="A50" s="161" t="str">
        <f t="array" aca="1" ref="A50" ca="1">IF(TRIM(INDIRECT("Columns!A50")) ="","",TRIM(INDIRECT("Columns!A50")))</f>
        <v/>
      </c>
      <c r="B50" s="161" t="str">
        <f t="shared" ca="1" si="49"/>
        <v/>
      </c>
      <c r="C50" s="161" t="str">
        <f t="shared" ca="1" si="50"/>
        <v/>
      </c>
      <c r="D50" s="161" t="str">
        <f t="shared" ca="1" si="51"/>
        <v/>
      </c>
      <c r="E50" s="161" t="str">
        <f t="array" aca="1" ref="E50" ca="1">IF(TRIM(INDIRECT("Columns!E50"))="","",TRIM(INDIRECT("Columns!E50")))</f>
        <v/>
      </c>
      <c r="F50" s="161" t="str">
        <f t="array" aca="1" ref="F50" ca="1">IF(TRIM(INDIRECT("Columns!G50"))="","",TRIM(INDIRECT("Columns!G50")))</f>
        <v/>
      </c>
      <c r="G50" s="161" t="str">
        <f t="array" aca="1" ref="G50" ca="1">IF(TRIM(INDIRECT("Columns!F50"))="","",TRIM(INDIRECT("Columns!F50")))</f>
        <v/>
      </c>
      <c r="H50" s="161" t="str">
        <f t="array" aca="1" ref="H50" ca="1">IF(TRIM(INDIRECT("Columns!H50"))="","",TRIM(INDIRECT("Columns!H50")))</f>
        <v/>
      </c>
      <c r="I50" s="161" t="str">
        <f t="array" aca="1" ref="I50" ca="1">IF(TRIM(INDIRECT("Columns!I50"))="","",TRIM(INDIRECT("Columns!I50")))</f>
        <v/>
      </c>
      <c r="J50" s="161" t="str">
        <f t="array" aca="1" ref="J50" ca="1">IF(TRIM(INDIRECT("Columns!J50"))="","",TRIM(INDIRECT("Columns!J50")))</f>
        <v/>
      </c>
      <c r="K50" s="161" t="str">
        <f t="array" aca="1" ref="K50" ca="1">IF(TRIM(INDIRECT("Columns!K50"))="","",TRIM(INDIRECT("Columns!K50")))</f>
        <v/>
      </c>
      <c r="L50" s="161" t="str">
        <f t="array" aca="1" ref="L50" ca="1">IF(TRIM(INDIRECT("Columns!L50"))="","",TRIM(INDIRECT("Columns!L50")))</f>
        <v/>
      </c>
      <c r="M50" s="161" t="str">
        <f t="array" aca="1" ref="M50" ca="1">IF(TRIM(INDIRECT("Columns!M50"))="","",TRIM(INDIRECT("Columns!M50")))</f>
        <v/>
      </c>
      <c r="N50" s="161" t="str">
        <f t="array" aca="1" ref="N50" ca="1">IF(TRIM(INDIRECT("Columns!N50"))="","",TRIM(INDIRECT("Columns!N50")))</f>
        <v/>
      </c>
      <c r="O50" s="227" t="str">
        <f t="array" aca="1" ref="O50" ca="1">IF(TRIM(INDIRECT("Columns!B50"))="","",TRIM(INDIRECT("Columns!B50")))</f>
        <v/>
      </c>
      <c r="P50" s="227" t="str">
        <f t="array" aca="1" ref="P50" ca="1">IF(TRIM(INDIRECT("Columns!C50"))="","",TRIM(INDIRECT("Columns!C50")))</f>
        <v/>
      </c>
      <c r="Q50" s="227" t="str">
        <f t="array" aca="1" ref="Q50" ca="1">IF(TRIM(INDIRECT("Columns!D50"))="","",TRIM(INDIRECT("Columns!D50")))</f>
        <v/>
      </c>
      <c r="R50" s="227" t="str">
        <f t="array" aca="1" ref="R50" ca="1">IF(TRIM(INDIRECT("Columns!O50"))="","",TRIM(INDIRECT("Columns!O50")))</f>
        <v/>
      </c>
      <c r="S50" t="str">
        <f t="shared" ca="1" si="52"/>
        <v/>
      </c>
      <c r="T50" t="str">
        <f t="shared" ca="1" si="53"/>
        <v/>
      </c>
      <c r="U50" t="str">
        <f t="shared" ca="1" si="54"/>
        <v/>
      </c>
      <c r="V50" t="str">
        <f t="shared" ca="1" si="55"/>
        <v/>
      </c>
      <c r="W50" t="str">
        <f t="shared" ca="1" si="56"/>
        <v/>
      </c>
      <c r="X50" t="str">
        <f t="shared" ca="1" si="57"/>
        <v/>
      </c>
      <c r="Y50" t="str">
        <f t="shared" ca="1" si="58"/>
        <v/>
      </c>
      <c r="Z50" t="str">
        <f t="shared" ca="1" si="87"/>
        <v/>
      </c>
      <c r="AA50" t="str">
        <f ca="1">IF(E50="1",   IF( A50="","",IF(OR(F50="1",H50="1",I50="1"),"","COALESCE (CAST("&amp;A50&amp;" as varchar(" &amp; Options!$B$49&amp; ")),'')")),"")</f>
        <v/>
      </c>
      <c r="AB50" t="str">
        <f ca="1">IF(E50="1", IF(C50="string",  IF( A50="","",IF(OR(F50="1",H50="1",I50="1"),"","COALESCE (CAST(lower("&amp;A50&amp;") as varchar(" &amp;Options!$B$49 &amp; ")),'')")),AA50),"")</f>
        <v/>
      </c>
      <c r="AC50" t="str">
        <f ca="1">IF(E50="4",   IF( A50="","",IF(OR(F50="1",H50="1",I50="1"),"","COALESCE (CAST("  &amp;A50&amp;" as varchar(" &amp; Options!$B$49&amp; ")),'')")),"")</f>
        <v/>
      </c>
      <c r="AD50" t="str">
        <f ca="1">IF(E50="4",   IF( A50="","",IF(OR(F50="1",H50="1",I50="1"),"","COALESCE (CAST(" &amp; HELPER!$B$94 &amp; "."  &amp;A50&amp;" as varchar(" &amp; Options!$B$49&amp; ")),'')")),"")</f>
        <v/>
      </c>
      <c r="AE50" t="str">
        <f t="shared" ca="1" si="59"/>
        <v/>
      </c>
      <c r="AF50" t="str">
        <f ca="1">IF(AE50&lt;&gt;"", HELPER!$B$93 &amp;  "." &amp; AE50,"")</f>
        <v/>
      </c>
      <c r="AG50" t="str">
        <f ca="1">IF(AE50&lt;&gt;"", HELPER!$B$94 &amp; "." &amp; AE50,"")</f>
        <v/>
      </c>
      <c r="AH50" t="str">
        <f t="shared" ca="1" si="88"/>
        <v/>
      </c>
      <c r="AI50" t="str">
        <f t="shared" ca="1" si="60"/>
        <v/>
      </c>
      <c r="AJ50" t="str">
        <f t="shared" ca="1" si="61"/>
        <v/>
      </c>
      <c r="AK50" t="str">
        <f ca="1">IF(E50="4", HELPER!$B$94 &amp;  "." &amp; A50,"")</f>
        <v/>
      </c>
      <c r="AL50" t="str">
        <f ca="1">IF(E50="4", HELPER!$B$93 &amp;  "." &amp; A50,"")</f>
        <v/>
      </c>
      <c r="AM50" t="str">
        <f t="shared" ca="1" si="62"/>
        <v/>
      </c>
      <c r="AN50" t="str">
        <f t="shared" ca="1" si="63"/>
        <v/>
      </c>
      <c r="AO50" t="str">
        <f ca="1">IF(A50&lt;&gt;"", IF(OR(F50="1",H50="1",I50="1"),""," "&amp; HELPER!$B$94 &amp; "." &amp; A50),"")</f>
        <v/>
      </c>
      <c r="AP50" t="str">
        <f t="shared" ca="1" si="64"/>
        <v/>
      </c>
      <c r="AQ50" t="str">
        <f t="shared" ca="1" si="95"/>
        <v/>
      </c>
      <c r="AS50" t="str">
        <f ca="1">IF(A50="","",  HELPER!$B$94 &amp;  "." &amp; A50)</f>
        <v/>
      </c>
      <c r="AT50" t="str">
        <f t="shared" ca="1" si="65"/>
        <v/>
      </c>
      <c r="AU50" t="str">
        <f t="shared" ca="1" si="66"/>
        <v/>
      </c>
      <c r="AV50" s="190" t="str">
        <f t="shared" ca="1" si="67"/>
        <v/>
      </c>
      <c r="AW50" t="str">
        <f t="shared" ca="1" si="68"/>
        <v/>
      </c>
      <c r="AY50" t="str">
        <f t="shared" ca="1" si="69"/>
        <v/>
      </c>
      <c r="AZ50" t="str">
        <f t="shared" ca="1" si="70"/>
        <v/>
      </c>
      <c r="BA50" t="str">
        <f ca="1">IF(AZ50="","", "CAST(" &amp; AZ50 &amp; " AS varchar(" &amp; Options!$B$49 &amp; "))")</f>
        <v/>
      </c>
      <c r="BB50" t="str">
        <f t="shared" ca="1" si="71"/>
        <v/>
      </c>
      <c r="BC50" t="str">
        <f t="shared" ca="1" si="89"/>
        <v/>
      </c>
      <c r="BE50" t="str">
        <f t="shared" ca="1" si="72"/>
        <v/>
      </c>
      <c r="BF50" t="str">
        <f t="shared" ca="1" si="73"/>
        <v/>
      </c>
      <c r="BG50" t="str">
        <f t="shared" ca="1" si="74"/>
        <v/>
      </c>
      <c r="BH50" s="285" t="str">
        <f t="shared" ca="1" si="90"/>
        <v/>
      </c>
      <c r="BI50" t="str">
        <f t="shared" ca="1" si="75"/>
        <v/>
      </c>
      <c r="BJ50" t="str">
        <f t="shared" ca="1" si="76"/>
        <v/>
      </c>
      <c r="BK50" t="str">
        <f t="shared" ca="1" si="91"/>
        <v/>
      </c>
      <c r="BL50" t="str">
        <f t="shared" ca="1" si="77"/>
        <v/>
      </c>
      <c r="BM50" t="str">
        <f t="shared" ca="1" si="92"/>
        <v/>
      </c>
      <c r="BN50" t="str">
        <f t="shared" ca="1" si="93"/>
        <v/>
      </c>
      <c r="BO50" t="str">
        <f t="shared" ca="1" si="78"/>
        <v/>
      </c>
      <c r="BP50" t="b">
        <f ca="1">COUNTIF(COLHELPER!A50:'COLHELPER'!A50,COLHELPER!A50)&gt;1</f>
        <v>0</v>
      </c>
      <c r="BQ50">
        <f t="shared" ca="1" si="79"/>
        <v>0</v>
      </c>
      <c r="BR50" s="290" t="str">
        <f t="shared" ca="1" si="48"/>
        <v/>
      </c>
      <c r="BS50" t="str">
        <f t="shared" ca="1" si="80"/>
        <v/>
      </c>
      <c r="BT50" t="str">
        <f t="shared" ca="1" si="94"/>
        <v/>
      </c>
      <c r="BU50" t="str">
        <f t="shared" ca="1" si="81"/>
        <v/>
      </c>
      <c r="BV50">
        <f t="shared" ca="1" si="82"/>
        <v>0</v>
      </c>
      <c r="BW50" t="str">
        <f t="shared" ca="1" si="83"/>
        <v/>
      </c>
      <c r="BX50" t="str">
        <f t="shared" ca="1" si="84"/>
        <v/>
      </c>
      <c r="BY50" t="str">
        <f ca="1">IF(R50="","",IF(R50&gt;Options!$B$3,"ALTER TABLE "&amp;HELPER!$B$4&amp;" ADD COLUMNS ("&amp;A50&amp;" "&amp;C50&amp;")",""))</f>
        <v/>
      </c>
      <c r="BZ50" t="str">
        <f ca="1">IF(R50="","",IF(R50&gt;Options!$B$3,A50,""))</f>
        <v/>
      </c>
      <c r="CA50" t="str">
        <f ca="1">IF(R50="","",IF(R50&gt;Options!$B$3,B50,""))</f>
        <v/>
      </c>
      <c r="CB50" t="str">
        <f t="shared" ca="1" si="85"/>
        <v/>
      </c>
      <c r="CC50">
        <f t="shared" ca="1" si="86"/>
        <v>0</v>
      </c>
      <c r="CD50" t="str">
        <f ca="1">IF(J50="","",Options!$B$23 &amp; "." &amp; J50)</f>
        <v/>
      </c>
    </row>
    <row r="51" spans="1:82">
      <c r="A51" s="161" t="str">
        <f t="array" aca="1" ref="A51" ca="1">IF(TRIM(INDIRECT("Columns!A51")) ="","",TRIM(INDIRECT("Columns!A51")))</f>
        <v/>
      </c>
      <c r="B51" s="161" t="str">
        <f t="shared" ca="1" si="49"/>
        <v/>
      </c>
      <c r="C51" s="161" t="str">
        <f t="shared" ca="1" si="50"/>
        <v/>
      </c>
      <c r="D51" s="161" t="str">
        <f t="shared" ca="1" si="51"/>
        <v/>
      </c>
      <c r="E51" s="161" t="str">
        <f t="array" aca="1" ref="E51" ca="1">IF(TRIM(INDIRECT("Columns!E51"))="","",TRIM(INDIRECT("Columns!E51")))</f>
        <v/>
      </c>
      <c r="F51" s="161" t="str">
        <f t="array" aca="1" ref="F51" ca="1">IF(TRIM(INDIRECT("Columns!G51"))="","",TRIM(INDIRECT("Columns!G51")))</f>
        <v/>
      </c>
      <c r="G51" s="161" t="str">
        <f t="array" aca="1" ref="G51" ca="1">IF(TRIM(INDIRECT("Columns!F51"))="","",TRIM(INDIRECT("Columns!F51")))</f>
        <v/>
      </c>
      <c r="H51" s="161" t="str">
        <f t="array" aca="1" ref="H51" ca="1">IF(TRIM(INDIRECT("Columns!H51"))="","",TRIM(INDIRECT("Columns!H51")))</f>
        <v/>
      </c>
      <c r="I51" s="161" t="str">
        <f t="array" aca="1" ref="I51" ca="1">IF(TRIM(INDIRECT("Columns!I51"))="","",TRIM(INDIRECT("Columns!I51")))</f>
        <v/>
      </c>
      <c r="J51" s="161" t="str">
        <f t="array" aca="1" ref="J51" ca="1">IF(TRIM(INDIRECT("Columns!J51"))="","",TRIM(INDIRECT("Columns!J51")))</f>
        <v/>
      </c>
      <c r="K51" s="161" t="str">
        <f t="array" aca="1" ref="K51" ca="1">IF(TRIM(INDIRECT("Columns!K51"))="","",TRIM(INDIRECT("Columns!K51")))</f>
        <v/>
      </c>
      <c r="L51" s="161" t="str">
        <f t="array" aca="1" ref="L51" ca="1">IF(TRIM(INDIRECT("Columns!L51"))="","",TRIM(INDIRECT("Columns!L51")))</f>
        <v/>
      </c>
      <c r="M51" s="161" t="str">
        <f t="array" aca="1" ref="M51" ca="1">IF(TRIM(INDIRECT("Columns!M51"))="","",TRIM(INDIRECT("Columns!M51")))</f>
        <v/>
      </c>
      <c r="N51" s="161" t="str">
        <f t="array" aca="1" ref="N51" ca="1">IF(TRIM(INDIRECT("Columns!N51"))="","",TRIM(INDIRECT("Columns!N51")))</f>
        <v/>
      </c>
      <c r="O51" s="227" t="str">
        <f t="array" aca="1" ref="O51" ca="1">IF(TRIM(INDIRECT("Columns!B51"))="","",TRIM(INDIRECT("Columns!B51")))</f>
        <v/>
      </c>
      <c r="P51" s="227" t="str">
        <f t="array" aca="1" ref="P51" ca="1">IF(TRIM(INDIRECT("Columns!C51"))="","",TRIM(INDIRECT("Columns!C51")))</f>
        <v/>
      </c>
      <c r="Q51" s="227" t="str">
        <f t="array" aca="1" ref="Q51" ca="1">IF(TRIM(INDIRECT("Columns!D51"))="","",TRIM(INDIRECT("Columns!D51")))</f>
        <v/>
      </c>
      <c r="R51" s="227" t="str">
        <f t="array" aca="1" ref="R51" ca="1">IF(TRIM(INDIRECT("Columns!O51"))="","",TRIM(INDIRECT("Columns!O51")))</f>
        <v/>
      </c>
      <c r="S51" t="str">
        <f t="shared" ca="1" si="52"/>
        <v/>
      </c>
      <c r="T51" t="str">
        <f t="shared" ca="1" si="53"/>
        <v/>
      </c>
      <c r="U51" t="str">
        <f t="shared" ca="1" si="54"/>
        <v/>
      </c>
      <c r="V51" t="str">
        <f t="shared" ca="1" si="55"/>
        <v/>
      </c>
      <c r="W51" t="str">
        <f t="shared" ca="1" si="56"/>
        <v/>
      </c>
      <c r="X51" t="str">
        <f t="shared" ca="1" si="57"/>
        <v/>
      </c>
      <c r="Y51" t="str">
        <f t="shared" ca="1" si="58"/>
        <v/>
      </c>
      <c r="Z51" t="str">
        <f t="shared" ca="1" si="87"/>
        <v/>
      </c>
      <c r="AA51" t="str">
        <f ca="1">IF(E51="1",   IF( A51="","",IF(OR(F51="1",H51="1",I51="1"),"","COALESCE (CAST("&amp;A51&amp;" as varchar(" &amp; Options!$B$49&amp; ")),'')")),"")</f>
        <v/>
      </c>
      <c r="AB51" t="str">
        <f ca="1">IF(E51="1", IF(C51="string",  IF( A51="","",IF(OR(F51="1",H51="1",I51="1"),"","COALESCE (CAST(lower("&amp;A51&amp;") as varchar(" &amp;Options!$B$49 &amp; ")),'')")),AA51),"")</f>
        <v/>
      </c>
      <c r="AC51" t="str">
        <f ca="1">IF(E51="4",   IF( A51="","",IF(OR(F51="1",H51="1",I51="1"),"","COALESCE (CAST("  &amp;A51&amp;" as varchar(" &amp; Options!$B$49&amp; ")),'')")),"")</f>
        <v/>
      </c>
      <c r="AD51" t="str">
        <f ca="1">IF(E51="4",   IF( A51="","",IF(OR(F51="1",H51="1",I51="1"),"","COALESCE (CAST(" &amp; HELPER!$B$94 &amp; "."  &amp;A51&amp;" as varchar(" &amp; Options!$B$49&amp; ")),'')")),"")</f>
        <v/>
      </c>
      <c r="AE51" t="str">
        <f t="shared" ca="1" si="59"/>
        <v/>
      </c>
      <c r="AF51" t="str">
        <f ca="1">IF(AE51&lt;&gt;"", HELPER!$B$93 &amp;  "." &amp; AE51,"")</f>
        <v/>
      </c>
      <c r="AG51" t="str">
        <f ca="1">IF(AE51&lt;&gt;"", HELPER!$B$94 &amp; "." &amp; AE51,"")</f>
        <v/>
      </c>
      <c r="AH51" t="str">
        <f t="shared" ca="1" si="88"/>
        <v/>
      </c>
      <c r="AI51" t="str">
        <f t="shared" ca="1" si="60"/>
        <v/>
      </c>
      <c r="AJ51" t="str">
        <f t="shared" ca="1" si="61"/>
        <v/>
      </c>
      <c r="AK51" t="str">
        <f ca="1">IF(E51="4", HELPER!$B$94 &amp;  "." &amp; A51,"")</f>
        <v/>
      </c>
      <c r="AL51" t="str">
        <f ca="1">IF(E51="4", HELPER!$B$93 &amp;  "." &amp; A51,"")</f>
        <v/>
      </c>
      <c r="AM51" t="str">
        <f t="shared" ca="1" si="62"/>
        <v/>
      </c>
      <c r="AN51" t="str">
        <f t="shared" ca="1" si="63"/>
        <v/>
      </c>
      <c r="AO51" t="str">
        <f ca="1">IF(A51&lt;&gt;"", IF(OR(F51="1",H51="1",I51="1"),""," "&amp; HELPER!$B$94 &amp; "." &amp; A51),"")</f>
        <v/>
      </c>
      <c r="AP51" t="str">
        <f t="shared" ca="1" si="64"/>
        <v/>
      </c>
      <c r="AQ51" t="str">
        <f t="shared" ca="1" si="95"/>
        <v/>
      </c>
      <c r="AS51" t="str">
        <f ca="1">IF(A51="","",  HELPER!$B$94 &amp;  "." &amp; A51)</f>
        <v/>
      </c>
      <c r="AT51" t="str">
        <f t="shared" ca="1" si="65"/>
        <v/>
      </c>
      <c r="AU51" t="str">
        <f t="shared" ca="1" si="66"/>
        <v/>
      </c>
      <c r="AV51" s="190" t="str">
        <f t="shared" ca="1" si="67"/>
        <v/>
      </c>
      <c r="AW51" t="str">
        <f t="shared" ca="1" si="68"/>
        <v/>
      </c>
      <c r="AY51" t="str">
        <f t="shared" ca="1" si="69"/>
        <v/>
      </c>
      <c r="BF51" t="str">
        <f t="shared" ca="1" si="73"/>
        <v/>
      </c>
      <c r="BH51" s="285" t="str">
        <f t="shared" ca="1" si="90"/>
        <v/>
      </c>
      <c r="BI51" t="str">
        <f t="shared" ca="1" si="75"/>
        <v/>
      </c>
      <c r="BJ51" t="str">
        <f t="shared" ca="1" si="76"/>
        <v/>
      </c>
      <c r="BK51" t="str">
        <f t="shared" ca="1" si="91"/>
        <v/>
      </c>
      <c r="BM51" t="str">
        <f t="shared" ca="1" si="92"/>
        <v/>
      </c>
      <c r="BN51" t="str">
        <f t="shared" ca="1" si="93"/>
        <v/>
      </c>
      <c r="BO51" t="str">
        <f t="shared" ca="1" si="78"/>
        <v/>
      </c>
      <c r="BP51" t="b">
        <f ca="1">COUNTIF(COLHELPER!A51:'COLHELPER'!A51,COLHELPER!A51)&gt;1</f>
        <v>0</v>
      </c>
      <c r="BQ51">
        <f t="shared" ca="1" si="79"/>
        <v>0</v>
      </c>
      <c r="BR51" s="290" t="str">
        <f t="shared" ca="1" si="48"/>
        <v/>
      </c>
      <c r="BS51" t="str">
        <f t="shared" ca="1" si="80"/>
        <v/>
      </c>
      <c r="BT51" t="str">
        <f t="shared" ca="1" si="94"/>
        <v/>
      </c>
      <c r="BU51" t="str">
        <f t="shared" ca="1" si="81"/>
        <v/>
      </c>
      <c r="BV51">
        <f t="shared" ca="1" si="82"/>
        <v>0</v>
      </c>
      <c r="BW51" t="str">
        <f t="shared" ca="1" si="83"/>
        <v/>
      </c>
      <c r="BX51" t="str">
        <f t="shared" ca="1" si="84"/>
        <v/>
      </c>
      <c r="BY51" t="str">
        <f ca="1">IF(R51="","",IF(R51&gt;Options!$B$3,"ALTER TABLE "&amp;HELPER!$B$4&amp;" ADD COLUMNS ("&amp;A51&amp;" "&amp;C51&amp;")",""))</f>
        <v/>
      </c>
      <c r="BZ51" t="str">
        <f ca="1">IF(R51="","",IF(R51&gt;Options!$B$3,A51,""))</f>
        <v/>
      </c>
      <c r="CA51" t="str">
        <f ca="1">IF(R51="","",IF(R51&gt;Options!$B$3,B51,""))</f>
        <v/>
      </c>
      <c r="CB51" t="str">
        <f t="shared" ca="1" si="85"/>
        <v/>
      </c>
      <c r="CC51">
        <f t="shared" ca="1" si="86"/>
        <v>0</v>
      </c>
      <c r="CD51" t="str">
        <f ca="1">IF(J51="","",Options!$B$23 &amp; "." &amp; J51)</f>
        <v/>
      </c>
    </row>
    <row r="52" spans="1:82">
      <c r="A52" s="161" t="str">
        <f t="array" aca="1" ref="A52" ca="1">IF(TRIM(INDIRECT("Columns!A52")) ="","",TRIM(INDIRECT("Columns!A52")))</f>
        <v/>
      </c>
      <c r="B52" s="161" t="str">
        <f t="shared" ca="1" si="49"/>
        <v/>
      </c>
      <c r="C52" s="161" t="str">
        <f t="shared" ca="1" si="50"/>
        <v/>
      </c>
      <c r="D52" s="161" t="str">
        <f t="shared" ca="1" si="51"/>
        <v/>
      </c>
      <c r="E52" s="161" t="str">
        <f t="array" aca="1" ref="E52" ca="1">IF(TRIM(INDIRECT("Columns!E52"))="","",TRIM(INDIRECT("Columns!E52")))</f>
        <v/>
      </c>
      <c r="F52" s="161" t="str">
        <f t="array" aca="1" ref="F52" ca="1">IF(TRIM(INDIRECT("Columns!G52"))="","",TRIM(INDIRECT("Columns!G52")))</f>
        <v/>
      </c>
      <c r="G52" s="161" t="str">
        <f t="array" aca="1" ref="G52" ca="1">IF(TRIM(INDIRECT("Columns!F52"))="","",TRIM(INDIRECT("Columns!F52")))</f>
        <v/>
      </c>
      <c r="H52" s="161" t="str">
        <f t="array" aca="1" ref="H52" ca="1">IF(TRIM(INDIRECT("Columns!H52"))="","",TRIM(INDIRECT("Columns!H52")))</f>
        <v/>
      </c>
      <c r="I52" s="161" t="str">
        <f t="array" aca="1" ref="I52" ca="1">IF(TRIM(INDIRECT("Columns!I52"))="","",TRIM(INDIRECT("Columns!I52")))</f>
        <v/>
      </c>
      <c r="J52" s="161" t="str">
        <f t="array" aca="1" ref="J52" ca="1">IF(TRIM(INDIRECT("Columns!J52"))="","",TRIM(INDIRECT("Columns!J52")))</f>
        <v/>
      </c>
      <c r="K52" s="161" t="str">
        <f t="array" aca="1" ref="K52" ca="1">IF(TRIM(INDIRECT("Columns!K52"))="","",TRIM(INDIRECT("Columns!K52")))</f>
        <v/>
      </c>
      <c r="L52" s="161" t="str">
        <f t="array" aca="1" ref="L52" ca="1">IF(TRIM(INDIRECT("Columns!L52"))="","",TRIM(INDIRECT("Columns!L52")))</f>
        <v/>
      </c>
      <c r="M52" s="161" t="str">
        <f t="array" aca="1" ref="M52" ca="1">IF(TRIM(INDIRECT("Columns!M52"))="","",TRIM(INDIRECT("Columns!M52")))</f>
        <v/>
      </c>
      <c r="N52" s="161" t="str">
        <f t="array" aca="1" ref="N52" ca="1">IF(TRIM(INDIRECT("Columns!N52"))="","",TRIM(INDIRECT("Columns!N52")))</f>
        <v/>
      </c>
      <c r="O52" s="227" t="str">
        <f t="array" aca="1" ref="O52" ca="1">IF(TRIM(INDIRECT("Columns!B52"))="","",TRIM(INDIRECT("Columns!B52")))</f>
        <v/>
      </c>
      <c r="P52" s="227" t="str">
        <f t="array" aca="1" ref="P52" ca="1">IF(TRIM(INDIRECT("Columns!C52"))="","",TRIM(INDIRECT("Columns!C52")))</f>
        <v/>
      </c>
      <c r="Q52" s="227" t="str">
        <f t="array" aca="1" ref="Q52" ca="1">IF(TRIM(INDIRECT("Columns!D52"))="","",TRIM(INDIRECT("Columns!D52")))</f>
        <v/>
      </c>
      <c r="R52" s="227" t="str">
        <f t="array" aca="1" ref="R52" ca="1">IF(TRIM(INDIRECT("Columns!O52"))="","",TRIM(INDIRECT("Columns!O52")))</f>
        <v/>
      </c>
      <c r="S52" t="str">
        <f t="shared" ca="1" si="52"/>
        <v/>
      </c>
      <c r="T52" t="str">
        <f t="shared" ca="1" si="53"/>
        <v/>
      </c>
      <c r="U52" t="str">
        <f t="shared" ca="1" si="54"/>
        <v/>
      </c>
      <c r="V52" t="str">
        <f t="shared" ca="1" si="55"/>
        <v/>
      </c>
      <c r="W52" t="str">
        <f t="shared" ca="1" si="56"/>
        <v/>
      </c>
      <c r="X52" t="str">
        <f t="shared" ca="1" si="57"/>
        <v/>
      </c>
      <c r="Y52" t="str">
        <f t="shared" ca="1" si="58"/>
        <v/>
      </c>
      <c r="Z52" t="str">
        <f t="shared" ca="1" si="87"/>
        <v/>
      </c>
      <c r="AA52" t="str">
        <f ca="1">IF(E52="1",   IF( A52="","",IF(OR(F52="1",H52="1",I52="1"),"","COALESCE (CAST("&amp;A52&amp;" as varchar(" &amp; Options!$B$49&amp; ")),'')")),"")</f>
        <v/>
      </c>
      <c r="AB52" t="str">
        <f ca="1">IF(E52="1", IF(C52="string",  IF( A52="","",IF(OR(F52="1",H52="1",I52="1"),"","COALESCE (CAST(lower("&amp;A52&amp;") as varchar(" &amp;Options!$B$49 &amp; ")),'')")),AA52),"")</f>
        <v/>
      </c>
      <c r="AC52" t="str">
        <f ca="1">IF(E52="4",   IF( A52="","",IF(OR(F52="1",H52="1",I52="1"),"","COALESCE (CAST("  &amp;A52&amp;" as varchar(" &amp; Options!$B$49&amp; ")),'')")),"")</f>
        <v/>
      </c>
      <c r="AD52" t="str">
        <f ca="1">IF(E52="4",   IF( A52="","",IF(OR(F52="1",H52="1",I52="1"),"","COALESCE (CAST(" &amp; HELPER!$B$94 &amp; "."  &amp;A52&amp;" as varchar(" &amp; Options!$B$49&amp; ")),'')")),"")</f>
        <v/>
      </c>
      <c r="AE52" t="str">
        <f t="shared" ca="1" si="59"/>
        <v/>
      </c>
      <c r="AF52" t="str">
        <f ca="1">IF(AE52&lt;&gt;"", HELPER!$B$93 &amp;  "." &amp; AE52,"")</f>
        <v/>
      </c>
      <c r="AG52" t="str">
        <f ca="1">IF(AE52&lt;&gt;"", HELPER!$B$94 &amp; "." &amp; AE52,"")</f>
        <v/>
      </c>
      <c r="AH52" t="str">
        <f t="shared" ca="1" si="88"/>
        <v/>
      </c>
      <c r="AI52" t="str">
        <f t="shared" ca="1" si="60"/>
        <v/>
      </c>
      <c r="AJ52" t="str">
        <f t="shared" ca="1" si="61"/>
        <v/>
      </c>
      <c r="AK52" t="str">
        <f ca="1">IF(E52="4", HELPER!$B$94 &amp;  "." &amp; A52,"")</f>
        <v/>
      </c>
      <c r="AL52" t="str">
        <f ca="1">IF(E52="4", HELPER!$B$93 &amp;  "." &amp; A52,"")</f>
        <v/>
      </c>
      <c r="AM52" t="str">
        <f t="shared" ca="1" si="62"/>
        <v/>
      </c>
      <c r="AN52" t="str">
        <f t="shared" ca="1" si="63"/>
        <v/>
      </c>
      <c r="AO52" t="str">
        <f ca="1">IF(A52&lt;&gt;"", IF(OR(F52="1",H52="1",I52="1"),""," "&amp; HELPER!$B$94 &amp; "." &amp; A52),"")</f>
        <v/>
      </c>
      <c r="AP52" t="str">
        <f t="shared" ca="1" si="64"/>
        <v/>
      </c>
      <c r="AQ52" t="str">
        <f t="shared" ca="1" si="95"/>
        <v/>
      </c>
      <c r="AS52" t="str">
        <f ca="1">IF(A52="","",  HELPER!$B$94 &amp;  "." &amp; A52)</f>
        <v/>
      </c>
      <c r="AT52" t="str">
        <f t="shared" ca="1" si="65"/>
        <v/>
      </c>
      <c r="AU52" t="str">
        <f t="shared" ca="1" si="66"/>
        <v/>
      </c>
      <c r="AV52" s="190" t="str">
        <f t="shared" ca="1" si="67"/>
        <v/>
      </c>
      <c r="AW52" t="str">
        <f t="shared" ca="1" si="68"/>
        <v/>
      </c>
      <c r="AY52" t="str">
        <f t="shared" ca="1" si="69"/>
        <v/>
      </c>
      <c r="BF52" t="str">
        <f t="shared" ca="1" si="73"/>
        <v/>
      </c>
      <c r="BH52" s="285" t="str">
        <f t="shared" ca="1" si="90"/>
        <v/>
      </c>
      <c r="BI52" t="str">
        <f t="shared" ca="1" si="75"/>
        <v/>
      </c>
      <c r="BJ52" t="str">
        <f t="shared" ca="1" si="76"/>
        <v/>
      </c>
      <c r="BK52" t="str">
        <f t="shared" ca="1" si="91"/>
        <v/>
      </c>
      <c r="BM52" t="str">
        <f t="shared" ca="1" si="92"/>
        <v/>
      </c>
      <c r="BN52" t="str">
        <f t="shared" ca="1" si="93"/>
        <v/>
      </c>
      <c r="BO52" t="str">
        <f t="shared" ca="1" si="78"/>
        <v/>
      </c>
      <c r="BP52" t="b">
        <f ca="1">COUNTIF(COLHELPER!A52:'COLHELPER'!A52,COLHELPER!A52)&gt;1</f>
        <v>0</v>
      </c>
      <c r="BQ52">
        <f t="shared" ca="1" si="79"/>
        <v>0</v>
      </c>
      <c r="BR52" s="290" t="str">
        <f t="shared" ca="1" si="48"/>
        <v/>
      </c>
      <c r="BS52" t="str">
        <f t="shared" ca="1" si="80"/>
        <v/>
      </c>
      <c r="BT52" t="str">
        <f t="shared" ca="1" si="94"/>
        <v/>
      </c>
      <c r="BU52" t="str">
        <f t="shared" ca="1" si="81"/>
        <v/>
      </c>
      <c r="BV52">
        <f t="shared" ca="1" si="82"/>
        <v>0</v>
      </c>
      <c r="BW52" t="str">
        <f t="shared" ca="1" si="83"/>
        <v/>
      </c>
      <c r="BX52" t="str">
        <f t="shared" ca="1" si="84"/>
        <v/>
      </c>
      <c r="BY52" t="str">
        <f ca="1">IF(R52="","",IF(R52&gt;Options!$B$3,"ALTER TABLE "&amp;HELPER!$B$4&amp;" ADD COLUMNS ("&amp;A52&amp;" "&amp;C52&amp;")",""))</f>
        <v/>
      </c>
      <c r="BZ52" t="str">
        <f ca="1">IF(R52="","",IF(R52&gt;Options!$B$3,A52,""))</f>
        <v/>
      </c>
      <c r="CA52" t="str">
        <f ca="1">IF(R52="","",IF(R52&gt;Options!$B$3,B52,""))</f>
        <v/>
      </c>
      <c r="CB52" t="str">
        <f t="shared" ca="1" si="85"/>
        <v/>
      </c>
      <c r="CC52">
        <f t="shared" ca="1" si="86"/>
        <v>0</v>
      </c>
      <c r="CD52" t="str">
        <f ca="1">IF(J52="","",Options!$B$23 &amp; "." &amp; J52)</f>
        <v/>
      </c>
    </row>
    <row r="53" spans="1:82">
      <c r="A53" s="161" t="str">
        <f t="array" aca="1" ref="A53" ca="1">IF(TRIM(INDIRECT("Columns!A53")) ="","",TRIM(INDIRECT("Columns!A53")))</f>
        <v/>
      </c>
      <c r="B53" s="161" t="str">
        <f t="shared" ca="1" si="49"/>
        <v/>
      </c>
      <c r="C53" s="161" t="str">
        <f t="shared" ca="1" si="50"/>
        <v/>
      </c>
      <c r="D53" s="161" t="str">
        <f t="shared" ca="1" si="51"/>
        <v/>
      </c>
      <c r="E53" s="161" t="str">
        <f t="array" aca="1" ref="E53" ca="1">IF(TRIM(INDIRECT("Columns!E53"))="","",TRIM(INDIRECT("Columns!E53")))</f>
        <v/>
      </c>
      <c r="F53" s="161" t="str">
        <f t="array" aca="1" ref="F53" ca="1">IF(TRIM(INDIRECT("Columns!G53"))="","",TRIM(INDIRECT("Columns!G53")))</f>
        <v/>
      </c>
      <c r="G53" s="161" t="str">
        <f t="array" aca="1" ref="G53" ca="1">IF(TRIM(INDIRECT("Columns!F53"))="","",TRIM(INDIRECT("Columns!F53")))</f>
        <v/>
      </c>
      <c r="H53" s="161" t="str">
        <f t="array" aca="1" ref="H53" ca="1">IF(TRIM(INDIRECT("Columns!H53"))="","",TRIM(INDIRECT("Columns!H53")))</f>
        <v/>
      </c>
      <c r="I53" s="161" t="str">
        <f t="array" aca="1" ref="I53" ca="1">IF(TRIM(INDIRECT("Columns!I53"))="","",TRIM(INDIRECT("Columns!I53")))</f>
        <v/>
      </c>
      <c r="J53" s="161" t="str">
        <f t="array" aca="1" ref="J53" ca="1">IF(TRIM(INDIRECT("Columns!J53"))="","",TRIM(INDIRECT("Columns!J53")))</f>
        <v/>
      </c>
      <c r="K53" s="161" t="str">
        <f t="array" aca="1" ref="K53" ca="1">IF(TRIM(INDIRECT("Columns!K53"))="","",TRIM(INDIRECT("Columns!K53")))</f>
        <v/>
      </c>
      <c r="L53" s="161" t="str">
        <f t="array" aca="1" ref="L53" ca="1">IF(TRIM(INDIRECT("Columns!L53"))="","",TRIM(INDIRECT("Columns!L53")))</f>
        <v/>
      </c>
      <c r="M53" s="161" t="str">
        <f t="array" aca="1" ref="M53" ca="1">IF(TRIM(INDIRECT("Columns!M53"))="","",TRIM(INDIRECT("Columns!M53")))</f>
        <v/>
      </c>
      <c r="N53" s="161" t="str">
        <f t="array" aca="1" ref="N53" ca="1">IF(TRIM(INDIRECT("Columns!N53"))="","",TRIM(INDIRECT("Columns!N53")))</f>
        <v/>
      </c>
      <c r="O53" s="227" t="str">
        <f t="array" aca="1" ref="O53" ca="1">IF(TRIM(INDIRECT("Columns!B53"))="","",TRIM(INDIRECT("Columns!B53")))</f>
        <v/>
      </c>
      <c r="P53" s="227" t="str">
        <f t="array" aca="1" ref="P53" ca="1">IF(TRIM(INDIRECT("Columns!C53"))="","",TRIM(INDIRECT("Columns!C53")))</f>
        <v/>
      </c>
      <c r="Q53" s="227" t="str">
        <f t="array" aca="1" ref="Q53" ca="1">IF(TRIM(INDIRECT("Columns!D53"))="","",TRIM(INDIRECT("Columns!D53")))</f>
        <v/>
      </c>
      <c r="R53" s="227" t="str">
        <f t="array" aca="1" ref="R53" ca="1">IF(TRIM(INDIRECT("Columns!O53"))="","",TRIM(INDIRECT("Columns!O53")))</f>
        <v/>
      </c>
      <c r="S53" t="str">
        <f t="shared" ca="1" si="52"/>
        <v/>
      </c>
      <c r="T53" t="str">
        <f t="shared" ca="1" si="53"/>
        <v/>
      </c>
      <c r="U53" t="str">
        <f t="shared" ca="1" si="54"/>
        <v/>
      </c>
      <c r="V53" t="str">
        <f t="shared" ca="1" si="55"/>
        <v/>
      </c>
      <c r="W53" t="str">
        <f t="shared" ca="1" si="56"/>
        <v/>
      </c>
      <c r="X53" t="str">
        <f t="shared" ca="1" si="57"/>
        <v/>
      </c>
      <c r="Y53" t="str">
        <f t="shared" ca="1" si="58"/>
        <v/>
      </c>
      <c r="Z53" t="str">
        <f t="shared" ca="1" si="87"/>
        <v/>
      </c>
      <c r="AA53" t="str">
        <f ca="1">IF(E53="1",   IF( A53="","",IF(OR(F53="1",H53="1",I53="1"),"","COALESCE (CAST("&amp;A53&amp;" as varchar(" &amp; Options!$B$49&amp; ")),'')")),"")</f>
        <v/>
      </c>
      <c r="AB53" t="str">
        <f ca="1">IF(E53="1", IF(C53="string",  IF( A53="","",IF(OR(F53="1",H53="1",I53="1"),"","COALESCE (CAST(lower("&amp;A53&amp;") as varchar(" &amp;Options!$B$49 &amp; ")),'')")),AA53),"")</f>
        <v/>
      </c>
      <c r="AC53" t="str">
        <f ca="1">IF(E53="4",   IF( A53="","",IF(OR(F53="1",H53="1",I53="1"),"","COALESCE (CAST("  &amp;A53&amp;" as varchar(" &amp; Options!$B$49&amp; ")),'')")),"")</f>
        <v/>
      </c>
      <c r="AD53" t="str">
        <f ca="1">IF(E53="4",   IF( A53="","",IF(OR(F53="1",H53="1",I53="1"),"","COALESCE (CAST(" &amp; HELPER!$B$94 &amp; "."  &amp;A53&amp;" as varchar(" &amp; Options!$B$49&amp; ")),'')")),"")</f>
        <v/>
      </c>
      <c r="AE53" t="str">
        <f t="shared" ca="1" si="59"/>
        <v/>
      </c>
      <c r="AF53" t="str">
        <f ca="1">IF(AE53&lt;&gt;"", HELPER!$B$93 &amp;  "." &amp; AE53,"")</f>
        <v/>
      </c>
      <c r="AG53" t="str">
        <f ca="1">IF(AE53&lt;&gt;"", HELPER!$B$94 &amp; "." &amp; AE53,"")</f>
        <v/>
      </c>
      <c r="AH53" t="str">
        <f t="shared" ca="1" si="88"/>
        <v/>
      </c>
      <c r="AI53" t="str">
        <f t="shared" ca="1" si="60"/>
        <v/>
      </c>
      <c r="AJ53" t="str">
        <f t="shared" ca="1" si="61"/>
        <v/>
      </c>
      <c r="AK53" t="str">
        <f ca="1">IF(E53="4", HELPER!$B$94 &amp;  "." &amp; A53,"")</f>
        <v/>
      </c>
      <c r="AL53" t="str">
        <f ca="1">IF(E53="4", HELPER!$B$93 &amp;  "." &amp; A53,"")</f>
        <v/>
      </c>
      <c r="AM53" t="str">
        <f t="shared" ca="1" si="62"/>
        <v/>
      </c>
      <c r="AN53" t="str">
        <f t="shared" ca="1" si="63"/>
        <v/>
      </c>
      <c r="AO53" t="str">
        <f ca="1">IF(A53&lt;&gt;"", IF(OR(F53="1",H53="1",I53="1"),""," "&amp; HELPER!$B$94 &amp; "." &amp; A53),"")</f>
        <v/>
      </c>
      <c r="AP53" t="str">
        <f t="shared" ca="1" si="64"/>
        <v/>
      </c>
      <c r="AQ53" t="str">
        <f t="shared" ca="1" si="95"/>
        <v/>
      </c>
      <c r="AS53" t="str">
        <f ca="1">IF(A53="","",  HELPER!$B$94 &amp;  "." &amp; A53)</f>
        <v/>
      </c>
      <c r="AT53" t="str">
        <f t="shared" ca="1" si="65"/>
        <v/>
      </c>
      <c r="AU53" t="str">
        <f t="shared" ca="1" si="66"/>
        <v/>
      </c>
      <c r="AV53" s="190" t="str">
        <f t="shared" ca="1" si="67"/>
        <v/>
      </c>
      <c r="AW53" t="str">
        <f t="shared" ca="1" si="68"/>
        <v/>
      </c>
      <c r="AY53" t="str">
        <f t="shared" ca="1" si="69"/>
        <v/>
      </c>
      <c r="BF53" t="str">
        <f t="shared" ca="1" si="73"/>
        <v/>
      </c>
      <c r="BH53" s="285" t="str">
        <f t="shared" ca="1" si="90"/>
        <v/>
      </c>
      <c r="BI53" t="str">
        <f t="shared" ca="1" si="75"/>
        <v/>
      </c>
      <c r="BJ53" t="str">
        <f t="shared" ca="1" si="76"/>
        <v/>
      </c>
      <c r="BK53" t="str">
        <f t="shared" ca="1" si="91"/>
        <v/>
      </c>
      <c r="BM53" t="str">
        <f t="shared" ca="1" si="92"/>
        <v/>
      </c>
      <c r="BN53" t="str">
        <f t="shared" ca="1" si="93"/>
        <v/>
      </c>
      <c r="BO53" t="str">
        <f t="shared" ca="1" si="78"/>
        <v/>
      </c>
      <c r="BP53" t="b">
        <f ca="1">COUNTIF(COLHELPER!A53:'COLHELPER'!A53,COLHELPER!A53)&gt;1</f>
        <v>0</v>
      </c>
      <c r="BQ53">
        <f t="shared" ca="1" si="79"/>
        <v>0</v>
      </c>
      <c r="BR53" s="290" t="str">
        <f t="shared" ca="1" si="48"/>
        <v/>
      </c>
      <c r="BS53" t="str">
        <f t="shared" ca="1" si="80"/>
        <v/>
      </c>
      <c r="BT53" t="str">
        <f t="shared" ca="1" si="94"/>
        <v/>
      </c>
      <c r="BU53" t="str">
        <f t="shared" ca="1" si="81"/>
        <v/>
      </c>
      <c r="BV53">
        <f t="shared" ca="1" si="82"/>
        <v>0</v>
      </c>
      <c r="BW53" t="str">
        <f t="shared" ca="1" si="83"/>
        <v/>
      </c>
      <c r="BX53" t="str">
        <f t="shared" ca="1" si="84"/>
        <v/>
      </c>
      <c r="BY53" t="str">
        <f ca="1">IF(R53="","",IF(R53&gt;Options!$B$3,"ALTER TABLE "&amp;HELPER!$B$4&amp;" ADD COLUMNS ("&amp;A53&amp;" "&amp;C53&amp;")",""))</f>
        <v/>
      </c>
      <c r="BZ53" t="str">
        <f ca="1">IF(R53="","",IF(R53&gt;Options!$B$3,A53,""))</f>
        <v/>
      </c>
      <c r="CA53" t="str">
        <f ca="1">IF(R53="","",IF(R53&gt;Options!$B$3,B53,""))</f>
        <v/>
      </c>
      <c r="CB53" t="str">
        <f t="shared" ca="1" si="85"/>
        <v/>
      </c>
      <c r="CC53">
        <f t="shared" ca="1" si="86"/>
        <v>0</v>
      </c>
      <c r="CD53" t="str">
        <f ca="1">IF(J53="","",Options!$B$23 &amp; "." &amp; J53)</f>
        <v/>
      </c>
    </row>
    <row r="54" spans="1:82">
      <c r="A54" s="161" t="str">
        <f t="array" aca="1" ref="A54" ca="1">IF(TRIM(INDIRECT("Columns!A54")) ="","",TRIM(INDIRECT("Columns!A54")))</f>
        <v/>
      </c>
      <c r="B54" s="161" t="str">
        <f t="shared" ca="1" si="49"/>
        <v/>
      </c>
      <c r="C54" s="161" t="str">
        <f t="shared" ca="1" si="50"/>
        <v/>
      </c>
      <c r="D54" s="161" t="str">
        <f t="shared" ca="1" si="51"/>
        <v/>
      </c>
      <c r="E54" s="161" t="str">
        <f t="array" aca="1" ref="E54" ca="1">IF(TRIM(INDIRECT("Columns!E54"))="","",TRIM(INDIRECT("Columns!E54")))</f>
        <v/>
      </c>
      <c r="F54" s="161" t="str">
        <f t="array" aca="1" ref="F54" ca="1">IF(TRIM(INDIRECT("Columns!G54"))="","",TRIM(INDIRECT("Columns!G54")))</f>
        <v/>
      </c>
      <c r="G54" s="161" t="str">
        <f t="array" aca="1" ref="G54" ca="1">IF(TRIM(INDIRECT("Columns!F54"))="","",TRIM(INDIRECT("Columns!F54")))</f>
        <v/>
      </c>
      <c r="H54" s="161" t="str">
        <f t="array" aca="1" ref="H54" ca="1">IF(TRIM(INDIRECT("Columns!H54"))="","",TRIM(INDIRECT("Columns!H54")))</f>
        <v/>
      </c>
      <c r="I54" s="161" t="str">
        <f t="array" aca="1" ref="I54" ca="1">IF(TRIM(INDIRECT("Columns!I54"))="","",TRIM(INDIRECT("Columns!I54")))</f>
        <v/>
      </c>
      <c r="J54" s="161" t="str">
        <f t="array" aca="1" ref="J54" ca="1">IF(TRIM(INDIRECT("Columns!J54"))="","",TRIM(INDIRECT("Columns!J54")))</f>
        <v/>
      </c>
      <c r="K54" s="161" t="str">
        <f t="array" aca="1" ref="K54" ca="1">IF(TRIM(INDIRECT("Columns!K54"))="","",TRIM(INDIRECT("Columns!K54")))</f>
        <v/>
      </c>
      <c r="L54" s="161" t="str">
        <f t="array" aca="1" ref="L54" ca="1">IF(TRIM(INDIRECT("Columns!L54"))="","",TRIM(INDIRECT("Columns!L54")))</f>
        <v/>
      </c>
      <c r="M54" s="161" t="str">
        <f t="array" aca="1" ref="M54" ca="1">IF(TRIM(INDIRECT("Columns!M54"))="","",TRIM(INDIRECT("Columns!M54")))</f>
        <v/>
      </c>
      <c r="N54" s="161" t="str">
        <f t="array" aca="1" ref="N54" ca="1">IF(TRIM(INDIRECT("Columns!N54"))="","",TRIM(INDIRECT("Columns!N54")))</f>
        <v/>
      </c>
      <c r="O54" s="227" t="str">
        <f t="array" aca="1" ref="O54" ca="1">IF(TRIM(INDIRECT("Columns!B54"))="","",TRIM(INDIRECT("Columns!B54")))</f>
        <v/>
      </c>
      <c r="P54" s="227" t="str">
        <f t="array" aca="1" ref="P54" ca="1">IF(TRIM(INDIRECT("Columns!C54"))="","",TRIM(INDIRECT("Columns!C54")))</f>
        <v/>
      </c>
      <c r="Q54" s="227" t="str">
        <f t="array" aca="1" ref="Q54" ca="1">IF(TRIM(INDIRECT("Columns!D54"))="","",TRIM(INDIRECT("Columns!D54")))</f>
        <v/>
      </c>
      <c r="R54" s="227" t="str">
        <f t="array" aca="1" ref="R54" ca="1">IF(TRIM(INDIRECT("Columns!O54"))="","",TRIM(INDIRECT("Columns!O54")))</f>
        <v/>
      </c>
      <c r="S54" t="str">
        <f t="shared" ca="1" si="52"/>
        <v/>
      </c>
      <c r="T54" t="str">
        <f t="shared" ca="1" si="53"/>
        <v/>
      </c>
      <c r="U54" t="str">
        <f t="shared" ca="1" si="54"/>
        <v/>
      </c>
      <c r="V54" t="str">
        <f t="shared" ca="1" si="55"/>
        <v/>
      </c>
      <c r="W54" t="str">
        <f t="shared" ca="1" si="56"/>
        <v/>
      </c>
      <c r="X54" t="str">
        <f t="shared" ca="1" si="57"/>
        <v/>
      </c>
      <c r="Y54" t="str">
        <f t="shared" ca="1" si="58"/>
        <v/>
      </c>
      <c r="Z54" t="str">
        <f t="shared" ca="1" si="87"/>
        <v/>
      </c>
      <c r="AA54" t="str">
        <f ca="1">IF(E54="1",   IF( A54="","",IF(OR(F54="1",H54="1",I54="1"),"","COALESCE (CAST("&amp;A54&amp;" as varchar(" &amp; Options!$B$49&amp; ")),'')")),"")</f>
        <v/>
      </c>
      <c r="AB54" t="str">
        <f ca="1">IF(E54="1", IF(C54="string",  IF( A54="","",IF(OR(F54="1",H54="1",I54="1"),"","COALESCE (CAST(lower("&amp;A54&amp;") as varchar(" &amp;Options!$B$49 &amp; ")),'')")),AA54),"")</f>
        <v/>
      </c>
      <c r="AC54" t="str">
        <f ca="1">IF(E54="4",   IF( A54="","",IF(OR(F54="1",H54="1",I54="1"),"","COALESCE (CAST("  &amp;A54&amp;" as varchar(" &amp; Options!$B$49&amp; ")),'')")),"")</f>
        <v/>
      </c>
      <c r="AD54" t="str">
        <f ca="1">IF(E54="4",   IF( A54="","",IF(OR(F54="1",H54="1",I54="1"),"","COALESCE (CAST(" &amp; HELPER!$B$94 &amp; "."  &amp;A54&amp;" as varchar(" &amp; Options!$B$49&amp; ")),'')")),"")</f>
        <v/>
      </c>
      <c r="AE54" t="str">
        <f t="shared" ca="1" si="59"/>
        <v/>
      </c>
      <c r="AF54" t="str">
        <f ca="1">IF(AE54&lt;&gt;"", HELPER!$B$93 &amp;  "." &amp; AE54,"")</f>
        <v/>
      </c>
      <c r="AG54" t="str">
        <f ca="1">IF(AE54&lt;&gt;"", HELPER!$B$94 &amp; "." &amp; AE54,"")</f>
        <v/>
      </c>
      <c r="AH54" t="str">
        <f t="shared" ca="1" si="88"/>
        <v/>
      </c>
      <c r="AI54" t="str">
        <f t="shared" ca="1" si="60"/>
        <v/>
      </c>
      <c r="AJ54" t="str">
        <f t="shared" ca="1" si="61"/>
        <v/>
      </c>
      <c r="AK54" t="str">
        <f ca="1">IF(E54="4", HELPER!$B$94 &amp;  "." &amp; A54,"")</f>
        <v/>
      </c>
      <c r="AL54" t="str">
        <f ca="1">IF(E54="4", HELPER!$B$93 &amp;  "." &amp; A54,"")</f>
        <v/>
      </c>
      <c r="AM54" t="str">
        <f t="shared" ca="1" si="62"/>
        <v/>
      </c>
      <c r="AN54" t="str">
        <f t="shared" ca="1" si="63"/>
        <v/>
      </c>
      <c r="AO54" t="str">
        <f ca="1">IF(A54&lt;&gt;"", IF(OR(F54="1",H54="1",I54="1"),""," "&amp; HELPER!$B$94 &amp; "." &amp; A54),"")</f>
        <v/>
      </c>
      <c r="AP54" t="str">
        <f t="shared" ca="1" si="64"/>
        <v/>
      </c>
      <c r="AQ54" t="str">
        <f t="shared" ca="1" si="95"/>
        <v/>
      </c>
      <c r="AS54" t="str">
        <f ca="1">IF(A54="","",  HELPER!$B$94 &amp;  "." &amp; A54)</f>
        <v/>
      </c>
      <c r="AT54" t="str">
        <f t="shared" ca="1" si="65"/>
        <v/>
      </c>
      <c r="AU54" t="str">
        <f t="shared" ca="1" si="66"/>
        <v/>
      </c>
      <c r="AV54" s="190" t="str">
        <f t="shared" ca="1" si="67"/>
        <v/>
      </c>
      <c r="AW54" t="str">
        <f t="shared" ca="1" si="68"/>
        <v/>
      </c>
      <c r="AY54" t="str">
        <f t="shared" ca="1" si="69"/>
        <v/>
      </c>
      <c r="BF54" t="str">
        <f t="shared" ca="1" si="73"/>
        <v/>
      </c>
      <c r="BH54" s="285" t="str">
        <f t="shared" ca="1" si="90"/>
        <v/>
      </c>
      <c r="BI54" t="str">
        <f t="shared" ca="1" si="75"/>
        <v/>
      </c>
      <c r="BJ54" t="str">
        <f t="shared" ca="1" si="76"/>
        <v/>
      </c>
      <c r="BK54" t="str">
        <f t="shared" ca="1" si="91"/>
        <v/>
      </c>
      <c r="BM54" t="str">
        <f t="shared" ca="1" si="92"/>
        <v/>
      </c>
      <c r="BN54" t="str">
        <f t="shared" ca="1" si="93"/>
        <v/>
      </c>
      <c r="BO54" t="str">
        <f t="shared" ca="1" si="78"/>
        <v/>
      </c>
      <c r="BP54" t="b">
        <f ca="1">COUNTIF(COLHELPER!A54:'COLHELPER'!A54,COLHELPER!A54)&gt;1</f>
        <v>0</v>
      </c>
      <c r="BQ54">
        <f t="shared" ca="1" si="79"/>
        <v>0</v>
      </c>
      <c r="BR54" s="290" t="str">
        <f t="shared" ca="1" si="48"/>
        <v/>
      </c>
      <c r="BS54" t="str">
        <f t="shared" ca="1" si="80"/>
        <v/>
      </c>
      <c r="BT54" t="str">
        <f t="shared" ca="1" si="94"/>
        <v/>
      </c>
      <c r="BU54" t="str">
        <f t="shared" ca="1" si="81"/>
        <v/>
      </c>
      <c r="BV54">
        <f t="shared" ca="1" si="82"/>
        <v>0</v>
      </c>
      <c r="BW54" t="str">
        <f t="shared" ca="1" si="83"/>
        <v/>
      </c>
      <c r="BX54" t="str">
        <f t="shared" ca="1" si="84"/>
        <v/>
      </c>
      <c r="BY54" t="str">
        <f ca="1">IF(R54="","",IF(R54&gt;Options!$B$3,"ALTER TABLE "&amp;HELPER!$B$4&amp;" ADD COLUMNS ("&amp;A54&amp;" "&amp;C54&amp;")",""))</f>
        <v/>
      </c>
      <c r="BZ54" t="str">
        <f ca="1">IF(R54="","",IF(R54&gt;Options!$B$3,A54,""))</f>
        <v/>
      </c>
      <c r="CA54" t="str">
        <f ca="1">IF(R54="","",IF(R54&gt;Options!$B$3,B54,""))</f>
        <v/>
      </c>
      <c r="CB54" t="str">
        <f t="shared" ca="1" si="85"/>
        <v/>
      </c>
      <c r="CC54">
        <f t="shared" ca="1" si="86"/>
        <v>0</v>
      </c>
      <c r="CD54" t="str">
        <f ca="1">IF(J54="","",Options!$B$23 &amp; "." &amp; J54)</f>
        <v/>
      </c>
    </row>
    <row r="55" spans="1:82">
      <c r="A55" s="161" t="str">
        <f t="array" aca="1" ref="A55" ca="1">IF(TRIM(INDIRECT("Columns!A55")) ="","",TRIM(INDIRECT("Columns!A55")))</f>
        <v/>
      </c>
      <c r="B55" s="161" t="str">
        <f t="shared" ca="1" si="49"/>
        <v/>
      </c>
      <c r="C55" s="161" t="str">
        <f t="shared" ca="1" si="50"/>
        <v/>
      </c>
      <c r="D55" s="161" t="str">
        <f t="shared" ca="1" si="51"/>
        <v/>
      </c>
      <c r="E55" s="161" t="str">
        <f t="array" aca="1" ref="E55" ca="1">IF(TRIM(INDIRECT("Columns!E55"))="","",TRIM(INDIRECT("Columns!E55")))</f>
        <v/>
      </c>
      <c r="F55" s="161" t="str">
        <f t="array" aca="1" ref="F55" ca="1">IF(TRIM(INDIRECT("Columns!G55"))="","",TRIM(INDIRECT("Columns!G55")))</f>
        <v/>
      </c>
      <c r="G55" s="161" t="str">
        <f t="array" aca="1" ref="G55" ca="1">IF(TRIM(INDIRECT("Columns!F55"))="","",TRIM(INDIRECT("Columns!F55")))</f>
        <v/>
      </c>
      <c r="H55" s="161" t="str">
        <f t="array" aca="1" ref="H55" ca="1">IF(TRIM(INDIRECT("Columns!H55"))="","",TRIM(INDIRECT("Columns!H55")))</f>
        <v/>
      </c>
      <c r="I55" s="161" t="str">
        <f t="array" aca="1" ref="I55" ca="1">IF(TRIM(INDIRECT("Columns!I55"))="","",TRIM(INDIRECT("Columns!I55")))</f>
        <v/>
      </c>
      <c r="J55" s="161" t="str">
        <f t="array" aca="1" ref="J55" ca="1">IF(TRIM(INDIRECT("Columns!J55"))="","",TRIM(INDIRECT("Columns!J55")))</f>
        <v/>
      </c>
      <c r="K55" s="161" t="str">
        <f t="array" aca="1" ref="K55" ca="1">IF(TRIM(INDIRECT("Columns!K55"))="","",TRIM(INDIRECT("Columns!K55")))</f>
        <v/>
      </c>
      <c r="L55" s="161" t="str">
        <f t="array" aca="1" ref="L55" ca="1">IF(TRIM(INDIRECT("Columns!L55"))="","",TRIM(INDIRECT("Columns!L55")))</f>
        <v/>
      </c>
      <c r="M55" s="161" t="str">
        <f t="array" aca="1" ref="M55" ca="1">IF(TRIM(INDIRECT("Columns!M55"))="","",TRIM(INDIRECT("Columns!M55")))</f>
        <v/>
      </c>
      <c r="N55" s="161" t="str">
        <f t="array" aca="1" ref="N55" ca="1">IF(TRIM(INDIRECT("Columns!N55"))="","",TRIM(INDIRECT("Columns!N55")))</f>
        <v/>
      </c>
      <c r="O55" s="227" t="str">
        <f t="array" aca="1" ref="O55" ca="1">IF(TRIM(INDIRECT("Columns!B55"))="","",TRIM(INDIRECT("Columns!B55")))</f>
        <v/>
      </c>
      <c r="P55" s="227" t="str">
        <f t="array" aca="1" ref="P55" ca="1">IF(TRIM(INDIRECT("Columns!C55"))="","",TRIM(INDIRECT("Columns!C55")))</f>
        <v/>
      </c>
      <c r="Q55" s="227" t="str">
        <f t="array" aca="1" ref="Q55" ca="1">IF(TRIM(INDIRECT("Columns!D55"))="","",TRIM(INDIRECT("Columns!D55")))</f>
        <v/>
      </c>
      <c r="R55" s="227" t="str">
        <f t="array" aca="1" ref="R55" ca="1">IF(TRIM(INDIRECT("Columns!O55"))="","",TRIM(INDIRECT("Columns!O55")))</f>
        <v/>
      </c>
      <c r="S55" t="str">
        <f t="shared" ca="1" si="52"/>
        <v/>
      </c>
      <c r="T55" t="str">
        <f t="shared" ca="1" si="53"/>
        <v/>
      </c>
      <c r="U55" t="str">
        <f t="shared" ca="1" si="54"/>
        <v/>
      </c>
      <c r="V55" t="str">
        <f t="shared" ca="1" si="55"/>
        <v/>
      </c>
      <c r="W55" t="str">
        <f t="shared" ca="1" si="56"/>
        <v/>
      </c>
      <c r="X55" t="str">
        <f t="shared" ca="1" si="57"/>
        <v/>
      </c>
      <c r="Y55" t="str">
        <f t="shared" ca="1" si="58"/>
        <v/>
      </c>
      <c r="Z55" t="str">
        <f t="shared" ca="1" si="87"/>
        <v/>
      </c>
      <c r="AA55" t="str">
        <f ca="1">IF(E55="1",   IF( A55="","",IF(OR(F55="1",H55="1",I55="1"),"","COALESCE (CAST("&amp;A55&amp;" as varchar(" &amp; Options!$B$49&amp; ")),'')")),"")</f>
        <v/>
      </c>
      <c r="AB55" t="str">
        <f ca="1">IF(E55="1", IF(C55="string",  IF( A55="","",IF(OR(F55="1",H55="1",I55="1"),"","COALESCE (CAST(lower("&amp;A55&amp;") as varchar(" &amp;Options!$B$49 &amp; ")),'')")),AA55),"")</f>
        <v/>
      </c>
      <c r="AC55" t="str">
        <f ca="1">IF(E55="4",   IF( A55="","",IF(OR(F55="1",H55="1",I55="1"),"","COALESCE (CAST("  &amp;A55&amp;" as varchar(" &amp; Options!$B$49&amp; ")),'')")),"")</f>
        <v/>
      </c>
      <c r="AD55" t="str">
        <f ca="1">IF(E55="4",   IF( A55="","",IF(OR(F55="1",H55="1",I55="1"),"","COALESCE (CAST(" &amp; HELPER!$B$94 &amp; "."  &amp;A55&amp;" as varchar(" &amp; Options!$B$49&amp; ")),'')")),"")</f>
        <v/>
      </c>
      <c r="AE55" t="str">
        <f t="shared" ca="1" si="59"/>
        <v/>
      </c>
      <c r="AF55" t="str">
        <f ca="1">IF(AE55&lt;&gt;"", HELPER!$B$93 &amp;  "." &amp; AE55,"")</f>
        <v/>
      </c>
      <c r="AG55" t="str">
        <f ca="1">IF(AE55&lt;&gt;"", HELPER!$B$94 &amp; "." &amp; AE55,"")</f>
        <v/>
      </c>
      <c r="AH55" t="str">
        <f t="shared" ca="1" si="88"/>
        <v/>
      </c>
      <c r="AI55" t="str">
        <f t="shared" ca="1" si="60"/>
        <v/>
      </c>
      <c r="AJ55" t="str">
        <f t="shared" ca="1" si="61"/>
        <v/>
      </c>
      <c r="AK55" t="str">
        <f ca="1">IF(E55="4", HELPER!$B$94 &amp;  "." &amp; A55,"")</f>
        <v/>
      </c>
      <c r="AL55" t="str">
        <f ca="1">IF(E55="4", HELPER!$B$93 &amp;  "." &amp; A55,"")</f>
        <v/>
      </c>
      <c r="AM55" t="str">
        <f t="shared" ca="1" si="62"/>
        <v/>
      </c>
      <c r="AN55" t="str">
        <f t="shared" ca="1" si="63"/>
        <v/>
      </c>
      <c r="AO55" t="str">
        <f ca="1">IF(A55&lt;&gt;"", IF(OR(F55="1",H55="1",I55="1"),""," "&amp; HELPER!$B$94 &amp; "." &amp; A55),"")</f>
        <v/>
      </c>
      <c r="AP55" t="str">
        <f t="shared" ca="1" si="64"/>
        <v/>
      </c>
      <c r="AQ55" t="str">
        <f t="shared" ca="1" si="95"/>
        <v/>
      </c>
      <c r="AS55" t="str">
        <f ca="1">IF(A55="","",  HELPER!$B$94 &amp;  "." &amp; A55)</f>
        <v/>
      </c>
      <c r="AT55" t="str">
        <f t="shared" ca="1" si="65"/>
        <v/>
      </c>
      <c r="AU55" t="str">
        <f t="shared" ca="1" si="66"/>
        <v/>
      </c>
      <c r="AV55" s="190" t="str">
        <f t="shared" ca="1" si="67"/>
        <v/>
      </c>
      <c r="AW55" t="str">
        <f t="shared" ca="1" si="68"/>
        <v/>
      </c>
      <c r="AY55" t="str">
        <f t="shared" ca="1" si="69"/>
        <v/>
      </c>
      <c r="BF55" t="str">
        <f t="shared" ca="1" si="73"/>
        <v/>
      </c>
      <c r="BH55" s="285" t="str">
        <f t="shared" ca="1" si="90"/>
        <v/>
      </c>
      <c r="BI55" t="str">
        <f t="shared" ca="1" si="75"/>
        <v/>
      </c>
      <c r="BJ55" t="str">
        <f t="shared" ca="1" si="76"/>
        <v/>
      </c>
      <c r="BK55" t="str">
        <f t="shared" ca="1" si="91"/>
        <v/>
      </c>
      <c r="BM55" t="str">
        <f t="shared" ca="1" si="92"/>
        <v/>
      </c>
      <c r="BN55" t="str">
        <f t="shared" ca="1" si="93"/>
        <v/>
      </c>
      <c r="BO55" t="str">
        <f t="shared" ca="1" si="78"/>
        <v/>
      </c>
      <c r="BP55" t="b">
        <f ca="1">COUNTIF(COLHELPER!A55:'COLHELPER'!A55,COLHELPER!A55)&gt;1</f>
        <v>0</v>
      </c>
      <c r="BQ55">
        <f t="shared" ca="1" si="79"/>
        <v>0</v>
      </c>
      <c r="BR55" s="290" t="str">
        <f t="shared" ca="1" si="48"/>
        <v/>
      </c>
      <c r="BS55" t="str">
        <f t="shared" ca="1" si="80"/>
        <v/>
      </c>
      <c r="BT55" t="str">
        <f t="shared" ca="1" si="94"/>
        <v/>
      </c>
      <c r="BU55" t="str">
        <f t="shared" ca="1" si="81"/>
        <v/>
      </c>
      <c r="BV55">
        <f t="shared" ca="1" si="82"/>
        <v>0</v>
      </c>
      <c r="BW55" t="str">
        <f t="shared" ca="1" si="83"/>
        <v/>
      </c>
      <c r="BX55" t="str">
        <f t="shared" ca="1" si="84"/>
        <v/>
      </c>
      <c r="BY55" t="str">
        <f ca="1">IF(R55="","",IF(R55&gt;Options!$B$3,"ALTER TABLE "&amp;HELPER!$B$4&amp;" ADD COLUMNS ("&amp;A55&amp;" "&amp;C55&amp;")",""))</f>
        <v/>
      </c>
      <c r="BZ55" t="str">
        <f ca="1">IF(R55="","",IF(R55&gt;Options!$B$3,A55,""))</f>
        <v/>
      </c>
      <c r="CA55" t="str">
        <f ca="1">IF(R55="","",IF(R55&gt;Options!$B$3,B55,""))</f>
        <v/>
      </c>
      <c r="CB55" t="str">
        <f t="shared" ca="1" si="85"/>
        <v/>
      </c>
      <c r="CC55">
        <f t="shared" ca="1" si="86"/>
        <v>0</v>
      </c>
      <c r="CD55" t="str">
        <f ca="1">IF(J55="","",Options!$B$23 &amp; "." &amp; J55)</f>
        <v/>
      </c>
    </row>
    <row r="56" spans="1:82">
      <c r="A56" s="161" t="str">
        <f t="array" aca="1" ref="A56" ca="1">IF(TRIM(INDIRECT("Columns!A56")) ="","",TRIM(INDIRECT("Columns!A56")))</f>
        <v/>
      </c>
      <c r="B56" s="161" t="str">
        <f t="shared" ca="1" si="49"/>
        <v/>
      </c>
      <c r="C56" s="161" t="str">
        <f t="shared" ca="1" si="50"/>
        <v/>
      </c>
      <c r="D56" s="161" t="str">
        <f t="shared" ca="1" si="51"/>
        <v/>
      </c>
      <c r="E56" s="161" t="str">
        <f t="array" aca="1" ref="E56" ca="1">IF(TRIM(INDIRECT("Columns!E56"))="","",TRIM(INDIRECT("Columns!E56")))</f>
        <v/>
      </c>
      <c r="F56" s="161" t="str">
        <f t="array" aca="1" ref="F56" ca="1">IF(TRIM(INDIRECT("Columns!G56"))="","",TRIM(INDIRECT("Columns!G56")))</f>
        <v/>
      </c>
      <c r="G56" s="161" t="str">
        <f t="array" aca="1" ref="G56" ca="1">IF(TRIM(INDIRECT("Columns!F56"))="","",TRIM(INDIRECT("Columns!F56")))</f>
        <v/>
      </c>
      <c r="H56" s="161" t="str">
        <f t="array" aca="1" ref="H56" ca="1">IF(TRIM(INDIRECT("Columns!H56"))="","",TRIM(INDIRECT("Columns!H56")))</f>
        <v/>
      </c>
      <c r="I56" s="161" t="str">
        <f t="array" aca="1" ref="I56" ca="1">IF(TRIM(INDIRECT("Columns!I56"))="","",TRIM(INDIRECT("Columns!I56")))</f>
        <v/>
      </c>
      <c r="J56" s="161" t="str">
        <f t="array" aca="1" ref="J56" ca="1">IF(TRIM(INDIRECT("Columns!J56"))="","",TRIM(INDIRECT("Columns!J56")))</f>
        <v/>
      </c>
      <c r="K56" s="161" t="str">
        <f t="array" aca="1" ref="K56" ca="1">IF(TRIM(INDIRECT("Columns!K56"))="","",TRIM(INDIRECT("Columns!K56")))</f>
        <v/>
      </c>
      <c r="L56" s="161" t="str">
        <f t="array" aca="1" ref="L56" ca="1">IF(TRIM(INDIRECT("Columns!L56"))="","",TRIM(INDIRECT("Columns!L56")))</f>
        <v/>
      </c>
      <c r="M56" s="161" t="str">
        <f t="array" aca="1" ref="M56" ca="1">IF(TRIM(INDIRECT("Columns!M56"))="","",TRIM(INDIRECT("Columns!M56")))</f>
        <v/>
      </c>
      <c r="N56" s="161" t="str">
        <f t="array" aca="1" ref="N56" ca="1">IF(TRIM(INDIRECT("Columns!N56"))="","",TRIM(INDIRECT("Columns!N56")))</f>
        <v/>
      </c>
      <c r="O56" s="227" t="str">
        <f t="array" aca="1" ref="O56" ca="1">IF(TRIM(INDIRECT("Columns!B56"))="","",TRIM(INDIRECT("Columns!B56")))</f>
        <v/>
      </c>
      <c r="P56" s="227" t="str">
        <f t="array" aca="1" ref="P56" ca="1">IF(TRIM(INDIRECT("Columns!C56"))="","",TRIM(INDIRECT("Columns!C56")))</f>
        <v/>
      </c>
      <c r="Q56" s="227" t="str">
        <f t="array" aca="1" ref="Q56" ca="1">IF(TRIM(INDIRECT("Columns!D56"))="","",TRIM(INDIRECT("Columns!D56")))</f>
        <v/>
      </c>
      <c r="R56" s="227" t="str">
        <f t="array" aca="1" ref="R56" ca="1">IF(TRIM(INDIRECT("Columns!O56"))="","",TRIM(INDIRECT("Columns!O56")))</f>
        <v/>
      </c>
      <c r="S56" t="str">
        <f t="shared" ca="1" si="52"/>
        <v/>
      </c>
      <c r="T56" t="str">
        <f t="shared" ca="1" si="53"/>
        <v/>
      </c>
      <c r="U56" t="str">
        <f t="shared" ca="1" si="54"/>
        <v/>
      </c>
      <c r="V56" t="str">
        <f t="shared" ca="1" si="55"/>
        <v/>
      </c>
      <c r="W56" t="str">
        <f t="shared" ca="1" si="56"/>
        <v/>
      </c>
      <c r="X56" t="str">
        <f t="shared" ca="1" si="57"/>
        <v/>
      </c>
      <c r="Y56" t="str">
        <f t="shared" ca="1" si="58"/>
        <v/>
      </c>
      <c r="Z56" t="str">
        <f t="shared" ca="1" si="87"/>
        <v/>
      </c>
      <c r="AA56" t="str">
        <f ca="1">IF(E56="1",   IF( A56="","",IF(OR(F56="1",H56="1",I56="1"),"","COALESCE (CAST("&amp;A56&amp;" as varchar(" &amp; Options!$B$49&amp; ")),'')")),"")</f>
        <v/>
      </c>
      <c r="AB56" t="str">
        <f ca="1">IF(E56="1", IF(C56="string",  IF( A56="","",IF(OR(F56="1",H56="1",I56="1"),"","COALESCE (CAST(lower("&amp;A56&amp;") as varchar(" &amp;Options!$B$49 &amp; ")),'')")),AA56),"")</f>
        <v/>
      </c>
      <c r="AC56" t="str">
        <f ca="1">IF(E56="4",   IF( A56="","",IF(OR(F56="1",H56="1",I56="1"),"","COALESCE (CAST("  &amp;A56&amp;" as varchar(" &amp; Options!$B$49&amp; ")),'')")),"")</f>
        <v/>
      </c>
      <c r="AD56" t="str">
        <f ca="1">IF(E56="4",   IF( A56="","",IF(OR(F56="1",H56="1",I56="1"),"","COALESCE (CAST(" &amp; HELPER!$B$94 &amp; "."  &amp;A56&amp;" as varchar(" &amp; Options!$B$49&amp; ")),'')")),"")</f>
        <v/>
      </c>
      <c r="AE56" t="str">
        <f t="shared" ca="1" si="59"/>
        <v/>
      </c>
      <c r="AF56" t="str">
        <f ca="1">IF(AE56&lt;&gt;"", HELPER!$B$93 &amp;  "." &amp; AE56,"")</f>
        <v/>
      </c>
      <c r="AG56" t="str">
        <f ca="1">IF(AE56&lt;&gt;"", HELPER!$B$94 &amp; "." &amp; AE56,"")</f>
        <v/>
      </c>
      <c r="AH56" t="str">
        <f t="shared" ca="1" si="88"/>
        <v/>
      </c>
      <c r="AI56" t="str">
        <f t="shared" ca="1" si="60"/>
        <v/>
      </c>
      <c r="AJ56" t="str">
        <f t="shared" ca="1" si="61"/>
        <v/>
      </c>
      <c r="AK56" t="str">
        <f ca="1">IF(E56="4", HELPER!$B$94 &amp;  "." &amp; A56,"")</f>
        <v/>
      </c>
      <c r="AL56" t="str">
        <f ca="1">IF(E56="4", HELPER!$B$93 &amp;  "." &amp; A56,"")</f>
        <v/>
      </c>
      <c r="AM56" t="str">
        <f t="shared" ca="1" si="62"/>
        <v/>
      </c>
      <c r="AN56" t="str">
        <f t="shared" ca="1" si="63"/>
        <v/>
      </c>
      <c r="AO56" t="str">
        <f ca="1">IF(A56&lt;&gt;"", IF(OR(F56="1",H56="1",I56="1"),""," "&amp; HELPER!$B$94 &amp; "." &amp; A56),"")</f>
        <v/>
      </c>
      <c r="AP56" t="str">
        <f t="shared" ca="1" si="64"/>
        <v/>
      </c>
      <c r="AQ56" t="str">
        <f t="shared" ca="1" si="95"/>
        <v/>
      </c>
      <c r="AS56" t="str">
        <f ca="1">IF(A56="","",  HELPER!$B$94 &amp;  "." &amp; A56)</f>
        <v/>
      </c>
      <c r="AT56" t="str">
        <f t="shared" ca="1" si="65"/>
        <v/>
      </c>
      <c r="AU56" t="str">
        <f t="shared" ca="1" si="66"/>
        <v/>
      </c>
      <c r="AV56" s="190" t="str">
        <f t="shared" ca="1" si="67"/>
        <v/>
      </c>
      <c r="AW56" t="str">
        <f t="shared" ca="1" si="68"/>
        <v/>
      </c>
      <c r="AY56" t="str">
        <f t="shared" ca="1" si="69"/>
        <v/>
      </c>
      <c r="BF56" t="str">
        <f t="shared" ca="1" si="73"/>
        <v/>
      </c>
      <c r="BH56" s="285" t="str">
        <f t="shared" ca="1" si="90"/>
        <v/>
      </c>
      <c r="BI56" t="str">
        <f t="shared" ca="1" si="75"/>
        <v/>
      </c>
      <c r="BJ56" t="str">
        <f t="shared" ca="1" si="76"/>
        <v/>
      </c>
      <c r="BK56" t="str">
        <f t="shared" ca="1" si="91"/>
        <v/>
      </c>
      <c r="BM56" t="str">
        <f t="shared" ca="1" si="92"/>
        <v/>
      </c>
      <c r="BN56" t="str">
        <f t="shared" ca="1" si="93"/>
        <v/>
      </c>
      <c r="BO56" t="str">
        <f t="shared" ca="1" si="78"/>
        <v/>
      </c>
      <c r="BP56" t="b">
        <f ca="1">COUNTIF(COLHELPER!A56:'COLHELPER'!A56,COLHELPER!A56)&gt;1</f>
        <v>0</v>
      </c>
      <c r="BQ56">
        <f t="shared" ca="1" si="79"/>
        <v>0</v>
      </c>
      <c r="BR56" s="290" t="str">
        <f t="shared" ca="1" si="48"/>
        <v/>
      </c>
      <c r="BS56" t="str">
        <f t="shared" ca="1" si="80"/>
        <v/>
      </c>
      <c r="BT56" t="str">
        <f t="shared" ca="1" si="94"/>
        <v/>
      </c>
      <c r="BU56" t="str">
        <f t="shared" ca="1" si="81"/>
        <v/>
      </c>
      <c r="BV56">
        <f t="shared" ca="1" si="82"/>
        <v>0</v>
      </c>
      <c r="BW56" t="str">
        <f t="shared" ca="1" si="83"/>
        <v/>
      </c>
      <c r="BX56" t="str">
        <f t="shared" ca="1" si="84"/>
        <v/>
      </c>
      <c r="BY56" t="str">
        <f ca="1">IF(R56="","",IF(R56&gt;Options!$B$3,"ALTER TABLE "&amp;HELPER!$B$4&amp;" ADD COLUMNS ("&amp;A56&amp;" "&amp;C56&amp;")",""))</f>
        <v/>
      </c>
      <c r="BZ56" t="str">
        <f ca="1">IF(R56="","",IF(R56&gt;Options!$B$3,A56,""))</f>
        <v/>
      </c>
      <c r="CA56" t="str">
        <f ca="1">IF(R56="","",IF(R56&gt;Options!$B$3,B56,""))</f>
        <v/>
      </c>
      <c r="CB56" t="str">
        <f t="shared" ca="1" si="85"/>
        <v/>
      </c>
      <c r="CC56">
        <f t="shared" ca="1" si="86"/>
        <v>0</v>
      </c>
      <c r="CD56" t="str">
        <f ca="1">IF(J56="","",Options!$B$23 &amp; "." &amp; J56)</f>
        <v/>
      </c>
    </row>
    <row r="57" spans="1:82">
      <c r="A57" s="161" t="str">
        <f t="array" aca="1" ref="A57" ca="1">IF(TRIM(INDIRECT("Columns!A57")) ="","",TRIM(INDIRECT("Columns!A57")))</f>
        <v/>
      </c>
      <c r="B57" s="161" t="str">
        <f t="shared" ca="1" si="49"/>
        <v/>
      </c>
      <c r="C57" s="161" t="str">
        <f t="shared" ca="1" si="50"/>
        <v/>
      </c>
      <c r="D57" s="161" t="str">
        <f t="shared" ca="1" si="51"/>
        <v/>
      </c>
      <c r="E57" s="161" t="str">
        <f t="array" aca="1" ref="E57" ca="1">IF(TRIM(INDIRECT("Columns!E57"))="","",TRIM(INDIRECT("Columns!E57")))</f>
        <v/>
      </c>
      <c r="F57" s="161" t="str">
        <f t="array" aca="1" ref="F57" ca="1">IF(TRIM(INDIRECT("Columns!G57"))="","",TRIM(INDIRECT("Columns!G57")))</f>
        <v/>
      </c>
      <c r="G57" s="161" t="str">
        <f t="array" aca="1" ref="G57" ca="1">IF(TRIM(INDIRECT("Columns!F57"))="","",TRIM(INDIRECT("Columns!F57")))</f>
        <v/>
      </c>
      <c r="H57" s="161" t="str">
        <f t="array" aca="1" ref="H57" ca="1">IF(TRIM(INDIRECT("Columns!H57"))="","",TRIM(INDIRECT("Columns!H57")))</f>
        <v/>
      </c>
      <c r="I57" s="161" t="str">
        <f t="array" aca="1" ref="I57" ca="1">IF(TRIM(INDIRECT("Columns!I57"))="","",TRIM(INDIRECT("Columns!I57")))</f>
        <v/>
      </c>
      <c r="J57" s="161" t="str">
        <f t="array" aca="1" ref="J57" ca="1">IF(TRIM(INDIRECT("Columns!J57"))="","",TRIM(INDIRECT("Columns!J57")))</f>
        <v/>
      </c>
      <c r="K57" s="161" t="str">
        <f t="array" aca="1" ref="K57" ca="1">IF(TRIM(INDIRECT("Columns!K57"))="","",TRIM(INDIRECT("Columns!K57")))</f>
        <v/>
      </c>
      <c r="L57" s="161" t="str">
        <f t="array" aca="1" ref="L57" ca="1">IF(TRIM(INDIRECT("Columns!L57"))="","",TRIM(INDIRECT("Columns!L57")))</f>
        <v/>
      </c>
      <c r="M57" s="161" t="str">
        <f t="array" aca="1" ref="M57" ca="1">IF(TRIM(INDIRECT("Columns!M57"))="","",TRIM(INDIRECT("Columns!M57")))</f>
        <v/>
      </c>
      <c r="N57" s="161" t="str">
        <f t="array" aca="1" ref="N57" ca="1">IF(TRIM(INDIRECT("Columns!N57"))="","",TRIM(INDIRECT("Columns!N57")))</f>
        <v/>
      </c>
      <c r="O57" s="227" t="str">
        <f t="array" aca="1" ref="O57" ca="1">IF(TRIM(INDIRECT("Columns!B57"))="","",TRIM(INDIRECT("Columns!B57")))</f>
        <v/>
      </c>
      <c r="P57" s="227" t="str">
        <f t="array" aca="1" ref="P57" ca="1">IF(TRIM(INDIRECT("Columns!C57"))="","",TRIM(INDIRECT("Columns!C57")))</f>
        <v/>
      </c>
      <c r="Q57" s="227" t="str">
        <f t="array" aca="1" ref="Q57" ca="1">IF(TRIM(INDIRECT("Columns!D57"))="","",TRIM(INDIRECT("Columns!D57")))</f>
        <v/>
      </c>
      <c r="R57" s="227" t="str">
        <f t="array" aca="1" ref="R57" ca="1">IF(TRIM(INDIRECT("Columns!O57"))="","",TRIM(INDIRECT("Columns!O57")))</f>
        <v/>
      </c>
      <c r="S57" t="str">
        <f t="shared" ca="1" si="52"/>
        <v/>
      </c>
      <c r="T57" t="str">
        <f t="shared" ca="1" si="53"/>
        <v/>
      </c>
      <c r="U57" t="str">
        <f t="shared" ca="1" si="54"/>
        <v/>
      </c>
      <c r="V57" t="str">
        <f t="shared" ca="1" si="55"/>
        <v/>
      </c>
      <c r="W57" t="str">
        <f t="shared" ca="1" si="56"/>
        <v/>
      </c>
      <c r="X57" t="str">
        <f t="shared" ca="1" si="57"/>
        <v/>
      </c>
      <c r="Y57" t="str">
        <f t="shared" ca="1" si="58"/>
        <v/>
      </c>
      <c r="Z57" t="str">
        <f t="shared" ca="1" si="87"/>
        <v/>
      </c>
      <c r="AA57" t="str">
        <f ca="1">IF(E57="1",   IF( A57="","",IF(OR(F57="1",H57="1",I57="1"),"","COALESCE (CAST("&amp;A57&amp;" as varchar(" &amp; Options!$B$49&amp; ")),'')")),"")</f>
        <v/>
      </c>
      <c r="AB57" t="str">
        <f ca="1">IF(E57="1", IF(C57="string",  IF( A57="","",IF(OR(F57="1",H57="1",I57="1"),"","COALESCE (CAST(lower("&amp;A57&amp;") as varchar(" &amp;Options!$B$49 &amp; ")),'')")),AA57),"")</f>
        <v/>
      </c>
      <c r="AC57" t="str">
        <f ca="1">IF(E57="4",   IF( A57="","",IF(OR(F57="1",H57="1",I57="1"),"","COALESCE (CAST("  &amp;A57&amp;" as varchar(" &amp; Options!$B$49&amp; ")),'')")),"")</f>
        <v/>
      </c>
      <c r="AD57" t="str">
        <f ca="1">IF(E57="4",   IF( A57="","",IF(OR(F57="1",H57="1",I57="1"),"","COALESCE (CAST(" &amp; HELPER!$B$94 &amp; "."  &amp;A57&amp;" as varchar(" &amp; Options!$B$49&amp; ")),'')")),"")</f>
        <v/>
      </c>
      <c r="AE57" t="str">
        <f t="shared" ca="1" si="59"/>
        <v/>
      </c>
      <c r="AF57" t="str">
        <f ca="1">IF(AE57&lt;&gt;"", HELPER!$B$93 &amp;  "." &amp; AE57,"")</f>
        <v/>
      </c>
      <c r="AG57" t="str">
        <f ca="1">IF(AE57&lt;&gt;"", HELPER!$B$94 &amp; "." &amp; AE57,"")</f>
        <v/>
      </c>
      <c r="AH57" t="str">
        <f t="shared" ca="1" si="88"/>
        <v/>
      </c>
      <c r="AI57" t="str">
        <f t="shared" ca="1" si="60"/>
        <v/>
      </c>
      <c r="AJ57" t="str">
        <f t="shared" ca="1" si="61"/>
        <v/>
      </c>
      <c r="AK57" t="str">
        <f ca="1">IF(E57="4", HELPER!$B$94 &amp;  "." &amp; A57,"")</f>
        <v/>
      </c>
      <c r="AL57" t="str">
        <f ca="1">IF(E57="4", HELPER!$B$93 &amp;  "." &amp; A57,"")</f>
        <v/>
      </c>
      <c r="AM57" t="str">
        <f t="shared" ca="1" si="62"/>
        <v/>
      </c>
      <c r="AN57" t="str">
        <f t="shared" ca="1" si="63"/>
        <v/>
      </c>
      <c r="AO57" t="str">
        <f ca="1">IF(A57&lt;&gt;"", IF(OR(F57="1",H57="1",I57="1"),""," "&amp; HELPER!$B$94 &amp; "." &amp; A57),"")</f>
        <v/>
      </c>
      <c r="AP57" t="str">
        <f t="shared" ca="1" si="64"/>
        <v/>
      </c>
      <c r="AQ57" t="str">
        <f t="shared" ca="1" si="95"/>
        <v/>
      </c>
      <c r="AS57" t="str">
        <f ca="1">IF(A57="","",  HELPER!$B$94 &amp;  "." &amp; A57)</f>
        <v/>
      </c>
      <c r="AT57" t="str">
        <f t="shared" ca="1" si="65"/>
        <v/>
      </c>
      <c r="AU57" t="str">
        <f t="shared" ca="1" si="66"/>
        <v/>
      </c>
      <c r="AV57" s="190" t="str">
        <f t="shared" ca="1" si="67"/>
        <v/>
      </c>
      <c r="AW57" t="str">
        <f t="shared" ca="1" si="68"/>
        <v/>
      </c>
      <c r="AY57" t="str">
        <f t="shared" ca="1" si="69"/>
        <v/>
      </c>
      <c r="BF57" t="str">
        <f t="shared" ca="1" si="73"/>
        <v/>
      </c>
      <c r="BH57" s="285" t="str">
        <f t="shared" ca="1" si="90"/>
        <v/>
      </c>
      <c r="BI57" t="str">
        <f t="shared" ca="1" si="75"/>
        <v/>
      </c>
      <c r="BJ57" t="str">
        <f t="shared" ca="1" si="76"/>
        <v/>
      </c>
      <c r="BK57" t="str">
        <f t="shared" ca="1" si="91"/>
        <v/>
      </c>
      <c r="BM57" t="str">
        <f t="shared" ca="1" si="92"/>
        <v/>
      </c>
      <c r="BN57" t="str">
        <f t="shared" ca="1" si="93"/>
        <v/>
      </c>
      <c r="BO57" t="str">
        <f t="shared" ca="1" si="78"/>
        <v/>
      </c>
      <c r="BP57" t="b">
        <f ca="1">COUNTIF(COLHELPER!A57:'COLHELPER'!A57,COLHELPER!A57)&gt;1</f>
        <v>0</v>
      </c>
      <c r="BQ57">
        <f t="shared" ca="1" si="79"/>
        <v>0</v>
      </c>
      <c r="BR57" s="290" t="str">
        <f t="shared" ca="1" si="48"/>
        <v/>
      </c>
      <c r="BS57" t="str">
        <f t="shared" ca="1" si="80"/>
        <v/>
      </c>
      <c r="BT57" t="str">
        <f t="shared" ca="1" si="94"/>
        <v/>
      </c>
      <c r="BU57" t="str">
        <f t="shared" ca="1" si="81"/>
        <v/>
      </c>
      <c r="BV57">
        <f t="shared" ca="1" si="82"/>
        <v>0</v>
      </c>
      <c r="BW57" t="str">
        <f t="shared" ca="1" si="83"/>
        <v/>
      </c>
      <c r="BX57" t="str">
        <f t="shared" ca="1" si="84"/>
        <v/>
      </c>
      <c r="BY57" t="str">
        <f ca="1">IF(R57="","",IF(R57&gt;Options!$B$3,"ALTER TABLE "&amp;HELPER!$B$4&amp;" ADD COLUMNS ("&amp;A57&amp;" "&amp;C57&amp;")",""))</f>
        <v/>
      </c>
      <c r="BZ57" t="str">
        <f ca="1">IF(R57="","",IF(R57&gt;Options!$B$3,A57,""))</f>
        <v/>
      </c>
      <c r="CA57" t="str">
        <f ca="1">IF(R57="","",IF(R57&gt;Options!$B$3,B57,""))</f>
        <v/>
      </c>
      <c r="CB57" t="str">
        <f t="shared" ca="1" si="85"/>
        <v/>
      </c>
      <c r="CC57">
        <f t="shared" ca="1" si="86"/>
        <v>0</v>
      </c>
      <c r="CD57" t="str">
        <f ca="1">IF(J57="","",Options!$B$23 &amp; "." &amp; J57)</f>
        <v/>
      </c>
    </row>
    <row r="58" spans="1:82">
      <c r="A58" s="161" t="str">
        <f t="array" aca="1" ref="A58" ca="1">IF(TRIM(INDIRECT("Columns!A58")) ="","",TRIM(INDIRECT("Columns!A58")))</f>
        <v/>
      </c>
      <c r="B58" s="161" t="str">
        <f t="shared" ca="1" si="49"/>
        <v/>
      </c>
      <c r="C58" s="161" t="str">
        <f t="shared" ca="1" si="50"/>
        <v/>
      </c>
      <c r="D58" s="161" t="str">
        <f t="shared" ca="1" si="51"/>
        <v/>
      </c>
      <c r="E58" s="161" t="str">
        <f t="array" aca="1" ref="E58" ca="1">IF(TRIM(INDIRECT("Columns!E58"))="","",TRIM(INDIRECT("Columns!E58")))</f>
        <v/>
      </c>
      <c r="F58" s="161" t="str">
        <f t="array" aca="1" ref="F58" ca="1">IF(TRIM(INDIRECT("Columns!G58"))="","",TRIM(INDIRECT("Columns!G58")))</f>
        <v/>
      </c>
      <c r="G58" s="161" t="str">
        <f t="array" aca="1" ref="G58" ca="1">IF(TRIM(INDIRECT("Columns!F58"))="","",TRIM(INDIRECT("Columns!F58")))</f>
        <v/>
      </c>
      <c r="H58" s="161" t="str">
        <f t="array" aca="1" ref="H58" ca="1">IF(TRIM(INDIRECT("Columns!H58"))="","",TRIM(INDIRECT("Columns!H58")))</f>
        <v/>
      </c>
      <c r="I58" s="161" t="str">
        <f t="array" aca="1" ref="I58" ca="1">IF(TRIM(INDIRECT("Columns!I58"))="","",TRIM(INDIRECT("Columns!I58")))</f>
        <v/>
      </c>
      <c r="J58" s="161" t="str">
        <f t="array" aca="1" ref="J58" ca="1">IF(TRIM(INDIRECT("Columns!J58"))="","",TRIM(INDIRECT("Columns!J58")))</f>
        <v/>
      </c>
      <c r="K58" s="161" t="str">
        <f t="array" aca="1" ref="K58" ca="1">IF(TRIM(INDIRECT("Columns!K58"))="","",TRIM(INDIRECT("Columns!K58")))</f>
        <v/>
      </c>
      <c r="L58" s="161" t="str">
        <f t="array" aca="1" ref="L58" ca="1">IF(TRIM(INDIRECT("Columns!L58"))="","",TRIM(INDIRECT("Columns!L58")))</f>
        <v/>
      </c>
      <c r="M58" s="161" t="str">
        <f t="array" aca="1" ref="M58" ca="1">IF(TRIM(INDIRECT("Columns!M58"))="","",TRIM(INDIRECT("Columns!M58")))</f>
        <v/>
      </c>
      <c r="N58" s="161" t="str">
        <f t="array" aca="1" ref="N58" ca="1">IF(TRIM(INDIRECT("Columns!N58"))="","",TRIM(INDIRECT("Columns!N58")))</f>
        <v/>
      </c>
      <c r="O58" s="227" t="str">
        <f t="array" aca="1" ref="O58" ca="1">IF(TRIM(INDIRECT("Columns!B58"))="","",TRIM(INDIRECT("Columns!B58")))</f>
        <v/>
      </c>
      <c r="P58" s="227" t="str">
        <f t="array" aca="1" ref="P58" ca="1">IF(TRIM(INDIRECT("Columns!C58"))="","",TRIM(INDIRECT("Columns!C58")))</f>
        <v/>
      </c>
      <c r="Q58" s="227" t="str">
        <f t="array" aca="1" ref="Q58" ca="1">IF(TRIM(INDIRECT("Columns!D58"))="","",TRIM(INDIRECT("Columns!D58")))</f>
        <v/>
      </c>
      <c r="R58" s="227" t="str">
        <f t="array" aca="1" ref="R58" ca="1">IF(TRIM(INDIRECT("Columns!O58"))="","",TRIM(INDIRECT("Columns!O58")))</f>
        <v/>
      </c>
      <c r="S58" t="str">
        <f t="shared" ca="1" si="52"/>
        <v/>
      </c>
      <c r="T58" t="str">
        <f t="shared" ca="1" si="53"/>
        <v/>
      </c>
      <c r="U58" t="str">
        <f t="shared" ca="1" si="54"/>
        <v/>
      </c>
      <c r="V58" t="str">
        <f t="shared" ca="1" si="55"/>
        <v/>
      </c>
      <c r="W58" t="str">
        <f t="shared" ca="1" si="56"/>
        <v/>
      </c>
      <c r="X58" t="str">
        <f t="shared" ca="1" si="57"/>
        <v/>
      </c>
      <c r="Y58" t="str">
        <f t="shared" ca="1" si="58"/>
        <v/>
      </c>
      <c r="Z58" t="str">
        <f t="shared" ca="1" si="87"/>
        <v/>
      </c>
      <c r="AA58" t="str">
        <f ca="1">IF(E58="1",   IF( A58="","",IF(OR(F58="1",H58="1",I58="1"),"","COALESCE (CAST("&amp;A58&amp;" as varchar(" &amp; Options!$B$49&amp; ")),'')")),"")</f>
        <v/>
      </c>
      <c r="AB58" t="str">
        <f ca="1">IF(E58="1", IF(C58="string",  IF( A58="","",IF(OR(F58="1",H58="1",I58="1"),"","COALESCE (CAST(lower("&amp;A58&amp;") as varchar(" &amp;Options!$B$49 &amp; ")),'')")),AA58),"")</f>
        <v/>
      </c>
      <c r="AC58" t="str">
        <f ca="1">IF(E58="4",   IF( A58="","",IF(OR(F58="1",H58="1",I58="1"),"","COALESCE (CAST("  &amp;A58&amp;" as varchar(" &amp; Options!$B$49&amp; ")),'')")),"")</f>
        <v/>
      </c>
      <c r="AD58" t="str">
        <f ca="1">IF(E58="4",   IF( A58="","",IF(OR(F58="1",H58="1",I58="1"),"","COALESCE (CAST(" &amp; HELPER!$B$94 &amp; "."  &amp;A58&amp;" as varchar(" &amp; Options!$B$49&amp; ")),'')")),"")</f>
        <v/>
      </c>
      <c r="AE58" t="str">
        <f t="shared" ca="1" si="59"/>
        <v/>
      </c>
      <c r="AF58" t="str">
        <f ca="1">IF(AE58&lt;&gt;"", HELPER!$B$93 &amp;  "." &amp; AE58,"")</f>
        <v/>
      </c>
      <c r="AG58" t="str">
        <f ca="1">IF(AE58&lt;&gt;"", HELPER!$B$94 &amp; "." &amp; AE58,"")</f>
        <v/>
      </c>
      <c r="AH58" t="str">
        <f t="shared" ca="1" si="88"/>
        <v/>
      </c>
      <c r="AI58" t="str">
        <f t="shared" ca="1" si="60"/>
        <v/>
      </c>
      <c r="AJ58" t="str">
        <f t="shared" ca="1" si="61"/>
        <v/>
      </c>
      <c r="AK58" t="str">
        <f ca="1">IF(E58="4", HELPER!$B$94 &amp;  "." &amp; A58,"")</f>
        <v/>
      </c>
      <c r="AL58" t="str">
        <f ca="1">IF(E58="4", HELPER!$B$93 &amp;  "." &amp; A58,"")</f>
        <v/>
      </c>
      <c r="AM58" t="str">
        <f t="shared" ca="1" si="62"/>
        <v/>
      </c>
      <c r="AN58" t="str">
        <f t="shared" ca="1" si="63"/>
        <v/>
      </c>
      <c r="AO58" t="str">
        <f ca="1">IF(A58&lt;&gt;"", IF(OR(F58="1",H58="1",I58="1"),""," "&amp; HELPER!$B$94 &amp; "." &amp; A58),"")</f>
        <v/>
      </c>
      <c r="AP58" t="str">
        <f t="shared" ca="1" si="64"/>
        <v/>
      </c>
      <c r="AQ58" t="str">
        <f t="shared" ca="1" si="95"/>
        <v/>
      </c>
      <c r="AS58" t="str">
        <f ca="1">IF(A58="","",  HELPER!$B$94 &amp;  "." &amp; A58)</f>
        <v/>
      </c>
      <c r="AT58" t="str">
        <f t="shared" ca="1" si="65"/>
        <v/>
      </c>
      <c r="AU58" t="str">
        <f t="shared" ca="1" si="66"/>
        <v/>
      </c>
      <c r="AV58" s="190" t="str">
        <f t="shared" ca="1" si="67"/>
        <v/>
      </c>
      <c r="AW58" t="str">
        <f t="shared" ca="1" si="68"/>
        <v/>
      </c>
      <c r="AY58" t="str">
        <f t="shared" ca="1" si="69"/>
        <v/>
      </c>
      <c r="BF58" t="str">
        <f t="shared" ca="1" si="73"/>
        <v/>
      </c>
      <c r="BH58" s="285" t="str">
        <f t="shared" ca="1" si="90"/>
        <v/>
      </c>
      <c r="BI58" t="str">
        <f t="shared" ca="1" si="75"/>
        <v/>
      </c>
      <c r="BJ58" t="str">
        <f t="shared" ca="1" si="76"/>
        <v/>
      </c>
      <c r="BK58" t="str">
        <f t="shared" ca="1" si="91"/>
        <v/>
      </c>
      <c r="BM58" t="str">
        <f t="shared" ca="1" si="92"/>
        <v/>
      </c>
      <c r="BN58" t="str">
        <f t="shared" ca="1" si="93"/>
        <v/>
      </c>
      <c r="BO58" t="str">
        <f t="shared" ca="1" si="78"/>
        <v/>
      </c>
      <c r="BP58" t="b">
        <f ca="1">COUNTIF(COLHELPER!A58:'COLHELPER'!A58,COLHELPER!A58)&gt;1</f>
        <v>0</v>
      </c>
      <c r="BQ58">
        <f t="shared" ca="1" si="79"/>
        <v>0</v>
      </c>
      <c r="BR58" s="290" t="str">
        <f t="shared" ca="1" si="48"/>
        <v/>
      </c>
      <c r="BS58" t="str">
        <f t="shared" ca="1" si="80"/>
        <v/>
      </c>
      <c r="BT58" t="str">
        <f t="shared" ca="1" si="94"/>
        <v/>
      </c>
      <c r="BU58" t="str">
        <f t="shared" ca="1" si="81"/>
        <v/>
      </c>
      <c r="BV58">
        <f t="shared" ca="1" si="82"/>
        <v>0</v>
      </c>
      <c r="BW58" t="str">
        <f t="shared" ca="1" si="83"/>
        <v/>
      </c>
      <c r="BX58" t="str">
        <f t="shared" ca="1" si="84"/>
        <v/>
      </c>
      <c r="BY58" t="str">
        <f ca="1">IF(R58="","",IF(R58&gt;Options!$B$3,"ALTER TABLE "&amp;HELPER!$B$4&amp;" ADD COLUMNS ("&amp;A58&amp;" "&amp;C58&amp;")",""))</f>
        <v/>
      </c>
      <c r="BZ58" t="str">
        <f ca="1">IF(R58="","",IF(R58&gt;Options!$B$3,A58,""))</f>
        <v/>
      </c>
      <c r="CA58" t="str">
        <f ca="1">IF(R58="","",IF(R58&gt;Options!$B$3,B58,""))</f>
        <v/>
      </c>
      <c r="CB58" t="str">
        <f t="shared" ca="1" si="85"/>
        <v/>
      </c>
      <c r="CC58">
        <f t="shared" ca="1" si="86"/>
        <v>0</v>
      </c>
      <c r="CD58" t="str">
        <f ca="1">IF(J58="","",Options!$B$23 &amp; "." &amp; J58)</f>
        <v/>
      </c>
    </row>
    <row r="59" spans="1:82">
      <c r="A59" s="161" t="str">
        <f t="array" aca="1" ref="A59" ca="1">IF(TRIM(INDIRECT("Columns!A59")) ="","",TRIM(INDIRECT("Columns!A59")))</f>
        <v/>
      </c>
      <c r="B59" s="161" t="str">
        <f t="shared" ca="1" si="49"/>
        <v/>
      </c>
      <c r="C59" s="161" t="str">
        <f t="shared" ca="1" si="50"/>
        <v/>
      </c>
      <c r="D59" s="161" t="str">
        <f t="shared" ca="1" si="51"/>
        <v/>
      </c>
      <c r="E59" s="161" t="str">
        <f t="array" aca="1" ref="E59" ca="1">IF(TRIM(INDIRECT("Columns!E59"))="","",TRIM(INDIRECT("Columns!E59")))</f>
        <v/>
      </c>
      <c r="F59" s="161" t="str">
        <f t="array" aca="1" ref="F59" ca="1">IF(TRIM(INDIRECT("Columns!G59"))="","",TRIM(INDIRECT("Columns!G59")))</f>
        <v/>
      </c>
      <c r="G59" s="161" t="str">
        <f t="array" aca="1" ref="G59" ca="1">IF(TRIM(INDIRECT("Columns!F59"))="","",TRIM(INDIRECT("Columns!F59")))</f>
        <v/>
      </c>
      <c r="H59" s="161" t="str">
        <f t="array" aca="1" ref="H59" ca="1">IF(TRIM(INDIRECT("Columns!H59"))="","",TRIM(INDIRECT("Columns!H59")))</f>
        <v/>
      </c>
      <c r="I59" s="161" t="str">
        <f t="array" aca="1" ref="I59" ca="1">IF(TRIM(INDIRECT("Columns!I59"))="","",TRIM(INDIRECT("Columns!I59")))</f>
        <v/>
      </c>
      <c r="J59" s="161" t="str">
        <f t="array" aca="1" ref="J59" ca="1">IF(TRIM(INDIRECT("Columns!J59"))="","",TRIM(INDIRECT("Columns!J59")))</f>
        <v/>
      </c>
      <c r="K59" s="161" t="str">
        <f t="array" aca="1" ref="K59" ca="1">IF(TRIM(INDIRECT("Columns!K59"))="","",TRIM(INDIRECT("Columns!K59")))</f>
        <v/>
      </c>
      <c r="L59" s="161" t="str">
        <f t="array" aca="1" ref="L59" ca="1">IF(TRIM(INDIRECT("Columns!L59"))="","",TRIM(INDIRECT("Columns!L59")))</f>
        <v/>
      </c>
      <c r="M59" s="161" t="str">
        <f t="array" aca="1" ref="M59" ca="1">IF(TRIM(INDIRECT("Columns!M59"))="","",TRIM(INDIRECT("Columns!M59")))</f>
        <v/>
      </c>
      <c r="N59" s="161" t="str">
        <f t="array" aca="1" ref="N59" ca="1">IF(TRIM(INDIRECT("Columns!N59"))="","",TRIM(INDIRECT("Columns!N59")))</f>
        <v/>
      </c>
      <c r="O59" s="227" t="str">
        <f t="array" aca="1" ref="O59" ca="1">IF(TRIM(INDIRECT("Columns!B59"))="","",TRIM(INDIRECT("Columns!B59")))</f>
        <v/>
      </c>
      <c r="P59" s="227" t="str">
        <f t="array" aca="1" ref="P59" ca="1">IF(TRIM(INDIRECT("Columns!C59"))="","",TRIM(INDIRECT("Columns!C59")))</f>
        <v/>
      </c>
      <c r="Q59" s="227" t="str">
        <f t="array" aca="1" ref="Q59" ca="1">IF(TRIM(INDIRECT("Columns!D59"))="","",TRIM(INDIRECT("Columns!D59")))</f>
        <v/>
      </c>
      <c r="R59" s="227" t="str">
        <f t="array" aca="1" ref="R59" ca="1">IF(TRIM(INDIRECT("Columns!O59"))="","",TRIM(INDIRECT("Columns!O59")))</f>
        <v/>
      </c>
      <c r="S59" t="str">
        <f t="shared" ca="1" si="52"/>
        <v/>
      </c>
      <c r="T59" t="str">
        <f t="shared" ca="1" si="53"/>
        <v/>
      </c>
      <c r="U59" t="str">
        <f t="shared" ca="1" si="54"/>
        <v/>
      </c>
      <c r="V59" t="str">
        <f t="shared" ca="1" si="55"/>
        <v/>
      </c>
      <c r="W59" t="str">
        <f t="shared" ca="1" si="56"/>
        <v/>
      </c>
      <c r="X59" t="str">
        <f t="shared" ca="1" si="57"/>
        <v/>
      </c>
      <c r="Y59" t="str">
        <f t="shared" ca="1" si="58"/>
        <v/>
      </c>
      <c r="Z59" t="str">
        <f t="shared" ca="1" si="87"/>
        <v/>
      </c>
      <c r="AA59" t="str">
        <f ca="1">IF(E59="1",   IF( A59="","",IF(OR(F59="1",H59="1",I59="1"),"","COALESCE (CAST("&amp;A59&amp;" as varchar(" &amp; Options!$B$49&amp; ")),'')")),"")</f>
        <v/>
      </c>
      <c r="AB59" t="str">
        <f ca="1">IF(E59="1", IF(C59="string",  IF( A59="","",IF(OR(F59="1",H59="1",I59="1"),"","COALESCE (CAST(lower("&amp;A59&amp;") as varchar(" &amp;Options!$B$49 &amp; ")),'')")),AA59),"")</f>
        <v/>
      </c>
      <c r="AC59" t="str">
        <f ca="1">IF(E59="4",   IF( A59="","",IF(OR(F59="1",H59="1",I59="1"),"","COALESCE (CAST("  &amp;A59&amp;" as varchar(" &amp; Options!$B$49&amp; ")),'')")),"")</f>
        <v/>
      </c>
      <c r="AD59" t="str">
        <f ca="1">IF(E59="4",   IF( A59="","",IF(OR(F59="1",H59="1",I59="1"),"","COALESCE (CAST(" &amp; HELPER!$B$94 &amp; "."  &amp;A59&amp;" as varchar(" &amp; Options!$B$49&amp; ")),'')")),"")</f>
        <v/>
      </c>
      <c r="AE59" t="str">
        <f t="shared" ca="1" si="59"/>
        <v/>
      </c>
      <c r="AF59" t="str">
        <f ca="1">IF(AE59&lt;&gt;"", HELPER!$B$93 &amp;  "." &amp; AE59,"")</f>
        <v/>
      </c>
      <c r="AG59" t="str">
        <f ca="1">IF(AE59&lt;&gt;"", HELPER!$B$94 &amp; "." &amp; AE59,"")</f>
        <v/>
      </c>
      <c r="AH59" t="str">
        <f t="shared" ca="1" si="88"/>
        <v/>
      </c>
      <c r="AI59" t="str">
        <f t="shared" ca="1" si="60"/>
        <v/>
      </c>
      <c r="AJ59" t="str">
        <f t="shared" ca="1" si="61"/>
        <v/>
      </c>
      <c r="AK59" t="str">
        <f ca="1">IF(E59="4", HELPER!$B$94 &amp;  "." &amp; A59,"")</f>
        <v/>
      </c>
      <c r="AL59" t="str">
        <f ca="1">IF(E59="4", HELPER!$B$93 &amp;  "." &amp; A59,"")</f>
        <v/>
      </c>
      <c r="AM59" t="str">
        <f t="shared" ca="1" si="62"/>
        <v/>
      </c>
      <c r="AN59" t="str">
        <f t="shared" ca="1" si="63"/>
        <v/>
      </c>
      <c r="AO59" t="str">
        <f ca="1">IF(A59&lt;&gt;"", IF(OR(F59="1",H59="1",I59="1"),""," "&amp; HELPER!$B$94 &amp; "." &amp; A59),"")</f>
        <v/>
      </c>
      <c r="AP59" t="str">
        <f t="shared" ca="1" si="64"/>
        <v/>
      </c>
      <c r="AQ59" t="str">
        <f t="shared" ca="1" si="95"/>
        <v/>
      </c>
      <c r="AS59" t="str">
        <f ca="1">IF(A59="","",  HELPER!$B$94 &amp;  "." &amp; A59)</f>
        <v/>
      </c>
      <c r="AT59" t="str">
        <f t="shared" ca="1" si="65"/>
        <v/>
      </c>
      <c r="AU59" t="str">
        <f t="shared" ca="1" si="66"/>
        <v/>
      </c>
      <c r="AV59" s="190" t="str">
        <f t="shared" ca="1" si="67"/>
        <v/>
      </c>
      <c r="AW59" t="str">
        <f t="shared" ca="1" si="68"/>
        <v/>
      </c>
      <c r="AY59" t="str">
        <f t="shared" ca="1" si="69"/>
        <v/>
      </c>
      <c r="BF59" t="str">
        <f t="shared" ca="1" si="73"/>
        <v/>
      </c>
      <c r="BH59" s="285" t="str">
        <f t="shared" ca="1" si="90"/>
        <v/>
      </c>
      <c r="BI59" t="str">
        <f t="shared" ca="1" si="75"/>
        <v/>
      </c>
      <c r="BJ59" t="str">
        <f t="shared" ca="1" si="76"/>
        <v/>
      </c>
      <c r="BK59" t="str">
        <f t="shared" ca="1" si="91"/>
        <v/>
      </c>
      <c r="BM59" t="str">
        <f t="shared" ca="1" si="92"/>
        <v/>
      </c>
      <c r="BN59" t="str">
        <f t="shared" ca="1" si="93"/>
        <v/>
      </c>
      <c r="BO59" t="str">
        <f t="shared" ca="1" si="78"/>
        <v/>
      </c>
      <c r="BP59" t="b">
        <f ca="1">COUNTIF(COLHELPER!A59:'COLHELPER'!A59,COLHELPER!A59)&gt;1</f>
        <v>0</v>
      </c>
      <c r="BQ59">
        <f t="shared" ca="1" si="79"/>
        <v>0</v>
      </c>
      <c r="BR59" s="290" t="str">
        <f t="shared" ca="1" si="48"/>
        <v/>
      </c>
      <c r="BS59" t="str">
        <f t="shared" ca="1" si="80"/>
        <v/>
      </c>
      <c r="BT59" t="str">
        <f t="shared" ca="1" si="94"/>
        <v/>
      </c>
      <c r="BU59" t="str">
        <f t="shared" ca="1" si="81"/>
        <v/>
      </c>
      <c r="BV59">
        <f t="shared" ca="1" si="82"/>
        <v>0</v>
      </c>
      <c r="BW59" t="str">
        <f t="shared" ca="1" si="83"/>
        <v/>
      </c>
      <c r="BX59" t="str">
        <f t="shared" ca="1" si="84"/>
        <v/>
      </c>
      <c r="BY59" t="str">
        <f ca="1">IF(R59="","",IF(R59&gt;Options!$B$3,"ALTER TABLE "&amp;HELPER!$B$4&amp;" ADD COLUMNS ("&amp;A59&amp;" "&amp;C59&amp;")",""))</f>
        <v/>
      </c>
      <c r="BZ59" t="str">
        <f ca="1">IF(R59="","",IF(R59&gt;Options!$B$3,A59,""))</f>
        <v/>
      </c>
      <c r="CA59" t="str">
        <f ca="1">IF(R59="","",IF(R59&gt;Options!$B$3,B59,""))</f>
        <v/>
      </c>
      <c r="CB59" t="str">
        <f t="shared" ca="1" si="85"/>
        <v/>
      </c>
      <c r="CC59">
        <f t="shared" ca="1" si="86"/>
        <v>0</v>
      </c>
      <c r="CD59" t="str">
        <f ca="1">IF(J59="","",Options!$B$23 &amp; "." &amp; J59)</f>
        <v/>
      </c>
    </row>
    <row r="60" spans="1:82">
      <c r="A60" s="161" t="str">
        <f t="array" aca="1" ref="A60" ca="1">IF(TRIM(INDIRECT("Columns!A60")) ="","",TRIM(INDIRECT("Columns!A60")))</f>
        <v/>
      </c>
      <c r="B60" s="161" t="str">
        <f t="shared" ca="1" si="49"/>
        <v/>
      </c>
      <c r="C60" s="161" t="str">
        <f t="shared" ca="1" si="50"/>
        <v/>
      </c>
      <c r="D60" s="161" t="str">
        <f t="shared" ca="1" si="51"/>
        <v/>
      </c>
      <c r="E60" s="161" t="str">
        <f t="array" aca="1" ref="E60" ca="1">IF(TRIM(INDIRECT("Columns!E60"))="","",TRIM(INDIRECT("Columns!E60")))</f>
        <v/>
      </c>
      <c r="F60" s="161" t="str">
        <f t="array" aca="1" ref="F60" ca="1">IF(TRIM(INDIRECT("Columns!G60"))="","",TRIM(INDIRECT("Columns!G60")))</f>
        <v/>
      </c>
      <c r="G60" s="161" t="str">
        <f t="array" aca="1" ref="G60" ca="1">IF(TRIM(INDIRECT("Columns!F60"))="","",TRIM(INDIRECT("Columns!F60")))</f>
        <v/>
      </c>
      <c r="H60" s="161" t="str">
        <f t="array" aca="1" ref="H60" ca="1">IF(TRIM(INDIRECT("Columns!H60"))="","",TRIM(INDIRECT("Columns!H60")))</f>
        <v/>
      </c>
      <c r="I60" s="161" t="str">
        <f t="array" aca="1" ref="I60" ca="1">IF(TRIM(INDIRECT("Columns!I60"))="","",TRIM(INDIRECT("Columns!I60")))</f>
        <v/>
      </c>
      <c r="J60" s="161" t="str">
        <f t="array" aca="1" ref="J60" ca="1">IF(TRIM(INDIRECT("Columns!J60"))="","",TRIM(INDIRECT("Columns!J60")))</f>
        <v/>
      </c>
      <c r="K60" s="161" t="str">
        <f t="array" aca="1" ref="K60" ca="1">IF(TRIM(INDIRECT("Columns!K60"))="","",TRIM(INDIRECT("Columns!K60")))</f>
        <v/>
      </c>
      <c r="L60" s="161" t="str">
        <f t="array" aca="1" ref="L60" ca="1">IF(TRIM(INDIRECT("Columns!L60"))="","",TRIM(INDIRECT("Columns!L60")))</f>
        <v/>
      </c>
      <c r="M60" s="161" t="str">
        <f t="array" aca="1" ref="M60" ca="1">IF(TRIM(INDIRECT("Columns!M60"))="","",TRIM(INDIRECT("Columns!M60")))</f>
        <v/>
      </c>
      <c r="N60" s="161" t="str">
        <f t="array" aca="1" ref="N60" ca="1">IF(TRIM(INDIRECT("Columns!N60"))="","",TRIM(INDIRECT("Columns!N60")))</f>
        <v/>
      </c>
      <c r="O60" s="227" t="str">
        <f t="array" aca="1" ref="O60" ca="1">IF(TRIM(INDIRECT("Columns!B60"))="","",TRIM(INDIRECT("Columns!B60")))</f>
        <v/>
      </c>
      <c r="P60" s="227" t="str">
        <f t="array" aca="1" ref="P60" ca="1">IF(TRIM(INDIRECT("Columns!C60"))="","",TRIM(INDIRECT("Columns!C60")))</f>
        <v/>
      </c>
      <c r="Q60" s="227" t="str">
        <f t="array" aca="1" ref="Q60" ca="1">IF(TRIM(INDIRECT("Columns!D60"))="","",TRIM(INDIRECT("Columns!D60")))</f>
        <v/>
      </c>
      <c r="R60" s="227" t="str">
        <f t="array" aca="1" ref="R60" ca="1">IF(TRIM(INDIRECT("Columns!O60"))="","",TRIM(INDIRECT("Columns!O60")))</f>
        <v/>
      </c>
      <c r="S60" t="str">
        <f t="shared" ca="1" si="52"/>
        <v/>
      </c>
      <c r="T60" t="str">
        <f t="shared" ca="1" si="53"/>
        <v/>
      </c>
      <c r="U60" t="str">
        <f t="shared" ca="1" si="54"/>
        <v/>
      </c>
      <c r="V60" t="str">
        <f t="shared" ca="1" si="55"/>
        <v/>
      </c>
      <c r="W60" t="str">
        <f t="shared" ca="1" si="56"/>
        <v/>
      </c>
      <c r="X60" t="str">
        <f t="shared" ca="1" si="57"/>
        <v/>
      </c>
      <c r="Y60" t="str">
        <f t="shared" ca="1" si="58"/>
        <v/>
      </c>
      <c r="Z60" t="str">
        <f t="shared" ca="1" si="87"/>
        <v/>
      </c>
      <c r="AA60" t="str">
        <f ca="1">IF(E60="1",   IF( A60="","",IF(OR(F60="1",H60="1",I60="1"),"","COALESCE (CAST("&amp;A60&amp;" as varchar(" &amp; Options!$B$49&amp; ")),'')")),"")</f>
        <v/>
      </c>
      <c r="AB60" t="str">
        <f ca="1">IF(E60="1", IF(C60="string",  IF( A60="","",IF(OR(F60="1",H60="1",I60="1"),"","COALESCE (CAST(lower("&amp;A60&amp;") as varchar(" &amp;Options!$B$49 &amp; ")),'')")),AA60),"")</f>
        <v/>
      </c>
      <c r="AC60" t="str">
        <f ca="1">IF(E60="4",   IF( A60="","",IF(OR(F60="1",H60="1",I60="1"),"","COALESCE (CAST("  &amp;A60&amp;" as varchar(" &amp; Options!$B$49&amp; ")),'')")),"")</f>
        <v/>
      </c>
      <c r="AD60" t="str">
        <f ca="1">IF(E60="4",   IF( A60="","",IF(OR(F60="1",H60="1",I60="1"),"","COALESCE (CAST(" &amp; HELPER!$B$94 &amp; "."  &amp;A60&amp;" as varchar(" &amp; Options!$B$49&amp; ")),'')")),"")</f>
        <v/>
      </c>
      <c r="AE60" t="str">
        <f t="shared" ca="1" si="59"/>
        <v/>
      </c>
      <c r="AF60" t="str">
        <f ca="1">IF(AE60&lt;&gt;"", HELPER!$B$93 &amp;  "." &amp; AE60,"")</f>
        <v/>
      </c>
      <c r="AG60" t="str">
        <f ca="1">IF(AE60&lt;&gt;"", HELPER!$B$94 &amp; "." &amp; AE60,"")</f>
        <v/>
      </c>
      <c r="AH60" t="str">
        <f t="shared" ca="1" si="88"/>
        <v/>
      </c>
      <c r="AI60" t="str">
        <f t="shared" ca="1" si="60"/>
        <v/>
      </c>
      <c r="AJ60" t="str">
        <f t="shared" ca="1" si="61"/>
        <v/>
      </c>
      <c r="AK60" t="str">
        <f ca="1">IF(E60="4", HELPER!$B$94 &amp;  "." &amp; A60,"")</f>
        <v/>
      </c>
      <c r="AL60" t="str">
        <f ca="1">IF(E60="4", HELPER!$B$93 &amp;  "." &amp; A60,"")</f>
        <v/>
      </c>
      <c r="AM60" t="str">
        <f t="shared" ca="1" si="62"/>
        <v/>
      </c>
      <c r="AN60" t="str">
        <f t="shared" ca="1" si="63"/>
        <v/>
      </c>
      <c r="AO60" t="str">
        <f ca="1">IF(A60&lt;&gt;"", IF(OR(F60="1",H60="1",I60="1"),""," "&amp; HELPER!$B$94 &amp; "." &amp; A60),"")</f>
        <v/>
      </c>
      <c r="AP60" t="str">
        <f t="shared" ca="1" si="64"/>
        <v/>
      </c>
      <c r="AQ60" t="str">
        <f t="shared" ca="1" si="95"/>
        <v/>
      </c>
      <c r="AS60" t="str">
        <f ca="1">IF(A60="","",  HELPER!$B$94 &amp;  "." &amp; A60)</f>
        <v/>
      </c>
      <c r="AT60" t="str">
        <f t="shared" ca="1" si="65"/>
        <v/>
      </c>
      <c r="AU60" t="str">
        <f t="shared" ca="1" si="66"/>
        <v/>
      </c>
      <c r="AV60" s="190" t="str">
        <f t="shared" ca="1" si="67"/>
        <v/>
      </c>
      <c r="AW60" t="str">
        <f t="shared" ca="1" si="68"/>
        <v/>
      </c>
      <c r="AY60" t="str">
        <f t="shared" ca="1" si="69"/>
        <v/>
      </c>
      <c r="BF60" t="str">
        <f t="shared" ca="1" si="73"/>
        <v/>
      </c>
      <c r="BH60" s="285" t="str">
        <f t="shared" ca="1" si="90"/>
        <v/>
      </c>
      <c r="BI60" t="str">
        <f t="shared" ca="1" si="75"/>
        <v/>
      </c>
      <c r="BJ60" t="str">
        <f t="shared" ca="1" si="76"/>
        <v/>
      </c>
      <c r="BK60" t="str">
        <f t="shared" ca="1" si="91"/>
        <v/>
      </c>
      <c r="BM60" t="str">
        <f t="shared" ca="1" si="92"/>
        <v/>
      </c>
      <c r="BN60" t="str">
        <f t="shared" ca="1" si="93"/>
        <v/>
      </c>
      <c r="BO60" t="str">
        <f t="shared" ca="1" si="78"/>
        <v/>
      </c>
      <c r="BP60" t="b">
        <f ca="1">COUNTIF(COLHELPER!A60:'COLHELPER'!A60,COLHELPER!A60)&gt;1</f>
        <v>0</v>
      </c>
      <c r="BQ60">
        <f t="shared" ca="1" si="79"/>
        <v>0</v>
      </c>
      <c r="BR60" s="290" t="str">
        <f t="shared" ca="1" si="48"/>
        <v/>
      </c>
      <c r="BS60" t="str">
        <f t="shared" ca="1" si="80"/>
        <v/>
      </c>
      <c r="BT60" t="str">
        <f t="shared" ca="1" si="94"/>
        <v/>
      </c>
      <c r="BU60" t="str">
        <f t="shared" ca="1" si="81"/>
        <v/>
      </c>
      <c r="BV60">
        <f t="shared" ca="1" si="82"/>
        <v>0</v>
      </c>
      <c r="BW60" t="str">
        <f t="shared" ca="1" si="83"/>
        <v/>
      </c>
      <c r="BX60" t="str">
        <f t="shared" ca="1" si="84"/>
        <v/>
      </c>
      <c r="BY60" t="str">
        <f ca="1">IF(R60="","",IF(R60&gt;Options!$B$3,"ALTER TABLE "&amp;HELPER!$B$4&amp;" ADD COLUMNS ("&amp;A60&amp;" "&amp;C60&amp;")",""))</f>
        <v/>
      </c>
      <c r="BZ60" t="str">
        <f ca="1">IF(R60="","",IF(R60&gt;Options!$B$3,A60,""))</f>
        <v/>
      </c>
      <c r="CA60" t="str">
        <f ca="1">IF(R60="","",IF(R60&gt;Options!$B$3,B60,""))</f>
        <v/>
      </c>
      <c r="CB60" t="str">
        <f t="shared" ca="1" si="85"/>
        <v/>
      </c>
      <c r="CC60">
        <f t="shared" ca="1" si="86"/>
        <v>0</v>
      </c>
      <c r="CD60" t="str">
        <f ca="1">IF(J60="","",Options!$B$23 &amp; "." &amp; J60)</f>
        <v/>
      </c>
    </row>
    <row r="61" spans="1:82">
      <c r="A61" s="161" t="str">
        <f t="array" aca="1" ref="A61" ca="1">IF(TRIM(INDIRECT("Columns!A61")) ="","",TRIM(INDIRECT("Columns!A61")))</f>
        <v/>
      </c>
      <c r="B61" s="161" t="str">
        <f t="shared" ca="1" si="49"/>
        <v/>
      </c>
      <c r="C61" s="161" t="str">
        <f t="shared" ca="1" si="50"/>
        <v/>
      </c>
      <c r="D61" s="161" t="str">
        <f t="shared" ca="1" si="51"/>
        <v/>
      </c>
      <c r="E61" s="161" t="str">
        <f t="array" aca="1" ref="E61" ca="1">IF(TRIM(INDIRECT("Columns!E61"))="","",TRIM(INDIRECT("Columns!E61")))</f>
        <v/>
      </c>
      <c r="F61" s="161" t="str">
        <f t="array" aca="1" ref="F61" ca="1">IF(TRIM(INDIRECT("Columns!G61"))="","",TRIM(INDIRECT("Columns!G61")))</f>
        <v/>
      </c>
      <c r="G61" s="161" t="str">
        <f t="array" aca="1" ref="G61" ca="1">IF(TRIM(INDIRECT("Columns!F61"))="","",TRIM(INDIRECT("Columns!F61")))</f>
        <v/>
      </c>
      <c r="H61" s="161" t="str">
        <f t="array" aca="1" ref="H61" ca="1">IF(TRIM(INDIRECT("Columns!H61"))="","",TRIM(INDIRECT("Columns!H61")))</f>
        <v/>
      </c>
      <c r="I61" s="161" t="str">
        <f t="array" aca="1" ref="I61" ca="1">IF(TRIM(INDIRECT("Columns!I61"))="","",TRIM(INDIRECT("Columns!I61")))</f>
        <v/>
      </c>
      <c r="J61" s="161" t="str">
        <f t="array" aca="1" ref="J61" ca="1">IF(TRIM(INDIRECT("Columns!J61"))="","",TRIM(INDIRECT("Columns!J61")))</f>
        <v/>
      </c>
      <c r="K61" s="161" t="str">
        <f t="array" aca="1" ref="K61" ca="1">IF(TRIM(INDIRECT("Columns!K61"))="","",TRIM(INDIRECT("Columns!K61")))</f>
        <v/>
      </c>
      <c r="L61" s="161" t="str">
        <f t="array" aca="1" ref="L61" ca="1">IF(TRIM(INDIRECT("Columns!L61"))="","",TRIM(INDIRECT("Columns!L61")))</f>
        <v/>
      </c>
      <c r="M61" s="161" t="str">
        <f t="array" aca="1" ref="M61" ca="1">IF(TRIM(INDIRECT("Columns!M61"))="","",TRIM(INDIRECT("Columns!M61")))</f>
        <v/>
      </c>
      <c r="N61" s="161" t="str">
        <f t="array" aca="1" ref="N61" ca="1">IF(TRIM(INDIRECT("Columns!N61"))="","",TRIM(INDIRECT("Columns!N61")))</f>
        <v/>
      </c>
      <c r="O61" s="227" t="str">
        <f t="array" aca="1" ref="O61" ca="1">IF(TRIM(INDIRECT("Columns!B61"))="","",TRIM(INDIRECT("Columns!B61")))</f>
        <v/>
      </c>
      <c r="P61" s="227" t="str">
        <f t="array" aca="1" ref="P61" ca="1">IF(TRIM(INDIRECT("Columns!C61"))="","",TRIM(INDIRECT("Columns!C61")))</f>
        <v/>
      </c>
      <c r="Q61" s="227" t="str">
        <f t="array" aca="1" ref="Q61" ca="1">IF(TRIM(INDIRECT("Columns!D61"))="","",TRIM(INDIRECT("Columns!D61")))</f>
        <v/>
      </c>
      <c r="R61" s="227" t="str">
        <f t="array" aca="1" ref="R61" ca="1">IF(TRIM(INDIRECT("Columns!O61"))="","",TRIM(INDIRECT("Columns!O61")))</f>
        <v/>
      </c>
      <c r="S61" t="str">
        <f t="shared" ca="1" si="52"/>
        <v/>
      </c>
      <c r="T61" t="str">
        <f t="shared" ca="1" si="53"/>
        <v/>
      </c>
      <c r="U61" t="str">
        <f t="shared" ca="1" si="54"/>
        <v/>
      </c>
      <c r="V61" t="str">
        <f t="shared" ca="1" si="55"/>
        <v/>
      </c>
      <c r="W61" t="str">
        <f t="shared" ca="1" si="56"/>
        <v/>
      </c>
      <c r="X61" t="str">
        <f t="shared" ca="1" si="57"/>
        <v/>
      </c>
      <c r="Y61" t="str">
        <f t="shared" ca="1" si="58"/>
        <v/>
      </c>
      <c r="Z61" t="str">
        <f t="shared" ca="1" si="87"/>
        <v/>
      </c>
      <c r="AA61" t="str">
        <f ca="1">IF(E61="1",   IF( A61="","",IF(OR(F61="1",H61="1",I61="1"),"","COALESCE (CAST("&amp;A61&amp;" as varchar(" &amp; Options!$B$49&amp; ")),'')")),"")</f>
        <v/>
      </c>
      <c r="AB61" t="str">
        <f ca="1">IF(E61="1", IF(C61="string",  IF( A61="","",IF(OR(F61="1",H61="1",I61="1"),"","COALESCE (CAST(lower("&amp;A61&amp;") as varchar(" &amp;Options!$B$49 &amp; ")),'')")),AA61),"")</f>
        <v/>
      </c>
      <c r="AC61" t="str">
        <f ca="1">IF(E61="4",   IF( A61="","",IF(OR(F61="1",H61="1",I61="1"),"","COALESCE (CAST("  &amp;A61&amp;" as varchar(" &amp; Options!$B$49&amp; ")),'')")),"")</f>
        <v/>
      </c>
      <c r="AD61" t="str">
        <f ca="1">IF(E61="4",   IF( A61="","",IF(OR(F61="1",H61="1",I61="1"),"","COALESCE (CAST(" &amp; HELPER!$B$94 &amp; "."  &amp;A61&amp;" as varchar(" &amp; Options!$B$49&amp; ")),'')")),"")</f>
        <v/>
      </c>
      <c r="AE61" t="str">
        <f t="shared" ca="1" si="59"/>
        <v/>
      </c>
      <c r="AF61" t="str">
        <f ca="1">IF(AE61&lt;&gt;"", HELPER!$B$93 &amp;  "." &amp; AE61,"")</f>
        <v/>
      </c>
      <c r="AG61" t="str">
        <f ca="1">IF(AE61&lt;&gt;"", HELPER!$B$94 &amp; "." &amp; AE61,"")</f>
        <v/>
      </c>
      <c r="AH61" t="str">
        <f t="shared" ca="1" si="88"/>
        <v/>
      </c>
      <c r="AI61" t="str">
        <f t="shared" ca="1" si="60"/>
        <v/>
      </c>
      <c r="AJ61" t="str">
        <f t="shared" ca="1" si="61"/>
        <v/>
      </c>
      <c r="AK61" t="str">
        <f ca="1">IF(E61="4", HELPER!$B$94 &amp;  "." &amp; A61,"")</f>
        <v/>
      </c>
      <c r="AL61" t="str">
        <f ca="1">IF(E61="4", HELPER!$B$93 &amp;  "." &amp; A61,"")</f>
        <v/>
      </c>
      <c r="AM61" t="str">
        <f t="shared" ca="1" si="62"/>
        <v/>
      </c>
      <c r="AN61" t="str">
        <f t="shared" ca="1" si="63"/>
        <v/>
      </c>
      <c r="AO61" t="str">
        <f ca="1">IF(A61&lt;&gt;"", IF(OR(F61="1",H61="1",I61="1"),""," "&amp; HELPER!$B$94 &amp; "." &amp; A61),"")</f>
        <v/>
      </c>
      <c r="AP61" t="str">
        <f t="shared" ca="1" si="64"/>
        <v/>
      </c>
      <c r="AQ61" t="str">
        <f t="shared" ca="1" si="95"/>
        <v/>
      </c>
      <c r="AS61" t="str">
        <f ca="1">IF(A61="","",  HELPER!$B$94 &amp;  "." &amp; A61)</f>
        <v/>
      </c>
      <c r="AT61" t="str">
        <f t="shared" ca="1" si="65"/>
        <v/>
      </c>
      <c r="AU61" t="str">
        <f t="shared" ca="1" si="66"/>
        <v/>
      </c>
      <c r="AV61" s="190" t="str">
        <f t="shared" ca="1" si="67"/>
        <v/>
      </c>
      <c r="AW61" t="str">
        <f t="shared" ca="1" si="68"/>
        <v/>
      </c>
      <c r="AY61" t="str">
        <f t="shared" ca="1" si="69"/>
        <v/>
      </c>
      <c r="BF61" t="str">
        <f t="shared" ca="1" si="73"/>
        <v/>
      </c>
      <c r="BH61" s="285" t="str">
        <f t="shared" ca="1" si="90"/>
        <v/>
      </c>
      <c r="BI61" t="str">
        <f t="shared" ca="1" si="75"/>
        <v/>
      </c>
      <c r="BJ61" t="str">
        <f t="shared" ca="1" si="76"/>
        <v/>
      </c>
      <c r="BK61" t="str">
        <f t="shared" ca="1" si="91"/>
        <v/>
      </c>
      <c r="BM61" t="str">
        <f t="shared" ca="1" si="92"/>
        <v/>
      </c>
      <c r="BN61" t="str">
        <f t="shared" ca="1" si="93"/>
        <v/>
      </c>
      <c r="BO61" t="str">
        <f t="shared" ca="1" si="78"/>
        <v/>
      </c>
      <c r="BP61" t="b">
        <f ca="1">COUNTIF(COLHELPER!A61:'COLHELPER'!A61,COLHELPER!A61)&gt;1</f>
        <v>0</v>
      </c>
      <c r="BQ61">
        <f t="shared" ca="1" si="79"/>
        <v>0</v>
      </c>
      <c r="BR61" s="290" t="str">
        <f t="shared" ca="1" si="48"/>
        <v/>
      </c>
      <c r="BS61" t="str">
        <f t="shared" ca="1" si="80"/>
        <v/>
      </c>
      <c r="BT61" t="str">
        <f t="shared" ca="1" si="94"/>
        <v/>
      </c>
      <c r="BU61" t="str">
        <f t="shared" ca="1" si="81"/>
        <v/>
      </c>
      <c r="BV61">
        <f t="shared" ca="1" si="82"/>
        <v>0</v>
      </c>
      <c r="BW61" t="str">
        <f t="shared" ca="1" si="83"/>
        <v/>
      </c>
      <c r="BX61" t="str">
        <f t="shared" ca="1" si="84"/>
        <v/>
      </c>
      <c r="BY61" t="str">
        <f ca="1">IF(R61="","",IF(R61&gt;Options!$B$3,"ALTER TABLE "&amp;HELPER!$B$4&amp;" ADD COLUMNS ("&amp;A61&amp;" "&amp;C61&amp;")",""))</f>
        <v/>
      </c>
      <c r="BZ61" t="str">
        <f ca="1">IF(R61="","",IF(R61&gt;Options!$B$3,A61,""))</f>
        <v/>
      </c>
      <c r="CA61" t="str">
        <f ca="1">IF(R61="","",IF(R61&gt;Options!$B$3,B61,""))</f>
        <v/>
      </c>
      <c r="CB61" t="str">
        <f t="shared" ca="1" si="85"/>
        <v/>
      </c>
      <c r="CC61">
        <f t="shared" ca="1" si="86"/>
        <v>0</v>
      </c>
      <c r="CD61" t="str">
        <f ca="1">IF(J61="","",Options!$B$23 &amp; "." &amp; J61)</f>
        <v/>
      </c>
    </row>
    <row r="62" spans="1:82">
      <c r="A62" s="161" t="str">
        <f t="array" aca="1" ref="A62" ca="1">IF(TRIM(INDIRECT("Columns!A62")) ="","",TRIM(INDIRECT("Columns!A62")))</f>
        <v/>
      </c>
      <c r="B62" s="161" t="str">
        <f t="shared" ca="1" si="49"/>
        <v/>
      </c>
      <c r="C62" s="161" t="str">
        <f t="shared" ca="1" si="50"/>
        <v/>
      </c>
      <c r="D62" s="161" t="str">
        <f t="shared" ca="1" si="51"/>
        <v/>
      </c>
      <c r="E62" s="161" t="str">
        <f t="array" aca="1" ref="E62" ca="1">IF(TRIM(INDIRECT("Columns!E62"))="","",TRIM(INDIRECT("Columns!E62")))</f>
        <v/>
      </c>
      <c r="F62" s="161" t="str">
        <f t="array" aca="1" ref="F62" ca="1">IF(TRIM(INDIRECT("Columns!G62"))="","",TRIM(INDIRECT("Columns!G62")))</f>
        <v/>
      </c>
      <c r="G62" s="161" t="str">
        <f t="array" aca="1" ref="G62" ca="1">IF(TRIM(INDIRECT("Columns!F62"))="","",TRIM(INDIRECT("Columns!F62")))</f>
        <v/>
      </c>
      <c r="H62" s="161" t="str">
        <f t="array" aca="1" ref="H62" ca="1">IF(TRIM(INDIRECT("Columns!H62"))="","",TRIM(INDIRECT("Columns!H62")))</f>
        <v/>
      </c>
      <c r="I62" s="161" t="str">
        <f t="array" aca="1" ref="I62" ca="1">IF(TRIM(INDIRECT("Columns!I62"))="","",TRIM(INDIRECT("Columns!I62")))</f>
        <v/>
      </c>
      <c r="J62" s="161" t="str">
        <f t="array" aca="1" ref="J62" ca="1">IF(TRIM(INDIRECT("Columns!J62"))="","",TRIM(INDIRECT("Columns!J62")))</f>
        <v/>
      </c>
      <c r="K62" s="161" t="str">
        <f t="array" aca="1" ref="K62" ca="1">IF(TRIM(INDIRECT("Columns!K62"))="","",TRIM(INDIRECT("Columns!K62")))</f>
        <v/>
      </c>
      <c r="L62" s="161" t="str">
        <f t="array" aca="1" ref="L62" ca="1">IF(TRIM(INDIRECT("Columns!L62"))="","",TRIM(INDIRECT("Columns!L62")))</f>
        <v/>
      </c>
      <c r="M62" s="161" t="str">
        <f t="array" aca="1" ref="M62" ca="1">IF(TRIM(INDIRECT("Columns!M62"))="","",TRIM(INDIRECT("Columns!M62")))</f>
        <v/>
      </c>
      <c r="N62" s="161" t="str">
        <f t="array" aca="1" ref="N62" ca="1">IF(TRIM(INDIRECT("Columns!N62"))="","",TRIM(INDIRECT("Columns!N62")))</f>
        <v/>
      </c>
      <c r="O62" s="227" t="str">
        <f t="array" aca="1" ref="O62" ca="1">IF(TRIM(INDIRECT("Columns!B62"))="","",TRIM(INDIRECT("Columns!B62")))</f>
        <v/>
      </c>
      <c r="P62" s="227" t="str">
        <f t="array" aca="1" ref="P62" ca="1">IF(TRIM(INDIRECT("Columns!C62"))="","",TRIM(INDIRECT("Columns!C62")))</f>
        <v/>
      </c>
      <c r="Q62" s="227" t="str">
        <f t="array" aca="1" ref="Q62" ca="1">IF(TRIM(INDIRECT("Columns!D62"))="","",TRIM(INDIRECT("Columns!D62")))</f>
        <v/>
      </c>
      <c r="R62" s="227" t="str">
        <f t="array" aca="1" ref="R62" ca="1">IF(TRIM(INDIRECT("Columns!O62"))="","",TRIM(INDIRECT("Columns!O62")))</f>
        <v/>
      </c>
      <c r="S62" t="str">
        <f t="shared" ca="1" si="52"/>
        <v/>
      </c>
      <c r="T62" t="str">
        <f t="shared" ca="1" si="53"/>
        <v/>
      </c>
      <c r="U62" t="str">
        <f t="shared" ca="1" si="54"/>
        <v/>
      </c>
      <c r="V62" t="str">
        <f t="shared" ca="1" si="55"/>
        <v/>
      </c>
      <c r="W62" t="str">
        <f t="shared" ca="1" si="56"/>
        <v/>
      </c>
      <c r="X62" t="str">
        <f t="shared" ca="1" si="57"/>
        <v/>
      </c>
      <c r="Y62" t="str">
        <f t="shared" ca="1" si="58"/>
        <v/>
      </c>
      <c r="Z62" t="str">
        <f t="shared" ca="1" si="87"/>
        <v/>
      </c>
      <c r="AA62" t="str">
        <f ca="1">IF(E62="1",   IF( A62="","",IF(OR(F62="1",H62="1",I62="1"),"","COALESCE (CAST("&amp;A62&amp;" as varchar(" &amp; Options!$B$49&amp; ")),'')")),"")</f>
        <v/>
      </c>
      <c r="AB62" t="str">
        <f ca="1">IF(E62="1", IF(C62="string",  IF( A62="","",IF(OR(F62="1",H62="1",I62="1"),"","COALESCE (CAST(lower("&amp;A62&amp;") as varchar(" &amp;Options!$B$49 &amp; ")),'')")),AA62),"")</f>
        <v/>
      </c>
      <c r="AC62" t="str">
        <f ca="1">IF(E62="4",   IF( A62="","",IF(OR(F62="1",H62="1",I62="1"),"","COALESCE (CAST("  &amp;A62&amp;" as varchar(" &amp; Options!$B$49&amp; ")),'')")),"")</f>
        <v/>
      </c>
      <c r="AD62" t="str">
        <f ca="1">IF(E62="4",   IF( A62="","",IF(OR(F62="1",H62="1",I62="1"),"","COALESCE (CAST(" &amp; HELPER!$B$94 &amp; "."  &amp;A62&amp;" as varchar(" &amp; Options!$B$49&amp; ")),'')")),"")</f>
        <v/>
      </c>
      <c r="AE62" t="str">
        <f t="shared" ca="1" si="59"/>
        <v/>
      </c>
      <c r="AF62" t="str">
        <f ca="1">IF(AE62&lt;&gt;"", HELPER!$B$93 &amp;  "." &amp; AE62,"")</f>
        <v/>
      </c>
      <c r="AG62" t="str">
        <f ca="1">IF(AE62&lt;&gt;"", HELPER!$B$94 &amp; "." &amp; AE62,"")</f>
        <v/>
      </c>
      <c r="AH62" t="str">
        <f t="shared" ca="1" si="88"/>
        <v/>
      </c>
      <c r="AI62" t="str">
        <f t="shared" ca="1" si="60"/>
        <v/>
      </c>
      <c r="AJ62" t="str">
        <f t="shared" ca="1" si="61"/>
        <v/>
      </c>
      <c r="AK62" t="str">
        <f ca="1">IF(E62="4", HELPER!$B$94 &amp;  "." &amp; A62,"")</f>
        <v/>
      </c>
      <c r="AL62" t="str">
        <f ca="1">IF(E62="4", HELPER!$B$93 &amp;  "." &amp; A62,"")</f>
        <v/>
      </c>
      <c r="AM62" t="str">
        <f t="shared" ca="1" si="62"/>
        <v/>
      </c>
      <c r="AN62" t="str">
        <f t="shared" ca="1" si="63"/>
        <v/>
      </c>
      <c r="AO62" t="str">
        <f ca="1">IF(A62&lt;&gt;"", IF(OR(F62="1",H62="1",I62="1"),""," "&amp; HELPER!$B$94 &amp; "." &amp; A62),"")</f>
        <v/>
      </c>
      <c r="AP62" t="str">
        <f t="shared" ca="1" si="64"/>
        <v/>
      </c>
      <c r="AQ62" t="str">
        <f t="shared" ca="1" si="95"/>
        <v/>
      </c>
      <c r="AS62" t="str">
        <f ca="1">IF(A62="","",  HELPER!$B$94 &amp;  "." &amp; A62)</f>
        <v/>
      </c>
      <c r="AT62" t="str">
        <f t="shared" ca="1" si="65"/>
        <v/>
      </c>
      <c r="AU62" t="str">
        <f t="shared" ca="1" si="66"/>
        <v/>
      </c>
      <c r="AV62" s="190" t="str">
        <f t="shared" ca="1" si="67"/>
        <v/>
      </c>
      <c r="AW62" t="str">
        <f t="shared" ca="1" si="68"/>
        <v/>
      </c>
      <c r="AY62" t="str">
        <f t="shared" ca="1" si="69"/>
        <v/>
      </c>
      <c r="BF62" t="str">
        <f t="shared" ca="1" si="73"/>
        <v/>
      </c>
      <c r="BH62" s="285" t="str">
        <f t="shared" ca="1" si="90"/>
        <v/>
      </c>
      <c r="BI62" t="str">
        <f t="shared" ca="1" si="75"/>
        <v/>
      </c>
      <c r="BJ62" t="str">
        <f t="shared" ca="1" si="76"/>
        <v/>
      </c>
      <c r="BK62" t="str">
        <f t="shared" ca="1" si="91"/>
        <v/>
      </c>
      <c r="BM62" t="str">
        <f t="shared" ca="1" si="92"/>
        <v/>
      </c>
      <c r="BN62" t="str">
        <f t="shared" ca="1" si="93"/>
        <v/>
      </c>
      <c r="BO62" t="str">
        <f t="shared" ca="1" si="78"/>
        <v/>
      </c>
      <c r="BP62" t="b">
        <f ca="1">COUNTIF(COLHELPER!A62:'COLHELPER'!A62,COLHELPER!A62)&gt;1</f>
        <v>0</v>
      </c>
      <c r="BQ62">
        <f t="shared" ca="1" si="79"/>
        <v>0</v>
      </c>
      <c r="BR62" s="290" t="str">
        <f t="shared" ca="1" si="48"/>
        <v/>
      </c>
      <c r="BS62" t="str">
        <f t="shared" ca="1" si="80"/>
        <v/>
      </c>
      <c r="BT62" t="str">
        <f t="shared" ca="1" si="94"/>
        <v/>
      </c>
      <c r="BU62" t="str">
        <f t="shared" ca="1" si="81"/>
        <v/>
      </c>
      <c r="BV62">
        <f t="shared" ca="1" si="82"/>
        <v>0</v>
      </c>
      <c r="BW62" t="str">
        <f t="shared" ca="1" si="83"/>
        <v/>
      </c>
      <c r="BX62" t="str">
        <f t="shared" ca="1" si="84"/>
        <v/>
      </c>
      <c r="BY62" t="str">
        <f ca="1">IF(R62="","",IF(R62&gt;Options!$B$3,"ALTER TABLE "&amp;HELPER!$B$4&amp;" ADD COLUMNS ("&amp;A62&amp;" "&amp;C62&amp;")",""))</f>
        <v/>
      </c>
      <c r="BZ62" t="str">
        <f ca="1">IF(R62="","",IF(R62&gt;Options!$B$3,A62,""))</f>
        <v/>
      </c>
      <c r="CA62" t="str">
        <f ca="1">IF(R62="","",IF(R62&gt;Options!$B$3,B62,""))</f>
        <v/>
      </c>
      <c r="CB62" t="str">
        <f t="shared" ca="1" si="85"/>
        <v/>
      </c>
      <c r="CC62">
        <f t="shared" ca="1" si="86"/>
        <v>0</v>
      </c>
      <c r="CD62" t="str">
        <f ca="1">IF(J62="","",Options!$B$23 &amp; "." &amp; J62)</f>
        <v/>
      </c>
    </row>
    <row r="63" spans="1:82">
      <c r="A63" s="161" t="str">
        <f t="array" aca="1" ref="A63" ca="1">IF(TRIM(INDIRECT("Columns!A63")) ="","",TRIM(INDIRECT("Columns!A63")))</f>
        <v/>
      </c>
      <c r="B63" s="161" t="str">
        <f t="shared" ca="1" si="49"/>
        <v/>
      </c>
      <c r="C63" s="161" t="str">
        <f t="shared" ca="1" si="50"/>
        <v/>
      </c>
      <c r="D63" s="161" t="str">
        <f t="shared" ca="1" si="51"/>
        <v/>
      </c>
      <c r="E63" s="161" t="str">
        <f t="array" aca="1" ref="E63" ca="1">IF(TRIM(INDIRECT("Columns!E63"))="","",TRIM(INDIRECT("Columns!E63")))</f>
        <v/>
      </c>
      <c r="F63" s="161" t="str">
        <f t="array" aca="1" ref="F63" ca="1">IF(TRIM(INDIRECT("Columns!G63"))="","",TRIM(INDIRECT("Columns!G63")))</f>
        <v/>
      </c>
      <c r="G63" s="161" t="str">
        <f t="array" aca="1" ref="G63" ca="1">IF(TRIM(INDIRECT("Columns!F63"))="","",TRIM(INDIRECT("Columns!F63")))</f>
        <v/>
      </c>
      <c r="H63" s="161" t="str">
        <f t="array" aca="1" ref="H63" ca="1">IF(TRIM(INDIRECT("Columns!H63"))="","",TRIM(INDIRECT("Columns!H63")))</f>
        <v/>
      </c>
      <c r="I63" s="161" t="str">
        <f t="array" aca="1" ref="I63" ca="1">IF(TRIM(INDIRECT("Columns!I63"))="","",TRIM(INDIRECT("Columns!I63")))</f>
        <v/>
      </c>
      <c r="J63" s="161" t="str">
        <f t="array" aca="1" ref="J63" ca="1">IF(TRIM(INDIRECT("Columns!J63"))="","",TRIM(INDIRECT("Columns!J63")))</f>
        <v/>
      </c>
      <c r="K63" s="161" t="str">
        <f t="array" aca="1" ref="K63" ca="1">IF(TRIM(INDIRECT("Columns!K63"))="","",TRIM(INDIRECT("Columns!K63")))</f>
        <v/>
      </c>
      <c r="L63" s="161" t="str">
        <f t="array" aca="1" ref="L63" ca="1">IF(TRIM(INDIRECT("Columns!L63"))="","",TRIM(INDIRECT("Columns!L63")))</f>
        <v/>
      </c>
      <c r="M63" s="161" t="str">
        <f t="array" aca="1" ref="M63" ca="1">IF(TRIM(INDIRECT("Columns!M63"))="","",TRIM(INDIRECT("Columns!M63")))</f>
        <v/>
      </c>
      <c r="N63" s="161" t="str">
        <f t="array" aca="1" ref="N63" ca="1">IF(TRIM(INDIRECT("Columns!N63"))="","",TRIM(INDIRECT("Columns!N63")))</f>
        <v/>
      </c>
      <c r="O63" s="227" t="str">
        <f t="array" aca="1" ref="O63" ca="1">IF(TRIM(INDIRECT("Columns!B63"))="","",TRIM(INDIRECT("Columns!B63")))</f>
        <v/>
      </c>
      <c r="P63" s="227" t="str">
        <f t="array" aca="1" ref="P63" ca="1">IF(TRIM(INDIRECT("Columns!C63"))="","",TRIM(INDIRECT("Columns!C63")))</f>
        <v/>
      </c>
      <c r="Q63" s="227" t="str">
        <f t="array" aca="1" ref="Q63" ca="1">IF(TRIM(INDIRECT("Columns!D63"))="","",TRIM(INDIRECT("Columns!D63")))</f>
        <v/>
      </c>
      <c r="R63" s="227" t="str">
        <f t="array" aca="1" ref="R63" ca="1">IF(TRIM(INDIRECT("Columns!O63"))="","",TRIM(INDIRECT("Columns!O63")))</f>
        <v/>
      </c>
      <c r="S63" t="str">
        <f t="shared" ca="1" si="52"/>
        <v/>
      </c>
      <c r="T63" t="str">
        <f t="shared" ca="1" si="53"/>
        <v/>
      </c>
      <c r="U63" t="str">
        <f t="shared" ca="1" si="54"/>
        <v/>
      </c>
      <c r="V63" t="str">
        <f t="shared" ca="1" si="55"/>
        <v/>
      </c>
      <c r="W63" t="str">
        <f t="shared" ca="1" si="56"/>
        <v/>
      </c>
      <c r="X63" t="str">
        <f t="shared" ca="1" si="57"/>
        <v/>
      </c>
      <c r="Y63" t="str">
        <f t="shared" ca="1" si="58"/>
        <v/>
      </c>
      <c r="Z63" t="str">
        <f t="shared" ca="1" si="87"/>
        <v/>
      </c>
      <c r="AA63" t="str">
        <f ca="1">IF(E63="1",   IF( A63="","",IF(OR(F63="1",H63="1",I63="1"),"","COALESCE (CAST("&amp;A63&amp;" as varchar(" &amp; Options!$B$49&amp; ")),'')")),"")</f>
        <v/>
      </c>
      <c r="AB63" t="str">
        <f ca="1">IF(E63="1", IF(C63="string",  IF( A63="","",IF(OR(F63="1",H63="1",I63="1"),"","COALESCE (CAST(lower("&amp;A63&amp;") as varchar(" &amp;Options!$B$49 &amp; ")),'')")),AA63),"")</f>
        <v/>
      </c>
      <c r="AC63" t="str">
        <f ca="1">IF(E63="4",   IF( A63="","",IF(OR(F63="1",H63="1",I63="1"),"","COALESCE (CAST("  &amp;A63&amp;" as varchar(" &amp; Options!$B$49&amp; ")),'')")),"")</f>
        <v/>
      </c>
      <c r="AD63" t="str">
        <f ca="1">IF(E63="4",   IF( A63="","",IF(OR(F63="1",H63="1",I63="1"),"","COALESCE (CAST(" &amp; HELPER!$B$94 &amp; "."  &amp;A63&amp;" as varchar(" &amp; Options!$B$49&amp; ")),'')")),"")</f>
        <v/>
      </c>
      <c r="AE63" t="str">
        <f t="shared" ca="1" si="59"/>
        <v/>
      </c>
      <c r="AF63" t="str">
        <f ca="1">IF(AE63&lt;&gt;"", HELPER!$B$93 &amp;  "." &amp; AE63,"")</f>
        <v/>
      </c>
      <c r="AG63" t="str">
        <f ca="1">IF(AE63&lt;&gt;"", HELPER!$B$94 &amp; "." &amp; AE63,"")</f>
        <v/>
      </c>
      <c r="AH63" t="str">
        <f t="shared" ca="1" si="88"/>
        <v/>
      </c>
      <c r="AI63" t="str">
        <f t="shared" ca="1" si="60"/>
        <v/>
      </c>
      <c r="AJ63" t="str">
        <f t="shared" ca="1" si="61"/>
        <v/>
      </c>
      <c r="AK63" t="str">
        <f ca="1">IF(E63="4", HELPER!$B$94 &amp;  "." &amp; A63,"")</f>
        <v/>
      </c>
      <c r="AL63" t="str">
        <f ca="1">IF(E63="4", HELPER!$B$93 &amp;  "." &amp; A63,"")</f>
        <v/>
      </c>
      <c r="AM63" t="str">
        <f t="shared" ca="1" si="62"/>
        <v/>
      </c>
      <c r="AN63" t="str">
        <f t="shared" ca="1" si="63"/>
        <v/>
      </c>
      <c r="AO63" t="str">
        <f ca="1">IF(A63&lt;&gt;"", IF(OR(F63="1",H63="1",I63="1"),""," "&amp; HELPER!$B$94 &amp; "." &amp; A63),"")</f>
        <v/>
      </c>
      <c r="AP63" t="str">
        <f t="shared" ca="1" si="64"/>
        <v/>
      </c>
      <c r="AQ63" t="str">
        <f t="shared" ca="1" si="95"/>
        <v/>
      </c>
      <c r="AS63" t="str">
        <f ca="1">IF(A63="","",  HELPER!$B$94 &amp;  "." &amp; A63)</f>
        <v/>
      </c>
      <c r="AT63" t="str">
        <f t="shared" ca="1" si="65"/>
        <v/>
      </c>
      <c r="AU63" t="str">
        <f t="shared" ca="1" si="66"/>
        <v/>
      </c>
      <c r="AV63" s="190" t="str">
        <f t="shared" ca="1" si="67"/>
        <v/>
      </c>
      <c r="AW63" t="str">
        <f t="shared" ca="1" si="68"/>
        <v/>
      </c>
      <c r="AY63" t="str">
        <f t="shared" ca="1" si="69"/>
        <v/>
      </c>
      <c r="BF63" t="str">
        <f t="shared" ca="1" si="73"/>
        <v/>
      </c>
      <c r="BH63" s="285" t="str">
        <f t="shared" ca="1" si="90"/>
        <v/>
      </c>
      <c r="BI63" t="str">
        <f t="shared" ca="1" si="75"/>
        <v/>
      </c>
      <c r="BJ63" t="str">
        <f t="shared" ca="1" si="76"/>
        <v/>
      </c>
      <c r="BK63" t="str">
        <f t="shared" ca="1" si="91"/>
        <v/>
      </c>
      <c r="BM63" t="str">
        <f t="shared" ca="1" si="92"/>
        <v/>
      </c>
      <c r="BN63" t="str">
        <f t="shared" ca="1" si="93"/>
        <v/>
      </c>
      <c r="BO63" t="str">
        <f t="shared" ca="1" si="78"/>
        <v/>
      </c>
      <c r="BP63" t="b">
        <f ca="1">COUNTIF(COLHELPER!A63:'COLHELPER'!A63,COLHELPER!A63)&gt;1</f>
        <v>0</v>
      </c>
      <c r="BQ63">
        <f t="shared" ca="1" si="79"/>
        <v>0</v>
      </c>
      <c r="BR63" s="290" t="str">
        <f t="shared" ca="1" si="48"/>
        <v/>
      </c>
      <c r="BS63" t="str">
        <f t="shared" ca="1" si="80"/>
        <v/>
      </c>
      <c r="BT63" t="str">
        <f t="shared" ca="1" si="94"/>
        <v/>
      </c>
      <c r="BU63" t="str">
        <f t="shared" ca="1" si="81"/>
        <v/>
      </c>
      <c r="BV63">
        <f t="shared" ca="1" si="82"/>
        <v>0</v>
      </c>
      <c r="BW63" t="str">
        <f t="shared" ca="1" si="83"/>
        <v/>
      </c>
      <c r="BX63" t="str">
        <f t="shared" ca="1" si="84"/>
        <v/>
      </c>
      <c r="BY63" t="str">
        <f ca="1">IF(R63="","",IF(R63&gt;Options!$B$3,"ALTER TABLE "&amp;HELPER!$B$4&amp;" ADD COLUMNS ("&amp;A63&amp;" "&amp;C63&amp;")",""))</f>
        <v/>
      </c>
      <c r="BZ63" t="str">
        <f ca="1">IF(R63="","",IF(R63&gt;Options!$B$3,A63,""))</f>
        <v/>
      </c>
      <c r="CA63" t="str">
        <f ca="1">IF(R63="","",IF(R63&gt;Options!$B$3,B63,""))</f>
        <v/>
      </c>
      <c r="CB63" t="str">
        <f t="shared" ca="1" si="85"/>
        <v/>
      </c>
      <c r="CC63">
        <f t="shared" ca="1" si="86"/>
        <v>0</v>
      </c>
      <c r="CD63" t="str">
        <f ca="1">IF(J63="","",Options!$B$23 &amp; "." &amp; J63)</f>
        <v/>
      </c>
    </row>
    <row r="64" spans="1:82">
      <c r="A64" s="161" t="str">
        <f t="array" aca="1" ref="A64" ca="1">IF(TRIM(INDIRECT("Columns!A64")) ="","",TRIM(INDIRECT("Columns!A64")))</f>
        <v/>
      </c>
      <c r="B64" s="161" t="str">
        <f t="shared" ca="1" si="49"/>
        <v/>
      </c>
      <c r="C64" s="161" t="str">
        <f t="shared" ca="1" si="50"/>
        <v/>
      </c>
      <c r="D64" s="161" t="str">
        <f t="shared" ca="1" si="51"/>
        <v/>
      </c>
      <c r="E64" s="161" t="str">
        <f t="array" aca="1" ref="E64" ca="1">IF(TRIM(INDIRECT("Columns!E64"))="","",TRIM(INDIRECT("Columns!E64")))</f>
        <v/>
      </c>
      <c r="F64" s="161" t="str">
        <f t="array" aca="1" ref="F64" ca="1">IF(TRIM(INDIRECT("Columns!G64"))="","",TRIM(INDIRECT("Columns!G64")))</f>
        <v/>
      </c>
      <c r="G64" s="161" t="str">
        <f t="array" aca="1" ref="G64" ca="1">IF(TRIM(INDIRECT("Columns!F64"))="","",TRIM(INDIRECT("Columns!F64")))</f>
        <v/>
      </c>
      <c r="H64" s="161" t="str">
        <f t="array" aca="1" ref="H64" ca="1">IF(TRIM(INDIRECT("Columns!H64"))="","",TRIM(INDIRECT("Columns!H64")))</f>
        <v/>
      </c>
      <c r="I64" s="161" t="str">
        <f t="array" aca="1" ref="I64" ca="1">IF(TRIM(INDIRECT("Columns!I64"))="","",TRIM(INDIRECT("Columns!I64")))</f>
        <v/>
      </c>
      <c r="J64" s="161" t="str">
        <f t="array" aca="1" ref="J64" ca="1">IF(TRIM(INDIRECT("Columns!J64"))="","",TRIM(INDIRECT("Columns!J64")))</f>
        <v/>
      </c>
      <c r="K64" s="161" t="str">
        <f t="array" aca="1" ref="K64" ca="1">IF(TRIM(INDIRECT("Columns!K64"))="","",TRIM(INDIRECT("Columns!K64")))</f>
        <v/>
      </c>
      <c r="L64" s="161" t="str">
        <f t="array" aca="1" ref="L64" ca="1">IF(TRIM(INDIRECT("Columns!L64"))="","",TRIM(INDIRECT("Columns!L64")))</f>
        <v/>
      </c>
      <c r="M64" s="161" t="str">
        <f t="array" aca="1" ref="M64" ca="1">IF(TRIM(INDIRECT("Columns!M64"))="","",TRIM(INDIRECT("Columns!M64")))</f>
        <v/>
      </c>
      <c r="N64" s="161" t="str">
        <f t="array" aca="1" ref="N64" ca="1">IF(TRIM(INDIRECT("Columns!N64"))="","",TRIM(INDIRECT("Columns!N64")))</f>
        <v/>
      </c>
      <c r="O64" s="227" t="str">
        <f t="array" aca="1" ref="O64" ca="1">IF(TRIM(INDIRECT("Columns!B64"))="","",TRIM(INDIRECT("Columns!B64")))</f>
        <v/>
      </c>
      <c r="P64" s="227" t="str">
        <f t="array" aca="1" ref="P64" ca="1">IF(TRIM(INDIRECT("Columns!C64"))="","",TRIM(INDIRECT("Columns!C64")))</f>
        <v/>
      </c>
      <c r="Q64" s="227" t="str">
        <f t="array" aca="1" ref="Q64" ca="1">IF(TRIM(INDIRECT("Columns!D64"))="","",TRIM(INDIRECT("Columns!D64")))</f>
        <v/>
      </c>
      <c r="R64" s="227" t="str">
        <f t="array" aca="1" ref="R64" ca="1">IF(TRIM(INDIRECT("Columns!O64"))="","",TRIM(INDIRECT("Columns!O64")))</f>
        <v/>
      </c>
      <c r="S64" t="str">
        <f t="shared" ca="1" si="52"/>
        <v/>
      </c>
      <c r="T64" t="str">
        <f t="shared" ca="1" si="53"/>
        <v/>
      </c>
      <c r="U64" t="str">
        <f t="shared" ca="1" si="54"/>
        <v/>
      </c>
      <c r="V64" t="str">
        <f t="shared" ca="1" si="55"/>
        <v/>
      </c>
      <c r="W64" t="str">
        <f t="shared" ca="1" si="56"/>
        <v/>
      </c>
      <c r="X64" t="str">
        <f t="shared" ca="1" si="57"/>
        <v/>
      </c>
      <c r="Y64" t="str">
        <f t="shared" ca="1" si="58"/>
        <v/>
      </c>
      <c r="Z64" t="str">
        <f t="shared" ca="1" si="87"/>
        <v/>
      </c>
      <c r="AA64" t="str">
        <f ca="1">IF(E64="1",   IF( A64="","",IF(OR(F64="1",H64="1",I64="1"),"","COALESCE (CAST("&amp;A64&amp;" as varchar(" &amp; Options!$B$49&amp; ")),'')")),"")</f>
        <v/>
      </c>
      <c r="AB64" t="str">
        <f ca="1">IF(E64="1", IF(C64="string",  IF( A64="","",IF(OR(F64="1",H64="1",I64="1"),"","COALESCE (CAST(lower("&amp;A64&amp;") as varchar(" &amp;Options!$B$49 &amp; ")),'')")),AA64),"")</f>
        <v/>
      </c>
      <c r="AC64" t="str">
        <f ca="1">IF(E64="4",   IF( A64="","",IF(OR(F64="1",H64="1",I64="1"),"","COALESCE (CAST("  &amp;A64&amp;" as varchar(" &amp; Options!$B$49&amp; ")),'')")),"")</f>
        <v/>
      </c>
      <c r="AD64" t="str">
        <f ca="1">IF(E64="4",   IF( A64="","",IF(OR(F64="1",H64="1",I64="1"),"","COALESCE (CAST(" &amp; HELPER!$B$94 &amp; "."  &amp;A64&amp;" as varchar(" &amp; Options!$B$49&amp; ")),'')")),"")</f>
        <v/>
      </c>
      <c r="AE64" t="str">
        <f t="shared" ca="1" si="59"/>
        <v/>
      </c>
      <c r="AF64" t="str">
        <f ca="1">IF(AE64&lt;&gt;"", HELPER!$B$93 &amp;  "." &amp; AE64,"")</f>
        <v/>
      </c>
      <c r="AG64" t="str">
        <f ca="1">IF(AE64&lt;&gt;"", HELPER!$B$94 &amp; "." &amp; AE64,"")</f>
        <v/>
      </c>
      <c r="AH64" t="str">
        <f t="shared" ca="1" si="88"/>
        <v/>
      </c>
      <c r="AI64" t="str">
        <f t="shared" ca="1" si="60"/>
        <v/>
      </c>
      <c r="AJ64" t="str">
        <f t="shared" ca="1" si="61"/>
        <v/>
      </c>
      <c r="AK64" t="str">
        <f ca="1">IF(E64="4", HELPER!$B$94 &amp;  "." &amp; A64,"")</f>
        <v/>
      </c>
      <c r="AL64" t="str">
        <f ca="1">IF(E64="4", HELPER!$B$93 &amp;  "." &amp; A64,"")</f>
        <v/>
      </c>
      <c r="AM64" t="str">
        <f t="shared" ca="1" si="62"/>
        <v/>
      </c>
      <c r="AN64" t="str">
        <f t="shared" ca="1" si="63"/>
        <v/>
      </c>
      <c r="AO64" t="str">
        <f ca="1">IF(A64&lt;&gt;"", IF(OR(F64="1",H64="1",I64="1"),""," "&amp; HELPER!$B$94 &amp; "." &amp; A64),"")</f>
        <v/>
      </c>
      <c r="AP64" t="str">
        <f t="shared" ca="1" si="64"/>
        <v/>
      </c>
      <c r="AQ64" t="str">
        <f t="shared" ca="1" si="95"/>
        <v/>
      </c>
      <c r="AS64" t="str">
        <f ca="1">IF(A64="","",  HELPER!$B$94 &amp;  "." &amp; A64)</f>
        <v/>
      </c>
      <c r="AT64" t="str">
        <f t="shared" ca="1" si="65"/>
        <v/>
      </c>
      <c r="AU64" t="str">
        <f t="shared" ca="1" si="66"/>
        <v/>
      </c>
      <c r="AV64" s="190" t="str">
        <f t="shared" ca="1" si="67"/>
        <v/>
      </c>
      <c r="AW64" t="str">
        <f t="shared" ca="1" si="68"/>
        <v/>
      </c>
      <c r="AY64" t="str">
        <f t="shared" ca="1" si="69"/>
        <v/>
      </c>
      <c r="BF64" t="str">
        <f t="shared" ca="1" si="73"/>
        <v/>
      </c>
      <c r="BH64" s="285" t="str">
        <f t="shared" ca="1" si="90"/>
        <v/>
      </c>
      <c r="BI64" t="str">
        <f t="shared" ca="1" si="75"/>
        <v/>
      </c>
      <c r="BJ64" t="str">
        <f t="shared" ca="1" si="76"/>
        <v/>
      </c>
      <c r="BK64" t="str">
        <f t="shared" ca="1" si="91"/>
        <v/>
      </c>
      <c r="BM64" t="str">
        <f t="shared" ca="1" si="92"/>
        <v/>
      </c>
      <c r="BN64" t="str">
        <f t="shared" ca="1" si="93"/>
        <v/>
      </c>
      <c r="BO64" t="str">
        <f t="shared" ca="1" si="78"/>
        <v/>
      </c>
      <c r="BP64" t="b">
        <f ca="1">COUNTIF(COLHELPER!A64:'COLHELPER'!A64,COLHELPER!A64)&gt;1</f>
        <v>0</v>
      </c>
      <c r="BQ64">
        <f t="shared" ca="1" si="79"/>
        <v>0</v>
      </c>
      <c r="BR64" s="290" t="str">
        <f t="shared" ca="1" si="48"/>
        <v/>
      </c>
      <c r="BS64" t="str">
        <f t="shared" ca="1" si="80"/>
        <v/>
      </c>
      <c r="BT64" t="str">
        <f t="shared" ca="1" si="94"/>
        <v/>
      </c>
      <c r="BU64" t="str">
        <f t="shared" ca="1" si="81"/>
        <v/>
      </c>
      <c r="BV64">
        <f t="shared" ca="1" si="82"/>
        <v>0</v>
      </c>
      <c r="BW64" t="str">
        <f t="shared" ca="1" si="83"/>
        <v/>
      </c>
      <c r="BX64" t="str">
        <f t="shared" ca="1" si="84"/>
        <v/>
      </c>
      <c r="BY64" t="str">
        <f ca="1">IF(R64="","",IF(R64&gt;Options!$B$3,"ALTER TABLE "&amp;HELPER!$B$4&amp;" ADD COLUMNS ("&amp;A64&amp;" "&amp;C64&amp;")",""))</f>
        <v/>
      </c>
      <c r="BZ64" t="str">
        <f ca="1">IF(R64="","",IF(R64&gt;Options!$B$3,A64,""))</f>
        <v/>
      </c>
      <c r="CA64" t="str">
        <f ca="1">IF(R64="","",IF(R64&gt;Options!$B$3,B64,""))</f>
        <v/>
      </c>
      <c r="CB64" t="str">
        <f t="shared" ca="1" si="85"/>
        <v/>
      </c>
      <c r="CC64">
        <f t="shared" ca="1" si="86"/>
        <v>0</v>
      </c>
      <c r="CD64" t="str">
        <f ca="1">IF(J64="","",Options!$B$23 &amp; "." &amp; J64)</f>
        <v/>
      </c>
    </row>
    <row r="65" spans="1:82">
      <c r="A65" s="161" t="str">
        <f t="array" aca="1" ref="A65" ca="1">IF(TRIM(INDIRECT("Columns!A65")) ="","",TRIM(INDIRECT("Columns!A65")))</f>
        <v/>
      </c>
      <c r="B65" s="161" t="str">
        <f t="shared" ca="1" si="49"/>
        <v/>
      </c>
      <c r="C65" s="161" t="str">
        <f t="shared" ca="1" si="50"/>
        <v/>
      </c>
      <c r="D65" s="161" t="str">
        <f t="shared" ca="1" si="51"/>
        <v/>
      </c>
      <c r="E65" s="161" t="str">
        <f t="array" aca="1" ref="E65" ca="1">IF(TRIM(INDIRECT("Columns!E65"))="","",TRIM(INDIRECT("Columns!E65")))</f>
        <v/>
      </c>
      <c r="F65" s="161" t="str">
        <f t="array" aca="1" ref="F65" ca="1">IF(TRIM(INDIRECT("Columns!G65"))="","",TRIM(INDIRECT("Columns!G65")))</f>
        <v/>
      </c>
      <c r="G65" s="161" t="str">
        <f t="array" aca="1" ref="G65" ca="1">IF(TRIM(INDIRECT("Columns!F65"))="","",TRIM(INDIRECT("Columns!F65")))</f>
        <v/>
      </c>
      <c r="H65" s="161" t="str">
        <f t="array" aca="1" ref="H65" ca="1">IF(TRIM(INDIRECT("Columns!H65"))="","",TRIM(INDIRECT("Columns!H65")))</f>
        <v/>
      </c>
      <c r="I65" s="161" t="str">
        <f t="array" aca="1" ref="I65" ca="1">IF(TRIM(INDIRECT("Columns!I65"))="","",TRIM(INDIRECT("Columns!I65")))</f>
        <v/>
      </c>
      <c r="J65" s="161" t="str">
        <f t="array" aca="1" ref="J65" ca="1">IF(TRIM(INDIRECT("Columns!J65"))="","",TRIM(INDIRECT("Columns!J65")))</f>
        <v/>
      </c>
      <c r="K65" s="161" t="str">
        <f t="array" aca="1" ref="K65" ca="1">IF(TRIM(INDIRECT("Columns!K65"))="","",TRIM(INDIRECT("Columns!K65")))</f>
        <v/>
      </c>
      <c r="L65" s="161" t="str">
        <f t="array" aca="1" ref="L65" ca="1">IF(TRIM(INDIRECT("Columns!L65"))="","",TRIM(INDIRECT("Columns!L65")))</f>
        <v/>
      </c>
      <c r="M65" s="161" t="str">
        <f t="array" aca="1" ref="M65" ca="1">IF(TRIM(INDIRECT("Columns!M65"))="","",TRIM(INDIRECT("Columns!M65")))</f>
        <v/>
      </c>
      <c r="N65" s="161" t="str">
        <f t="array" aca="1" ref="N65" ca="1">IF(TRIM(INDIRECT("Columns!N65"))="","",TRIM(INDIRECT("Columns!N65")))</f>
        <v/>
      </c>
      <c r="O65" s="227" t="str">
        <f t="array" aca="1" ref="O65" ca="1">IF(TRIM(INDIRECT("Columns!B65"))="","",TRIM(INDIRECT("Columns!B65")))</f>
        <v/>
      </c>
      <c r="P65" s="227" t="str">
        <f t="array" aca="1" ref="P65" ca="1">IF(TRIM(INDIRECT("Columns!C65"))="","",TRIM(INDIRECT("Columns!C65")))</f>
        <v/>
      </c>
      <c r="Q65" s="227" t="str">
        <f t="array" aca="1" ref="Q65" ca="1">IF(TRIM(INDIRECT("Columns!D65"))="","",TRIM(INDIRECT("Columns!D65")))</f>
        <v/>
      </c>
      <c r="R65" s="227" t="str">
        <f t="array" aca="1" ref="R65" ca="1">IF(TRIM(INDIRECT("Columns!O65"))="","",TRIM(INDIRECT("Columns!O65")))</f>
        <v/>
      </c>
      <c r="S65" t="str">
        <f t="shared" ca="1" si="52"/>
        <v/>
      </c>
      <c r="T65" t="str">
        <f t="shared" ca="1" si="53"/>
        <v/>
      </c>
      <c r="U65" t="str">
        <f t="shared" ca="1" si="54"/>
        <v/>
      </c>
      <c r="V65" t="str">
        <f t="shared" ca="1" si="55"/>
        <v/>
      </c>
      <c r="W65" t="str">
        <f t="shared" ca="1" si="56"/>
        <v/>
      </c>
      <c r="X65" t="str">
        <f t="shared" ca="1" si="57"/>
        <v/>
      </c>
      <c r="Y65" t="str">
        <f t="shared" ca="1" si="58"/>
        <v/>
      </c>
      <c r="Z65" t="str">
        <f t="shared" ca="1" si="87"/>
        <v/>
      </c>
      <c r="AA65" t="str">
        <f ca="1">IF(E65="1",   IF( A65="","",IF(OR(F65="1",H65="1",I65="1"),"","COALESCE (CAST("&amp;A65&amp;" as varchar(" &amp; Options!$B$49&amp; ")),'')")),"")</f>
        <v/>
      </c>
      <c r="AB65" t="str">
        <f ca="1">IF(E65="1", IF(C65="string",  IF( A65="","",IF(OR(F65="1",H65="1",I65="1"),"","COALESCE (CAST(lower("&amp;A65&amp;") as varchar(" &amp;Options!$B$49 &amp; ")),'')")),AA65),"")</f>
        <v/>
      </c>
      <c r="AC65" t="str">
        <f ca="1">IF(E65="4",   IF( A65="","",IF(OR(F65="1",H65="1",I65="1"),"","COALESCE (CAST("  &amp;A65&amp;" as varchar(" &amp; Options!$B$49&amp; ")),'')")),"")</f>
        <v/>
      </c>
      <c r="AD65" t="str">
        <f ca="1">IF(E65="4",   IF( A65="","",IF(OR(F65="1",H65="1",I65="1"),"","COALESCE (CAST(" &amp; HELPER!$B$94 &amp; "."  &amp;A65&amp;" as varchar(" &amp; Options!$B$49&amp; ")),'')")),"")</f>
        <v/>
      </c>
      <c r="AE65" t="str">
        <f t="shared" ca="1" si="59"/>
        <v/>
      </c>
      <c r="AF65" t="str">
        <f ca="1">IF(AE65&lt;&gt;"", HELPER!$B$93 &amp;  "." &amp; AE65,"")</f>
        <v/>
      </c>
      <c r="AG65" t="str">
        <f ca="1">IF(AE65&lt;&gt;"", HELPER!$B$94 &amp; "." &amp; AE65,"")</f>
        <v/>
      </c>
      <c r="AH65" t="str">
        <f t="shared" ca="1" si="88"/>
        <v/>
      </c>
      <c r="AI65" t="str">
        <f t="shared" ca="1" si="60"/>
        <v/>
      </c>
      <c r="AJ65" t="str">
        <f t="shared" ca="1" si="61"/>
        <v/>
      </c>
      <c r="AK65" t="str">
        <f ca="1">IF(E65="4", HELPER!$B$94 &amp;  "." &amp; A65,"")</f>
        <v/>
      </c>
      <c r="AL65" t="str">
        <f ca="1">IF(E65="4", HELPER!$B$93 &amp;  "." &amp; A65,"")</f>
        <v/>
      </c>
      <c r="AM65" t="str">
        <f t="shared" ca="1" si="62"/>
        <v/>
      </c>
      <c r="AN65" t="str">
        <f t="shared" ca="1" si="63"/>
        <v/>
      </c>
      <c r="AO65" t="str">
        <f ca="1">IF(A65&lt;&gt;"", IF(OR(F65="1",H65="1",I65="1"),""," "&amp; HELPER!$B$94 &amp; "." &amp; A65),"")</f>
        <v/>
      </c>
      <c r="AP65" t="str">
        <f t="shared" ca="1" si="64"/>
        <v/>
      </c>
      <c r="AQ65" t="str">
        <f t="shared" ca="1" si="95"/>
        <v/>
      </c>
      <c r="AS65" t="str">
        <f ca="1">IF(A65="","",  HELPER!$B$94 &amp;  "." &amp; A65)</f>
        <v/>
      </c>
      <c r="AT65" t="str">
        <f t="shared" ca="1" si="65"/>
        <v/>
      </c>
      <c r="AU65" t="str">
        <f t="shared" ca="1" si="66"/>
        <v/>
      </c>
      <c r="AV65" s="190" t="str">
        <f t="shared" ca="1" si="67"/>
        <v/>
      </c>
      <c r="AW65" t="str">
        <f t="shared" ca="1" si="68"/>
        <v/>
      </c>
      <c r="AY65" t="str">
        <f t="shared" ca="1" si="69"/>
        <v/>
      </c>
      <c r="BF65" t="str">
        <f t="shared" ca="1" si="73"/>
        <v/>
      </c>
      <c r="BH65" s="285" t="str">
        <f t="shared" ca="1" si="90"/>
        <v/>
      </c>
      <c r="BI65" t="str">
        <f t="shared" ca="1" si="75"/>
        <v/>
      </c>
      <c r="BJ65" t="str">
        <f t="shared" ca="1" si="76"/>
        <v/>
      </c>
      <c r="BK65" t="str">
        <f t="shared" ca="1" si="91"/>
        <v/>
      </c>
      <c r="BM65" t="str">
        <f t="shared" ca="1" si="92"/>
        <v/>
      </c>
      <c r="BN65" t="str">
        <f t="shared" ca="1" si="93"/>
        <v/>
      </c>
      <c r="BO65" t="str">
        <f t="shared" ca="1" si="78"/>
        <v/>
      </c>
      <c r="BP65" t="b">
        <f ca="1">COUNTIF(COLHELPER!A65:'COLHELPER'!A65,COLHELPER!A65)&gt;1</f>
        <v>0</v>
      </c>
      <c r="BQ65">
        <f t="shared" ca="1" si="79"/>
        <v>0</v>
      </c>
      <c r="BR65" s="290" t="str">
        <f t="shared" ca="1" si="48"/>
        <v/>
      </c>
      <c r="BS65" t="str">
        <f t="shared" ca="1" si="80"/>
        <v/>
      </c>
      <c r="BT65" t="str">
        <f t="shared" ca="1" si="94"/>
        <v/>
      </c>
      <c r="BU65" t="str">
        <f t="shared" ca="1" si="81"/>
        <v/>
      </c>
      <c r="BV65">
        <f t="shared" ca="1" si="82"/>
        <v>0</v>
      </c>
      <c r="BW65" t="str">
        <f t="shared" ca="1" si="83"/>
        <v/>
      </c>
      <c r="BX65" t="str">
        <f t="shared" ca="1" si="84"/>
        <v/>
      </c>
      <c r="BY65" t="str">
        <f ca="1">IF(R65="","",IF(R65&gt;Options!$B$3,"ALTER TABLE "&amp;HELPER!$B$4&amp;" ADD COLUMNS ("&amp;A65&amp;" "&amp;C65&amp;")",""))</f>
        <v/>
      </c>
      <c r="BZ65" t="str">
        <f ca="1">IF(R65="","",IF(R65&gt;Options!$B$3,A65,""))</f>
        <v/>
      </c>
      <c r="CA65" t="str">
        <f ca="1">IF(R65="","",IF(R65&gt;Options!$B$3,B65,""))</f>
        <v/>
      </c>
      <c r="CB65" t="str">
        <f t="shared" ca="1" si="85"/>
        <v/>
      </c>
      <c r="CC65">
        <f t="shared" ca="1" si="86"/>
        <v>0</v>
      </c>
      <c r="CD65" t="str">
        <f ca="1">IF(J65="","",Options!$B$23 &amp; "." &amp; J65)</f>
        <v/>
      </c>
    </row>
    <row r="66" spans="1:82">
      <c r="A66" s="161" t="str">
        <f t="array" aca="1" ref="A66" ca="1">IF(TRIM(INDIRECT("Columns!A66")) ="","",TRIM(INDIRECT("Columns!A66")))</f>
        <v/>
      </c>
      <c r="B66" s="161" t="str">
        <f t="shared" ref="B66:B97" ca="1" si="96">IF(I66="1","",IF(O66="",IF(G66="",A66,G66 &amp; " AS " &amp; A66),O66))</f>
        <v/>
      </c>
      <c r="C66" s="161" t="str">
        <f t="shared" ref="C66:C97" ca="1" si="97">IF(I66="1","bigint",P66)</f>
        <v/>
      </c>
      <c r="D66" s="161" t="str">
        <f t="shared" ref="D66:D97" ca="1" si="98">IF(Q66 ="",C66,Q66)</f>
        <v/>
      </c>
      <c r="E66" s="161" t="str">
        <f t="array" aca="1" ref="E66" ca="1">IF(TRIM(INDIRECT("Columns!E66"))="","",TRIM(INDIRECT("Columns!E66")))</f>
        <v/>
      </c>
      <c r="F66" s="161" t="str">
        <f t="array" aca="1" ref="F66" ca="1">IF(TRIM(INDIRECT("Columns!G66"))="","",TRIM(INDIRECT("Columns!G66")))</f>
        <v/>
      </c>
      <c r="G66" s="161" t="str">
        <f t="array" aca="1" ref="G66" ca="1">IF(TRIM(INDIRECT("Columns!F66"))="","",TRIM(INDIRECT("Columns!F66")))</f>
        <v/>
      </c>
      <c r="H66" s="161" t="str">
        <f t="array" aca="1" ref="H66" ca="1">IF(TRIM(INDIRECT("Columns!H66"))="","",TRIM(INDIRECT("Columns!H66")))</f>
        <v/>
      </c>
      <c r="I66" s="161" t="str">
        <f t="array" aca="1" ref="I66" ca="1">IF(TRIM(INDIRECT("Columns!I66"))="","",TRIM(INDIRECT("Columns!I66")))</f>
        <v/>
      </c>
      <c r="J66" s="161" t="str">
        <f t="array" aca="1" ref="J66" ca="1">IF(TRIM(INDIRECT("Columns!J66"))="","",TRIM(INDIRECT("Columns!J66")))</f>
        <v/>
      </c>
      <c r="K66" s="161" t="str">
        <f t="array" aca="1" ref="K66" ca="1">IF(TRIM(INDIRECT("Columns!K66"))="","",TRIM(INDIRECT("Columns!K66")))</f>
        <v/>
      </c>
      <c r="L66" s="161" t="str">
        <f t="array" aca="1" ref="L66" ca="1">IF(TRIM(INDIRECT("Columns!L66"))="","",TRIM(INDIRECT("Columns!L66")))</f>
        <v/>
      </c>
      <c r="M66" s="161" t="str">
        <f t="array" aca="1" ref="M66" ca="1">IF(TRIM(INDIRECT("Columns!M66"))="","",TRIM(INDIRECT("Columns!M66")))</f>
        <v/>
      </c>
      <c r="N66" s="161" t="str">
        <f t="array" aca="1" ref="N66" ca="1">IF(TRIM(INDIRECT("Columns!N66"))="","",TRIM(INDIRECT("Columns!N66")))</f>
        <v/>
      </c>
      <c r="O66" s="227" t="str">
        <f t="array" aca="1" ref="O66" ca="1">IF(TRIM(INDIRECT("Columns!B66"))="","",TRIM(INDIRECT("Columns!B66")))</f>
        <v/>
      </c>
      <c r="P66" s="227" t="str">
        <f t="array" aca="1" ref="P66" ca="1">IF(TRIM(INDIRECT("Columns!C66"))="","",TRIM(INDIRECT("Columns!C66")))</f>
        <v/>
      </c>
      <c r="Q66" s="227" t="str">
        <f t="array" aca="1" ref="Q66" ca="1">IF(TRIM(INDIRECT("Columns!D66"))="","",TRIM(INDIRECT("Columns!D66")))</f>
        <v/>
      </c>
      <c r="R66" s="227" t="str">
        <f t="array" aca="1" ref="R66" ca="1">IF(TRIM(INDIRECT("Columns!O66"))="","",TRIM(INDIRECT("Columns!O66")))</f>
        <v/>
      </c>
      <c r="S66" t="str">
        <f t="shared" ref="S66:S97" ca="1" si="99">IF(A66="","",A66 &amp; " " &amp; IF(C66="array&lt;varchar&gt;","array&lt;string&gt;",C66))</f>
        <v/>
      </c>
      <c r="T66" t="str">
        <f t="shared" ref="T66:T97" ca="1" si="100">IF(AND(H66="1",I66=""),B66,"")</f>
        <v/>
      </c>
      <c r="U66" t="str">
        <f t="shared" ref="U66:U97" ca="1" si="101">IF(AND(H66="1",I66=""),IF(G66="",B66,A66),"")</f>
        <v/>
      </c>
      <c r="V66" t="str">
        <f t="shared" ref="V66:V97" ca="1" si="102">IF(A66="","",IF(F66&lt;&gt;"1",S66,""))</f>
        <v/>
      </c>
      <c r="W66" t="str">
        <f t="shared" ref="W66:W97" ca="1" si="103">IF(I66="1",A66&amp;"_history bigint",IF(OR(E66="4"),S66,""))</f>
        <v/>
      </c>
      <c r="X66" t="str">
        <f t="shared" ref="X66:X97" ca="1" si="104">IF(I66="1",A66&amp;"_history",IF(OR(E66="4"),A66,""))</f>
        <v/>
      </c>
      <c r="Y66" t="str">
        <f t="shared" ref="Y66:Y97" ca="1" si="105">IF(F66="1",A66 &amp; " " &amp; C66,"" )</f>
        <v/>
      </c>
      <c r="Z66" t="str">
        <f ca="1">IF(A66="","", IF(F66="1",B66,""  ))</f>
        <v/>
      </c>
      <c r="AA66" t="str">
        <f ca="1">IF(E66="1",   IF( A66="","",IF(OR(F66="1",H66="1",I66="1"),"","COALESCE (CAST("&amp;A66&amp;" as varchar(" &amp; Options!$B$49&amp; ")),'')")),"")</f>
        <v/>
      </c>
      <c r="AB66" t="str">
        <f ca="1">IF(E66="1", IF(C66="string",  IF( A66="","",IF(OR(F66="1",H66="1",I66="1"),"","COALESCE (CAST(lower("&amp;A66&amp;") as varchar(" &amp;Options!$B$49 &amp; ")),'')")),AA66),"")</f>
        <v/>
      </c>
      <c r="AC66" t="str">
        <f ca="1">IF(E66="4",   IF( A66="","",IF(OR(F66="1",H66="1",I66="1"),"","COALESCE (CAST("  &amp;A66&amp;" as varchar(" &amp; Options!$B$49&amp; ")),'')")),"")</f>
        <v/>
      </c>
      <c r="AD66" t="str">
        <f ca="1">IF(E66="4",   IF( A66="","",IF(OR(F66="1",H66="1",I66="1"),"","COALESCE (CAST(" &amp; HELPER!$B$94 &amp; "."  &amp;A66&amp;" as varchar(" &amp; Options!$B$49&amp; ")),'')")),"")</f>
        <v/>
      </c>
      <c r="AE66" t="str">
        <f t="shared" ref="AE66:AE97" ca="1" si="106">IF(H66="1",A66,"")</f>
        <v/>
      </c>
      <c r="AF66" t="str">
        <f ca="1">IF(AE66&lt;&gt;"", HELPER!$B$93 &amp;  "." &amp; AE66,"")</f>
        <v/>
      </c>
      <c r="AG66" t="str">
        <f ca="1">IF(AE66&lt;&gt;"", HELPER!$B$94 &amp; "." &amp; AE66,"")</f>
        <v/>
      </c>
      <c r="AH66" t="str">
        <f t="shared" ca="1" si="88"/>
        <v/>
      </c>
      <c r="AI66" t="str">
        <f t="shared" ref="AI66:AI97" ca="1" si="107">IF(E66="4","d." &amp; A66 &amp; " = m." &amp; A66,"")</f>
        <v/>
      </c>
      <c r="AJ66" t="str">
        <f t="shared" ref="AJ66:AJ97" ca="1" si="108">IF(E66="4", A66,"")</f>
        <v/>
      </c>
      <c r="AK66" t="str">
        <f ca="1">IF(E66="4", HELPER!$B$94 &amp;  "." &amp; A66,"")</f>
        <v/>
      </c>
      <c r="AL66" t="str">
        <f ca="1">IF(E66="4", HELPER!$B$93 &amp;  "." &amp; A66,"")</f>
        <v/>
      </c>
      <c r="AM66" t="str">
        <f t="shared" ref="AM66:AM97" ca="1" si="109">IF(E66="4",AL66&amp;" = "&amp;AU66,"")</f>
        <v/>
      </c>
      <c r="AN66" t="str">
        <f t="shared" ref="AN66:AN97" ca="1" si="110">IF(A66="","", IF(OR(F66="1",H66="1",I66="1"),"", A66))</f>
        <v/>
      </c>
      <c r="AO66" t="str">
        <f ca="1">IF(A66&lt;&gt;"", IF(OR(F66="1",H66="1",I66="1"),""," "&amp; HELPER!$B$94 &amp; "." &amp; A66),"")</f>
        <v/>
      </c>
      <c r="AP66" t="str">
        <f t="shared" ref="AP66:AP97" ca="1" si="111">IF(A66="","", IF(E66="2","", IF(AN66="","",AN66 &amp; " = " &amp; AO66)))</f>
        <v/>
      </c>
      <c r="AQ66" t="str">
        <f t="shared" ca="1" si="95"/>
        <v/>
      </c>
      <c r="AS66" t="str">
        <f ca="1">IF(A66="","",  HELPER!$B$94 &amp;  "." &amp; A66)</f>
        <v/>
      </c>
      <c r="AT66" t="str">
        <f t="shared" ref="AT66:AT97" ca="1" si="112">IF(I66="1",A66,"")</f>
        <v/>
      </c>
      <c r="AU66" t="str">
        <f t="shared" ref="AU66:AU97" ca="1" si="113">IF(C66="string","COALESCE(" &amp; AS66 &amp; ",'')",AS66)</f>
        <v/>
      </c>
      <c r="AV66" s="190" t="str">
        <f t="shared" ref="AV66:AV97" ca="1" si="114">IF(OR(H66="1",I66="1",E66="4",F66="1"),A66,"")</f>
        <v/>
      </c>
      <c r="AW66" t="str">
        <f t="shared" ref="AW66:AW97" ca="1" si="115">IF(OR(H66="1",I66="1",E66="4",F66="1"),AU66,"")</f>
        <v/>
      </c>
      <c r="AY66" t="str">
        <f t="shared" ref="AY66:AY97" ca="1" si="116">IF(A66="","",IF(I66="1","", IF(B66="",A66, B66) &amp;" AS "&amp;A66))</f>
        <v/>
      </c>
      <c r="BF66" t="str">
        <f t="shared" ref="BF66:BF97" ca="1" si="117">IF(A66="","",IF(I66="1","",B66&amp;" AS "&amp;A66))</f>
        <v/>
      </c>
      <c r="BH66" s="285" t="str">
        <f ca="1">IF(G66="",   IF(B66="","","COALESCE(" &amp;  B66 &amp; "," &amp; IF(C66="string","''",0  ) &amp; ") AS " &amp; A66),G66 &amp; " AS " &amp;A66 )</f>
        <v/>
      </c>
      <c r="BI66" t="str">
        <f t="shared" ref="BI66:BI97" ca="1" si="118">IF(G66="", IF(A66="","",IF(I66="1","", IF(B66="","f." &amp; A66, "f." &amp; B66) &amp;" AS "&amp;A66)),BH66)</f>
        <v/>
      </c>
      <c r="BJ66" t="str">
        <f t="shared" ref="BJ66:BJ97" ca="1" si="119">IF(A66="","",IF(I66="1","-1",IF(C66="string","'missing'","0")))</f>
        <v/>
      </c>
      <c r="BK66" t="str">
        <f ca="1">IF(A66="","", IF(OR(F66="1",E66="4", I66="1",H66="1"),  IF(I66="1","-1",IF(C66="string","'missing'","0")),""))</f>
        <v/>
      </c>
      <c r="BM66" t="str">
        <f ca="1">IF(A66="","",IF(I66="1","",IF(C66&lt;&gt;D66,  IF(AND(D66="string",C66="timestamp"),"cast(from_iso8601_timestamp(" &amp; BO66 &amp; ") as timestamp) AS " &amp; A66, IF(AND(D66="string",C66="date"),"cast( from_iso8601_timestamp(" &amp; BO66 &amp;") as date) AS " &amp; A66,"")),BO66 &amp; " AS " &amp; A66)))</f>
        <v/>
      </c>
      <c r="BN66" t="str">
        <f ca="1">IF(A66="","",IF(I66="1","",IF(C66&lt;&gt;D66,  IF(AND(D66="string",C66="timestamp"),"cast(from_iso8601_timestamp(" &amp; BO66 &amp; ") as timestamp) AS " &amp; A66, IF(AND(D66="string",C66="date"),"cast( from_iso8601_timestamp(" &amp; BO66 &amp;") as date) AS " &amp; A66,"")),BO66 &amp; " AS " &amp; A66)))</f>
        <v/>
      </c>
      <c r="BO66" t="str">
        <f t="shared" ref="BO66:BO97" ca="1" si="120">IF(G66="", IF(B66="","","f." &amp; B66),G66)</f>
        <v/>
      </c>
      <c r="BP66" t="b">
        <f ca="1">COUNTIF(COLHELPER!A66:'COLHELPER'!A66,COLHELPER!A66)&gt;1</f>
        <v>0</v>
      </c>
      <c r="BQ66">
        <f t="shared" ref="BQ66:BQ97" ca="1" si="121">IF(BP66=TRUE,1,0)</f>
        <v>0</v>
      </c>
      <c r="BR66" s="290" t="str">
        <f t="shared" ca="1" si="48"/>
        <v/>
      </c>
      <c r="BS66" t="str">
        <f t="shared" ref="BS66:BS97" ca="1" si="122">IF(F66="1",SUBSTITUTE(BR66,"'",""),"")</f>
        <v/>
      </c>
      <c r="BT66" t="str">
        <f ca="1">IF(N66="","", SUBSTITUTE( SUBSTITUTE(BR66,"[:date_yyyy_mm_dd]",  N66),"[:date_yyymm]",N66))</f>
        <v/>
      </c>
      <c r="BU66" t="str">
        <f t="shared" ref="BU66:BU97" ca="1" si="123">IF(N66="","",SUBSTITUTE(BS66,"[:date_yyyy_mm_dd]",SUBSTITUTE(N66,"'","")))</f>
        <v/>
      </c>
      <c r="BV66">
        <f t="shared" ref="BV66:BV97" ca="1" si="124">IF(A65="",0,1)</f>
        <v>0</v>
      </c>
      <c r="BW66" t="str">
        <f t="shared" ref="BW66:BW97" ca="1" si="125">IF(AE66="","", "t3." &amp;AE66 &amp; " = t4." &amp; AE66)</f>
        <v/>
      </c>
      <c r="BX66" t="str">
        <f t="shared" ref="BX66:BX97" ca="1" si="126">IF(AE66="","", "t3." &amp;AE66 )</f>
        <v/>
      </c>
      <c r="BY66" t="str">
        <f ca="1">IF(R66="","",IF(R66&gt;Options!$B$3,"ALTER TABLE "&amp;HELPER!$B$4&amp;" ADD COLUMNS ("&amp;A66&amp;" "&amp;C66&amp;")",""))</f>
        <v/>
      </c>
      <c r="BZ66" t="str">
        <f ca="1">IF(R66="","",IF(R66&gt;Options!$B$3,A66,""))</f>
        <v/>
      </c>
      <c r="CA66" t="str">
        <f ca="1">IF(R66="","",IF(R66&gt;Options!$B$3,B66,""))</f>
        <v/>
      </c>
      <c r="CB66" t="str">
        <f t="shared" ref="CB66:CB97" ca="1" si="127">IF(A66&lt;&gt;"","&lt;tr&gt;&lt;td&gt;" &amp; _xlfn.TEXTJOIN("&lt;td&gt;",FALSE,A66:K66) &amp; "&lt;/td&gt;&lt;/tr&gt;","")</f>
        <v/>
      </c>
      <c r="CC66">
        <f t="shared" ref="CC66:CC97" ca="1" si="128">IF(E66="4",1,0)</f>
        <v>0</v>
      </c>
      <c r="CD66" t="str">
        <f ca="1">IF(J66="","",Options!$B$23 &amp; "." &amp; J66)</f>
        <v/>
      </c>
    </row>
    <row r="67" spans="1:82">
      <c r="A67" s="161" t="str">
        <f t="array" aca="1" ref="A67" ca="1">IF(TRIM(INDIRECT("Columns!A67")) ="","",TRIM(INDIRECT("Columns!A67")))</f>
        <v/>
      </c>
      <c r="B67" s="161" t="str">
        <f t="shared" ca="1" si="96"/>
        <v/>
      </c>
      <c r="C67" s="161" t="str">
        <f t="shared" ca="1" si="97"/>
        <v/>
      </c>
      <c r="D67" s="161" t="str">
        <f t="shared" ca="1" si="98"/>
        <v/>
      </c>
      <c r="E67" s="161" t="str">
        <f t="array" aca="1" ref="E67" ca="1">IF(TRIM(INDIRECT("Columns!E67"))="","",TRIM(INDIRECT("Columns!E67")))</f>
        <v/>
      </c>
      <c r="F67" s="161" t="str">
        <f t="array" aca="1" ref="F67" ca="1">IF(TRIM(INDIRECT("Columns!G67"))="","",TRIM(INDIRECT("Columns!G67")))</f>
        <v/>
      </c>
      <c r="G67" s="161" t="str">
        <f t="array" aca="1" ref="G67" ca="1">IF(TRIM(INDIRECT("Columns!F67"))="","",TRIM(INDIRECT("Columns!F67")))</f>
        <v/>
      </c>
      <c r="H67" s="161" t="str">
        <f t="array" aca="1" ref="H67" ca="1">IF(TRIM(INDIRECT("Columns!H67"))="","",TRIM(INDIRECT("Columns!H67")))</f>
        <v/>
      </c>
      <c r="I67" s="161" t="str">
        <f t="array" aca="1" ref="I67" ca="1">IF(TRIM(INDIRECT("Columns!I67"))="","",TRIM(INDIRECT("Columns!I67")))</f>
        <v/>
      </c>
      <c r="J67" s="161" t="str">
        <f t="array" aca="1" ref="J67" ca="1">IF(TRIM(INDIRECT("Columns!J67"))="","",TRIM(INDIRECT("Columns!J67")))</f>
        <v/>
      </c>
      <c r="K67" s="161" t="str">
        <f t="array" aca="1" ref="K67" ca="1">IF(TRIM(INDIRECT("Columns!K67"))="","",TRIM(INDIRECT("Columns!K67")))</f>
        <v/>
      </c>
      <c r="L67" s="161" t="str">
        <f t="array" aca="1" ref="L67" ca="1">IF(TRIM(INDIRECT("Columns!L67"))="","",TRIM(INDIRECT("Columns!L67")))</f>
        <v/>
      </c>
      <c r="M67" s="161" t="str">
        <f t="array" aca="1" ref="M67" ca="1">IF(TRIM(INDIRECT("Columns!M67"))="","",TRIM(INDIRECT("Columns!M67")))</f>
        <v/>
      </c>
      <c r="N67" s="161" t="str">
        <f t="array" aca="1" ref="N67" ca="1">IF(TRIM(INDIRECT("Columns!N67"))="","",TRIM(INDIRECT("Columns!N67")))</f>
        <v/>
      </c>
      <c r="O67" s="227" t="str">
        <f t="array" aca="1" ref="O67" ca="1">IF(TRIM(INDIRECT("Columns!B67"))="","",TRIM(INDIRECT("Columns!B67")))</f>
        <v/>
      </c>
      <c r="P67" s="227" t="str">
        <f t="array" aca="1" ref="P67" ca="1">IF(TRIM(INDIRECT("Columns!C67"))="","",TRIM(INDIRECT("Columns!C67")))</f>
        <v/>
      </c>
      <c r="Q67" s="227" t="str">
        <f t="array" aca="1" ref="Q67" ca="1">IF(TRIM(INDIRECT("Columns!D67"))="","",TRIM(INDIRECT("Columns!D67")))</f>
        <v/>
      </c>
      <c r="R67" s="227" t="str">
        <f t="array" aca="1" ref="R67" ca="1">IF(TRIM(INDIRECT("Columns!O67"))="","",TRIM(INDIRECT("Columns!O67")))</f>
        <v/>
      </c>
      <c r="S67" t="str">
        <f t="shared" ca="1" si="99"/>
        <v/>
      </c>
      <c r="T67" t="str">
        <f t="shared" ca="1" si="100"/>
        <v/>
      </c>
      <c r="U67" t="str">
        <f t="shared" ca="1" si="101"/>
        <v/>
      </c>
      <c r="V67" t="str">
        <f t="shared" ca="1" si="102"/>
        <v/>
      </c>
      <c r="W67" t="str">
        <f t="shared" ca="1" si="103"/>
        <v/>
      </c>
      <c r="X67" t="str">
        <f t="shared" ca="1" si="104"/>
        <v/>
      </c>
      <c r="Y67" t="str">
        <f t="shared" ca="1" si="105"/>
        <v/>
      </c>
      <c r="Z67" t="str">
        <f t="shared" ref="Z67:Z97" ca="1" si="129">IF(A67="","", IF(F67="1",B67,"" ))</f>
        <v/>
      </c>
      <c r="AA67" t="str">
        <f ca="1">IF(E67="1",   IF( A67="","",IF(OR(F67="1",H67="1",I67="1"),"","COALESCE (CAST("&amp;A67&amp;" as varchar(" &amp; Options!$B$49&amp; ")),'')")),"")</f>
        <v/>
      </c>
      <c r="AB67" t="str">
        <f ca="1">IF(E67="1", IF(C67="string",  IF( A67="","",IF(OR(F67="1",H67="1",I67="1"),"","COALESCE (CAST(lower("&amp;A67&amp;") as varchar(" &amp;Options!$B$49 &amp; ")),'')")),AA67),"")</f>
        <v/>
      </c>
      <c r="AC67" t="str">
        <f ca="1">IF(E67="4",   IF( A67="","",IF(OR(F67="1",H67="1",I67="1"),"","COALESCE (CAST("  &amp;A67&amp;" as varchar(" &amp; Options!$B$49&amp; ")),'')")),"")</f>
        <v/>
      </c>
      <c r="AD67" t="str">
        <f ca="1">IF(E67="4",   IF( A67="","",IF(OR(F67="1",H67="1",I67="1"),"","COALESCE (CAST(" &amp; HELPER!$B$94 &amp; "."  &amp;A67&amp;" as varchar(" &amp; Options!$B$49&amp; ")),'')")),"")</f>
        <v/>
      </c>
      <c r="AE67" t="str">
        <f t="shared" ca="1" si="106"/>
        <v/>
      </c>
      <c r="AF67" t="str">
        <f ca="1">IF(AE67&lt;&gt;"", HELPER!$B$93 &amp;  "." &amp; AE67,"")</f>
        <v/>
      </c>
      <c r="AG67" t="str">
        <f ca="1">IF(AE67&lt;&gt;"", HELPER!$B$94 &amp; "." &amp; AE67,"")</f>
        <v/>
      </c>
      <c r="AH67" t="str">
        <f t="shared" ref="AH67:AH98" ca="1" si="130">IF(AE67&lt;&gt;"",AF67&amp;" = "&amp;AU67,"")</f>
        <v/>
      </c>
      <c r="AI67" t="str">
        <f t="shared" ca="1" si="107"/>
        <v/>
      </c>
      <c r="AJ67" t="str">
        <f t="shared" ca="1" si="108"/>
        <v/>
      </c>
      <c r="AK67" t="str">
        <f ca="1">IF(E67="4", HELPER!$B$94 &amp;  "." &amp; A67,"")</f>
        <v/>
      </c>
      <c r="AL67" t="str">
        <f ca="1">IF(E67="4", HELPER!$B$93 &amp;  "." &amp; A67,"")</f>
        <v/>
      </c>
      <c r="AM67" t="str">
        <f t="shared" ca="1" si="109"/>
        <v/>
      </c>
      <c r="AN67" t="str">
        <f t="shared" ca="1" si="110"/>
        <v/>
      </c>
      <c r="AO67" t="str">
        <f ca="1">IF(A67&lt;&gt;"", IF(OR(F67="1",H67="1",I67="1"),""," "&amp; HELPER!$B$94 &amp; "." &amp; A67),"")</f>
        <v/>
      </c>
      <c r="AP67" t="str">
        <f t="shared" ca="1" si="111"/>
        <v/>
      </c>
      <c r="AQ67" t="str">
        <f t="shared" ca="1" si="95"/>
        <v/>
      </c>
      <c r="AS67" t="str">
        <f ca="1">IF(A67="","",  HELPER!$B$94 &amp;  "." &amp; A67)</f>
        <v/>
      </c>
      <c r="AT67" t="str">
        <f t="shared" ca="1" si="112"/>
        <v/>
      </c>
      <c r="AU67" t="str">
        <f t="shared" ca="1" si="113"/>
        <v/>
      </c>
      <c r="AV67" s="190" t="str">
        <f t="shared" ca="1" si="114"/>
        <v/>
      </c>
      <c r="AW67" t="str">
        <f t="shared" ca="1" si="115"/>
        <v/>
      </c>
      <c r="AY67" t="str">
        <f t="shared" ca="1" si="116"/>
        <v/>
      </c>
      <c r="BF67" t="str">
        <f t="shared" ca="1" si="117"/>
        <v/>
      </c>
      <c r="BH67" s="285" t="str">
        <f t="shared" ref="BH67:BH97" ca="1" si="131">IF(G67="", IF(B67="","","COALESCE(" &amp; B67 &amp; "," &amp; IF(C67="string","''",0 ) &amp; ") AS " &amp; A67),G67 &amp; " AS " &amp;A67 )</f>
        <v/>
      </c>
      <c r="BI67" t="str">
        <f t="shared" ca="1" si="118"/>
        <v/>
      </c>
      <c r="BJ67" t="str">
        <f t="shared" ca="1" si="119"/>
        <v/>
      </c>
      <c r="BK67" t="str">
        <f t="shared" ref="BK67:BK97" ca="1" si="132">IF(A67="","", IF(OR(F67="1",E67="4", I67="1",H67="1"), IF(I67="1","-1",IF(C67="string","'missing'","0")),""))</f>
        <v/>
      </c>
      <c r="BM67" t="str">
        <f t="shared" ref="BM67:BM97" ca="1" si="133">IF(A67="","",IF(I67="1","",IF(C67&lt;&gt;D67, IF(AND(D67="string",C67="timestamp"),"cast(from_iso8601_timestamp(" &amp; BO67 &amp; ") as timestamp) AS " &amp; A67, IF(AND(D67="string",C67="date"),"cast( from_iso8601_timestamp(" &amp; BO67 &amp;") as date) AS " &amp; A67,"")),BO67 &amp; " AS " &amp; A67)))</f>
        <v/>
      </c>
      <c r="BN67" t="str">
        <f t="shared" ref="BN67:BN97" ca="1" si="134">IF(A67="","",IF(I67="1","",IF(C67&lt;&gt;D67, IF(AND(D67="string",C67="timestamp"),"cast(from_iso8601_timestamp(" &amp; BO67 &amp; ") as timestamp) AS " &amp; A67, IF(AND(D67="string",C67="date"),"cast( from_iso8601_timestamp(" &amp; BO67 &amp;") as date) AS " &amp; A67,"")),BO67 &amp; " AS " &amp; A67)))</f>
        <v/>
      </c>
      <c r="BO67" t="str">
        <f t="shared" ca="1" si="120"/>
        <v/>
      </c>
      <c r="BP67" t="b">
        <f ca="1">COUNTIF(COLHELPER!A67:'COLHELPER'!A67,COLHELPER!A67)&gt;1</f>
        <v>0</v>
      </c>
      <c r="BQ67">
        <f t="shared" ca="1" si="121"/>
        <v>0</v>
      </c>
      <c r="BR67" s="290" t="str">
        <f t="shared" ca="1" si="48"/>
        <v/>
      </c>
      <c r="BS67" t="str">
        <f t="shared" ca="1" si="122"/>
        <v/>
      </c>
      <c r="BT67" t="str">
        <f t="shared" ref="BT67:BT97" ca="1" si="135">IF(N67="","", SUBSTITUTE( SUBSTITUTE(BR67,"[:date_yyyy_mm_dd]", N67),"[:date_yyymm]",N67))</f>
        <v/>
      </c>
      <c r="BU67" t="str">
        <f t="shared" ca="1" si="123"/>
        <v/>
      </c>
      <c r="BV67">
        <f t="shared" ca="1" si="124"/>
        <v>0</v>
      </c>
      <c r="BW67" t="str">
        <f t="shared" ca="1" si="125"/>
        <v/>
      </c>
      <c r="BX67" t="str">
        <f t="shared" ca="1" si="126"/>
        <v/>
      </c>
      <c r="BY67" t="str">
        <f ca="1">IF(R67="","",IF(R67&gt;Options!$B$3,"ALTER TABLE "&amp;HELPER!$B$4&amp;" ADD COLUMNS ("&amp;A67&amp;" "&amp;C67&amp;")",""))</f>
        <v/>
      </c>
      <c r="BZ67" t="str">
        <f ca="1">IF(R67="","",IF(R67&gt;Options!$B$3,A67,""))</f>
        <v/>
      </c>
      <c r="CA67" t="str">
        <f ca="1">IF(R67="","",IF(R67&gt;Options!$B$3,B67,""))</f>
        <v/>
      </c>
      <c r="CB67" t="str">
        <f t="shared" ca="1" si="127"/>
        <v/>
      </c>
      <c r="CC67">
        <f t="shared" ca="1" si="128"/>
        <v>0</v>
      </c>
      <c r="CD67" t="str">
        <f ca="1">IF(J67="","",Options!$B$23 &amp; "." &amp; J67)</f>
        <v/>
      </c>
    </row>
    <row r="68" spans="1:82">
      <c r="A68" s="161" t="str">
        <f t="array" aca="1" ref="A68" ca="1">IF(TRIM(INDIRECT("Columns!A68")) ="","",TRIM(INDIRECT("Columns!A68")))</f>
        <v/>
      </c>
      <c r="B68" s="161" t="str">
        <f t="shared" ca="1" si="96"/>
        <v/>
      </c>
      <c r="C68" s="161" t="str">
        <f t="shared" ca="1" si="97"/>
        <v/>
      </c>
      <c r="D68" s="161" t="str">
        <f t="shared" ca="1" si="98"/>
        <v/>
      </c>
      <c r="E68" s="161" t="str">
        <f t="array" aca="1" ref="E68" ca="1">IF(TRIM(INDIRECT("Columns!E68"))="","",TRIM(INDIRECT("Columns!E68")))</f>
        <v/>
      </c>
      <c r="F68" s="161" t="str">
        <f t="array" aca="1" ref="F68" ca="1">IF(TRIM(INDIRECT("Columns!G68"))="","",TRIM(INDIRECT("Columns!G68")))</f>
        <v/>
      </c>
      <c r="G68" s="161" t="str">
        <f t="array" aca="1" ref="G68" ca="1">IF(TRIM(INDIRECT("Columns!F68"))="","",TRIM(INDIRECT("Columns!F68")))</f>
        <v/>
      </c>
      <c r="H68" s="161" t="str">
        <f t="array" aca="1" ref="H68" ca="1">IF(TRIM(INDIRECT("Columns!H68"))="","",TRIM(INDIRECT("Columns!H68")))</f>
        <v/>
      </c>
      <c r="I68" s="161" t="str">
        <f t="array" aca="1" ref="I68" ca="1">IF(TRIM(INDIRECT("Columns!I68"))="","",TRIM(INDIRECT("Columns!I68")))</f>
        <v/>
      </c>
      <c r="J68" s="161" t="str">
        <f t="array" aca="1" ref="J68" ca="1">IF(TRIM(INDIRECT("Columns!J68"))="","",TRIM(INDIRECT("Columns!J68")))</f>
        <v/>
      </c>
      <c r="K68" s="161" t="str">
        <f t="array" aca="1" ref="K68" ca="1">IF(TRIM(INDIRECT("Columns!K68"))="","",TRIM(INDIRECT("Columns!K68")))</f>
        <v/>
      </c>
      <c r="L68" s="161" t="str">
        <f t="array" aca="1" ref="L68" ca="1">IF(TRIM(INDIRECT("Columns!L68"))="","",TRIM(INDIRECT("Columns!L68")))</f>
        <v/>
      </c>
      <c r="M68" s="161" t="str">
        <f t="array" aca="1" ref="M68" ca="1">IF(TRIM(INDIRECT("Columns!M68"))="","",TRIM(INDIRECT("Columns!M68")))</f>
        <v/>
      </c>
      <c r="N68" s="161" t="str">
        <f t="array" aca="1" ref="N68" ca="1">IF(TRIM(INDIRECT("Columns!N68"))="","",TRIM(INDIRECT("Columns!N68")))</f>
        <v/>
      </c>
      <c r="O68" s="227" t="str">
        <f t="array" aca="1" ref="O68" ca="1">IF(TRIM(INDIRECT("Columns!B68"))="","",TRIM(INDIRECT("Columns!B68")))</f>
        <v/>
      </c>
      <c r="P68" s="227" t="str">
        <f t="array" aca="1" ref="P68" ca="1">IF(TRIM(INDIRECT("Columns!C68"))="","",TRIM(INDIRECT("Columns!C68")))</f>
        <v/>
      </c>
      <c r="Q68" s="227" t="str">
        <f t="array" aca="1" ref="Q68" ca="1">IF(TRIM(INDIRECT("Columns!D68"))="","",TRIM(INDIRECT("Columns!D68")))</f>
        <v/>
      </c>
      <c r="R68" s="227" t="str">
        <f t="array" aca="1" ref="R68" ca="1">IF(TRIM(INDIRECT("Columns!O68"))="","",TRIM(INDIRECT("Columns!O68")))</f>
        <v/>
      </c>
      <c r="S68" t="str">
        <f t="shared" ca="1" si="99"/>
        <v/>
      </c>
      <c r="T68" t="str">
        <f t="shared" ca="1" si="100"/>
        <v/>
      </c>
      <c r="U68" t="str">
        <f t="shared" ca="1" si="101"/>
        <v/>
      </c>
      <c r="V68" t="str">
        <f t="shared" ca="1" si="102"/>
        <v/>
      </c>
      <c r="W68" t="str">
        <f t="shared" ca="1" si="103"/>
        <v/>
      </c>
      <c r="X68" t="str">
        <f t="shared" ca="1" si="104"/>
        <v/>
      </c>
      <c r="Y68" t="str">
        <f t="shared" ca="1" si="105"/>
        <v/>
      </c>
      <c r="Z68" t="str">
        <f t="shared" ca="1" si="129"/>
        <v/>
      </c>
      <c r="AA68" t="str">
        <f ca="1">IF(E68="1",   IF( A68="","",IF(OR(F68="1",H68="1",I68="1"),"","COALESCE (CAST("&amp;A68&amp;" as varchar(" &amp; Options!$B$49&amp; ")),'')")),"")</f>
        <v/>
      </c>
      <c r="AB68" t="str">
        <f ca="1">IF(E68="1", IF(C68="string",  IF( A68="","",IF(OR(F68="1",H68="1",I68="1"),"","COALESCE (CAST(lower("&amp;A68&amp;") as varchar(" &amp;Options!$B$49 &amp; ")),'')")),AA68),"")</f>
        <v/>
      </c>
      <c r="AC68" t="str">
        <f ca="1">IF(E68="4",   IF( A68="","",IF(OR(F68="1",H68="1",I68="1"),"","COALESCE (CAST("  &amp;A68&amp;" as varchar(" &amp; Options!$B$49&amp; ")),'')")),"")</f>
        <v/>
      </c>
      <c r="AD68" t="str">
        <f ca="1">IF(E68="4",   IF( A68="","",IF(OR(F68="1",H68="1",I68="1"),"","COALESCE (CAST(" &amp; HELPER!$B$94 &amp; "."  &amp;A68&amp;" as varchar(" &amp; Options!$B$49&amp; ")),'')")),"")</f>
        <v/>
      </c>
      <c r="AE68" t="str">
        <f t="shared" ca="1" si="106"/>
        <v/>
      </c>
      <c r="AF68" t="str">
        <f ca="1">IF(AE68&lt;&gt;"", HELPER!$B$93 &amp;  "." &amp; AE68,"")</f>
        <v/>
      </c>
      <c r="AG68" t="str">
        <f ca="1">IF(AE68&lt;&gt;"", HELPER!$B$94 &amp; "." &amp; AE68,"")</f>
        <v/>
      </c>
      <c r="AH68" t="str">
        <f t="shared" ca="1" si="130"/>
        <v/>
      </c>
      <c r="AI68" t="str">
        <f t="shared" ca="1" si="107"/>
        <v/>
      </c>
      <c r="AJ68" t="str">
        <f t="shared" ca="1" si="108"/>
        <v/>
      </c>
      <c r="AK68" t="str">
        <f ca="1">IF(E68="4", HELPER!$B$94 &amp;  "." &amp; A68,"")</f>
        <v/>
      </c>
      <c r="AL68" t="str">
        <f ca="1">IF(E68="4", HELPER!$B$93 &amp;  "." &amp; A68,"")</f>
        <v/>
      </c>
      <c r="AM68" t="str">
        <f t="shared" ca="1" si="109"/>
        <v/>
      </c>
      <c r="AN68" t="str">
        <f t="shared" ca="1" si="110"/>
        <v/>
      </c>
      <c r="AO68" t="str">
        <f ca="1">IF(A68&lt;&gt;"", IF(OR(F68="1",H68="1",I68="1"),""," "&amp; HELPER!$B$94 &amp; "." &amp; A68),"")</f>
        <v/>
      </c>
      <c r="AP68" t="str">
        <f t="shared" ca="1" si="111"/>
        <v/>
      </c>
      <c r="AQ68" t="str">
        <f t="shared" ref="AQ68:AQ99" ca="1" si="136">IF(A68="","", IF(E68="4", IF(AN68="","",AN68 &amp; " = " &amp; AO68),""))</f>
        <v/>
      </c>
      <c r="AS68" t="str">
        <f ca="1">IF(A68="","",  HELPER!$B$94 &amp;  "." &amp; A68)</f>
        <v/>
      </c>
      <c r="AT68" t="str">
        <f t="shared" ca="1" si="112"/>
        <v/>
      </c>
      <c r="AU68" t="str">
        <f t="shared" ca="1" si="113"/>
        <v/>
      </c>
      <c r="AV68" s="190" t="str">
        <f t="shared" ca="1" si="114"/>
        <v/>
      </c>
      <c r="AW68" t="str">
        <f t="shared" ca="1" si="115"/>
        <v/>
      </c>
      <c r="AY68" t="str">
        <f t="shared" ca="1" si="116"/>
        <v/>
      </c>
      <c r="BF68" t="str">
        <f t="shared" ca="1" si="117"/>
        <v/>
      </c>
      <c r="BH68" s="285" t="str">
        <f t="shared" ca="1" si="131"/>
        <v/>
      </c>
      <c r="BI68" t="str">
        <f t="shared" ca="1" si="118"/>
        <v/>
      </c>
      <c r="BJ68" t="str">
        <f t="shared" ca="1" si="119"/>
        <v/>
      </c>
      <c r="BK68" t="str">
        <f t="shared" ca="1" si="132"/>
        <v/>
      </c>
      <c r="BM68" t="str">
        <f t="shared" ca="1" si="133"/>
        <v/>
      </c>
      <c r="BN68" t="str">
        <f t="shared" ca="1" si="134"/>
        <v/>
      </c>
      <c r="BO68" t="str">
        <f t="shared" ca="1" si="120"/>
        <v/>
      </c>
      <c r="BP68" t="b">
        <f ca="1">COUNTIF(COLHELPER!A68:'COLHELPER'!A68,COLHELPER!A68)&gt;1</f>
        <v>0</v>
      </c>
      <c r="BQ68">
        <f t="shared" ca="1" si="121"/>
        <v>0</v>
      </c>
      <c r="BR68" s="290" t="str">
        <f t="shared" ca="1" si="48"/>
        <v/>
      </c>
      <c r="BS68" t="str">
        <f t="shared" ca="1" si="122"/>
        <v/>
      </c>
      <c r="BT68" t="str">
        <f t="shared" ca="1" si="135"/>
        <v/>
      </c>
      <c r="BU68" t="str">
        <f t="shared" ca="1" si="123"/>
        <v/>
      </c>
      <c r="BV68">
        <f t="shared" ca="1" si="124"/>
        <v>0</v>
      </c>
      <c r="BW68" t="str">
        <f t="shared" ca="1" si="125"/>
        <v/>
      </c>
      <c r="BX68" t="str">
        <f t="shared" ca="1" si="126"/>
        <v/>
      </c>
      <c r="BY68" t="str">
        <f ca="1">IF(R68="","",IF(R68&gt;Options!$B$3,"ALTER TABLE "&amp;HELPER!$B$4&amp;" ADD COLUMNS ("&amp;A68&amp;" "&amp;C68&amp;")",""))</f>
        <v/>
      </c>
      <c r="BZ68" t="str">
        <f ca="1">IF(R68="","",IF(R68&gt;Options!$B$3,A68,""))</f>
        <v/>
      </c>
      <c r="CA68" t="str">
        <f ca="1">IF(R68="","",IF(R68&gt;Options!$B$3,B68,""))</f>
        <v/>
      </c>
      <c r="CB68" t="str">
        <f t="shared" ca="1" si="127"/>
        <v/>
      </c>
      <c r="CC68">
        <f t="shared" ca="1" si="128"/>
        <v>0</v>
      </c>
      <c r="CD68" t="str">
        <f ca="1">IF(J68="","",Options!$B$23 &amp; "." &amp; J68)</f>
        <v/>
      </c>
    </row>
    <row r="69" spans="1:82">
      <c r="A69" s="161" t="str">
        <f t="array" aca="1" ref="A69" ca="1">IF(TRIM(INDIRECT("Columns!A69")) ="","",TRIM(INDIRECT("Columns!A69")))</f>
        <v/>
      </c>
      <c r="B69" s="161" t="str">
        <f t="shared" ca="1" si="96"/>
        <v/>
      </c>
      <c r="C69" s="161" t="str">
        <f t="shared" ca="1" si="97"/>
        <v/>
      </c>
      <c r="D69" s="161" t="str">
        <f t="shared" ca="1" si="98"/>
        <v/>
      </c>
      <c r="E69" s="161" t="str">
        <f t="array" aca="1" ref="E69" ca="1">IF(TRIM(INDIRECT("Columns!E69"))="","",TRIM(INDIRECT("Columns!E69")))</f>
        <v/>
      </c>
      <c r="F69" s="161" t="str">
        <f t="array" aca="1" ref="F69" ca="1">IF(TRIM(INDIRECT("Columns!G69"))="","",TRIM(INDIRECT("Columns!G69")))</f>
        <v/>
      </c>
      <c r="G69" s="161" t="str">
        <f t="array" aca="1" ref="G69" ca="1">IF(TRIM(INDIRECT("Columns!F69"))="","",TRIM(INDIRECT("Columns!F69")))</f>
        <v/>
      </c>
      <c r="H69" s="161" t="str">
        <f t="array" aca="1" ref="H69" ca="1">IF(TRIM(INDIRECT("Columns!H69"))="","",TRIM(INDIRECT("Columns!H69")))</f>
        <v/>
      </c>
      <c r="I69" s="161" t="str">
        <f t="array" aca="1" ref="I69" ca="1">IF(TRIM(INDIRECT("Columns!I69"))="","",TRIM(INDIRECT("Columns!I69")))</f>
        <v/>
      </c>
      <c r="J69" s="161" t="str">
        <f t="array" aca="1" ref="J69" ca="1">IF(TRIM(INDIRECT("Columns!J69"))="","",TRIM(INDIRECT("Columns!J69")))</f>
        <v/>
      </c>
      <c r="K69" s="161" t="str">
        <f t="array" aca="1" ref="K69" ca="1">IF(TRIM(INDIRECT("Columns!K69"))="","",TRIM(INDIRECT("Columns!K69")))</f>
        <v/>
      </c>
      <c r="L69" s="161" t="str">
        <f t="array" aca="1" ref="L69" ca="1">IF(TRIM(INDIRECT("Columns!L69"))="","",TRIM(INDIRECT("Columns!L69")))</f>
        <v/>
      </c>
      <c r="M69" s="161" t="str">
        <f t="array" aca="1" ref="M69" ca="1">IF(TRIM(INDIRECT("Columns!M69"))="","",TRIM(INDIRECT("Columns!M69")))</f>
        <v/>
      </c>
      <c r="N69" s="161" t="str">
        <f t="array" aca="1" ref="N69" ca="1">IF(TRIM(INDIRECT("Columns!N69"))="","",TRIM(INDIRECT("Columns!N69")))</f>
        <v/>
      </c>
      <c r="O69" s="227" t="str">
        <f t="array" aca="1" ref="O69" ca="1">IF(TRIM(INDIRECT("Columns!B69"))="","",TRIM(INDIRECT("Columns!B69")))</f>
        <v/>
      </c>
      <c r="P69" s="227" t="str">
        <f t="array" aca="1" ref="P69" ca="1">IF(TRIM(INDIRECT("Columns!C69"))="","",TRIM(INDIRECT("Columns!C69")))</f>
        <v/>
      </c>
      <c r="Q69" s="227" t="str">
        <f t="array" aca="1" ref="Q69" ca="1">IF(TRIM(INDIRECT("Columns!D69"))="","",TRIM(INDIRECT("Columns!D69")))</f>
        <v/>
      </c>
      <c r="R69" s="227" t="str">
        <f t="array" aca="1" ref="R69" ca="1">IF(TRIM(INDIRECT("Columns!O69"))="","",TRIM(INDIRECT("Columns!O69")))</f>
        <v/>
      </c>
      <c r="S69" t="str">
        <f t="shared" ca="1" si="99"/>
        <v/>
      </c>
      <c r="T69" t="str">
        <f t="shared" ca="1" si="100"/>
        <v/>
      </c>
      <c r="U69" t="str">
        <f t="shared" ca="1" si="101"/>
        <v/>
      </c>
      <c r="V69" t="str">
        <f t="shared" ca="1" si="102"/>
        <v/>
      </c>
      <c r="W69" t="str">
        <f t="shared" ca="1" si="103"/>
        <v/>
      </c>
      <c r="X69" t="str">
        <f t="shared" ca="1" si="104"/>
        <v/>
      </c>
      <c r="Y69" t="str">
        <f t="shared" ca="1" si="105"/>
        <v/>
      </c>
      <c r="Z69" t="str">
        <f t="shared" ca="1" si="129"/>
        <v/>
      </c>
      <c r="AA69" t="str">
        <f ca="1">IF(E69="1",   IF( A69="","",IF(OR(F69="1",H69="1",I69="1"),"","COALESCE (CAST("&amp;A69&amp;" as varchar(" &amp; Options!$B$49&amp; ")),'')")),"")</f>
        <v/>
      </c>
      <c r="AB69" t="str">
        <f ca="1">IF(E69="1", IF(C69="string",  IF( A69="","",IF(OR(F69="1",H69="1",I69="1"),"","COALESCE (CAST(lower("&amp;A69&amp;") as varchar(" &amp;Options!$B$49 &amp; ")),'')")),AA69),"")</f>
        <v/>
      </c>
      <c r="AC69" t="str">
        <f ca="1">IF(E69="4",   IF( A69="","",IF(OR(F69="1",H69="1",I69="1"),"","COALESCE (CAST("  &amp;A69&amp;" as varchar(" &amp; Options!$B$49&amp; ")),'')")),"")</f>
        <v/>
      </c>
      <c r="AD69" t="str">
        <f ca="1">IF(E69="4",   IF( A69="","",IF(OR(F69="1",H69="1",I69="1"),"","COALESCE (CAST(" &amp; HELPER!$B$94 &amp; "."  &amp;A69&amp;" as varchar(" &amp; Options!$B$49&amp; ")),'')")),"")</f>
        <v/>
      </c>
      <c r="AE69" t="str">
        <f t="shared" ca="1" si="106"/>
        <v/>
      </c>
      <c r="AF69" t="str">
        <f ca="1">IF(AE69&lt;&gt;"", HELPER!$B$93 &amp;  "." &amp; AE69,"")</f>
        <v/>
      </c>
      <c r="AG69" t="str">
        <f ca="1">IF(AE69&lt;&gt;"", HELPER!$B$94 &amp; "." &amp; AE69,"")</f>
        <v/>
      </c>
      <c r="AH69" t="str">
        <f t="shared" ca="1" si="130"/>
        <v/>
      </c>
      <c r="AI69" t="str">
        <f t="shared" ca="1" si="107"/>
        <v/>
      </c>
      <c r="AJ69" t="str">
        <f t="shared" ca="1" si="108"/>
        <v/>
      </c>
      <c r="AK69" t="str">
        <f ca="1">IF(E69="4", HELPER!$B$94 &amp;  "." &amp; A69,"")</f>
        <v/>
      </c>
      <c r="AL69" t="str">
        <f ca="1">IF(E69="4", HELPER!$B$93 &amp;  "." &amp; A69,"")</f>
        <v/>
      </c>
      <c r="AM69" t="str">
        <f t="shared" ca="1" si="109"/>
        <v/>
      </c>
      <c r="AN69" t="str">
        <f t="shared" ca="1" si="110"/>
        <v/>
      </c>
      <c r="AO69" t="str">
        <f ca="1">IF(A69&lt;&gt;"", IF(OR(F69="1",H69="1",I69="1"),""," "&amp; HELPER!$B$94 &amp; "." &amp; A69),"")</f>
        <v/>
      </c>
      <c r="AP69" t="str">
        <f t="shared" ca="1" si="111"/>
        <v/>
      </c>
      <c r="AQ69" t="str">
        <f t="shared" ca="1" si="136"/>
        <v/>
      </c>
      <c r="AS69" t="str">
        <f ca="1">IF(A69="","",  HELPER!$B$94 &amp;  "." &amp; A69)</f>
        <v/>
      </c>
      <c r="AT69" t="str">
        <f t="shared" ca="1" si="112"/>
        <v/>
      </c>
      <c r="AU69" t="str">
        <f t="shared" ca="1" si="113"/>
        <v/>
      </c>
      <c r="AV69" s="190" t="str">
        <f t="shared" ca="1" si="114"/>
        <v/>
      </c>
      <c r="AW69" t="str">
        <f t="shared" ca="1" si="115"/>
        <v/>
      </c>
      <c r="AY69" t="str">
        <f t="shared" ca="1" si="116"/>
        <v/>
      </c>
      <c r="BF69" t="str">
        <f t="shared" ca="1" si="117"/>
        <v/>
      </c>
      <c r="BH69" s="285" t="str">
        <f t="shared" ca="1" si="131"/>
        <v/>
      </c>
      <c r="BI69" t="str">
        <f t="shared" ca="1" si="118"/>
        <v/>
      </c>
      <c r="BJ69" t="str">
        <f t="shared" ca="1" si="119"/>
        <v/>
      </c>
      <c r="BK69" t="str">
        <f t="shared" ca="1" si="132"/>
        <v/>
      </c>
      <c r="BM69" t="str">
        <f t="shared" ca="1" si="133"/>
        <v/>
      </c>
      <c r="BN69" t="str">
        <f t="shared" ca="1" si="134"/>
        <v/>
      </c>
      <c r="BO69" t="str">
        <f t="shared" ca="1" si="120"/>
        <v/>
      </c>
      <c r="BP69" t="b">
        <f ca="1">COUNTIF(COLHELPER!A69:'COLHELPER'!A69,COLHELPER!A69)&gt;1</f>
        <v>0</v>
      </c>
      <c r="BQ69">
        <f t="shared" ca="1" si="121"/>
        <v>0</v>
      </c>
      <c r="BR69" s="290" t="str">
        <f t="shared" ref="BR69:BR132" ca="1" si="137">SUBSTITUTE(IF(M69&lt;&gt;"",A69 &amp; M69,""),"$eq","=")</f>
        <v/>
      </c>
      <c r="BS69" t="str">
        <f t="shared" ca="1" si="122"/>
        <v/>
      </c>
      <c r="BT69" t="str">
        <f t="shared" ca="1" si="135"/>
        <v/>
      </c>
      <c r="BU69" t="str">
        <f t="shared" ca="1" si="123"/>
        <v/>
      </c>
      <c r="BV69">
        <f t="shared" ca="1" si="124"/>
        <v>0</v>
      </c>
      <c r="BW69" t="str">
        <f t="shared" ca="1" si="125"/>
        <v/>
      </c>
      <c r="BX69" t="str">
        <f t="shared" ca="1" si="126"/>
        <v/>
      </c>
      <c r="BY69" t="str">
        <f ca="1">IF(R69="","",IF(R69&gt;Options!$B$3,"ALTER TABLE "&amp;HELPER!$B$4&amp;" ADD COLUMNS ("&amp;A69&amp;" "&amp;C69&amp;")",""))</f>
        <v/>
      </c>
      <c r="BZ69" t="str">
        <f ca="1">IF(R69="","",IF(R69&gt;Options!$B$3,A69,""))</f>
        <v/>
      </c>
      <c r="CA69" t="str">
        <f ca="1">IF(R69="","",IF(R69&gt;Options!$B$3,B69,""))</f>
        <v/>
      </c>
      <c r="CB69" t="str">
        <f t="shared" ca="1" si="127"/>
        <v/>
      </c>
      <c r="CC69">
        <f t="shared" ca="1" si="128"/>
        <v>0</v>
      </c>
      <c r="CD69" t="str">
        <f ca="1">IF(J69="","",Options!$B$23 &amp; "." &amp; J69)</f>
        <v/>
      </c>
    </row>
    <row r="70" spans="1:82">
      <c r="A70" s="161" t="str">
        <f t="array" aca="1" ref="A70" ca="1">IF(TRIM(INDIRECT("Columns!A70")) ="","",TRIM(INDIRECT("Columns!A70")))</f>
        <v/>
      </c>
      <c r="B70" s="161" t="str">
        <f t="shared" ca="1" si="96"/>
        <v/>
      </c>
      <c r="C70" s="161" t="str">
        <f t="shared" ca="1" si="97"/>
        <v/>
      </c>
      <c r="D70" s="161" t="str">
        <f t="shared" ca="1" si="98"/>
        <v/>
      </c>
      <c r="E70" s="161" t="str">
        <f t="array" aca="1" ref="E70" ca="1">IF(TRIM(INDIRECT("Columns!E70"))="","",TRIM(INDIRECT("Columns!E70")))</f>
        <v/>
      </c>
      <c r="F70" s="161" t="str">
        <f t="array" aca="1" ref="F70" ca="1">IF(TRIM(INDIRECT("Columns!G70"))="","",TRIM(INDIRECT("Columns!G70")))</f>
        <v/>
      </c>
      <c r="G70" s="161" t="str">
        <f t="array" aca="1" ref="G70" ca="1">IF(TRIM(INDIRECT("Columns!F70"))="","",TRIM(INDIRECT("Columns!F70")))</f>
        <v/>
      </c>
      <c r="H70" s="161" t="str">
        <f t="array" aca="1" ref="H70" ca="1">IF(TRIM(INDIRECT("Columns!H70"))="","",TRIM(INDIRECT("Columns!H70")))</f>
        <v/>
      </c>
      <c r="I70" s="161" t="str">
        <f t="array" aca="1" ref="I70" ca="1">IF(TRIM(INDIRECT("Columns!I70"))="","",TRIM(INDIRECT("Columns!I70")))</f>
        <v/>
      </c>
      <c r="J70" s="161" t="str">
        <f t="array" aca="1" ref="J70" ca="1">IF(TRIM(INDIRECT("Columns!J70"))="","",TRIM(INDIRECT("Columns!J70")))</f>
        <v/>
      </c>
      <c r="K70" s="161" t="str">
        <f t="array" aca="1" ref="K70" ca="1">IF(TRIM(INDIRECT("Columns!K70"))="","",TRIM(INDIRECT("Columns!K70")))</f>
        <v/>
      </c>
      <c r="L70" s="161" t="str">
        <f t="array" aca="1" ref="L70" ca="1">IF(TRIM(INDIRECT("Columns!L70"))="","",TRIM(INDIRECT("Columns!L70")))</f>
        <v/>
      </c>
      <c r="M70" s="161" t="str">
        <f t="array" aca="1" ref="M70" ca="1">IF(TRIM(INDIRECT("Columns!M70"))="","",TRIM(INDIRECT("Columns!M70")))</f>
        <v/>
      </c>
      <c r="N70" s="161" t="str">
        <f t="array" aca="1" ref="N70" ca="1">IF(TRIM(INDIRECT("Columns!N70"))="","",TRIM(INDIRECT("Columns!N70")))</f>
        <v/>
      </c>
      <c r="O70" s="227" t="str">
        <f t="array" aca="1" ref="O70" ca="1">IF(TRIM(INDIRECT("Columns!B70"))="","",TRIM(INDIRECT("Columns!B70")))</f>
        <v/>
      </c>
      <c r="P70" s="227" t="str">
        <f t="array" aca="1" ref="P70" ca="1">IF(TRIM(INDIRECT("Columns!C70"))="","",TRIM(INDIRECT("Columns!C70")))</f>
        <v/>
      </c>
      <c r="Q70" s="227" t="str">
        <f t="array" aca="1" ref="Q70" ca="1">IF(TRIM(INDIRECT("Columns!D70"))="","",TRIM(INDIRECT("Columns!D70")))</f>
        <v/>
      </c>
      <c r="R70" s="227" t="str">
        <f t="array" aca="1" ref="R70" ca="1">IF(TRIM(INDIRECT("Columns!O70"))="","",TRIM(INDIRECT("Columns!O70")))</f>
        <v/>
      </c>
      <c r="S70" t="str">
        <f t="shared" ca="1" si="99"/>
        <v/>
      </c>
      <c r="T70" t="str">
        <f t="shared" ca="1" si="100"/>
        <v/>
      </c>
      <c r="U70" t="str">
        <f t="shared" ca="1" si="101"/>
        <v/>
      </c>
      <c r="V70" t="str">
        <f t="shared" ca="1" si="102"/>
        <v/>
      </c>
      <c r="W70" t="str">
        <f t="shared" ca="1" si="103"/>
        <v/>
      </c>
      <c r="X70" t="str">
        <f t="shared" ca="1" si="104"/>
        <v/>
      </c>
      <c r="Y70" t="str">
        <f t="shared" ca="1" si="105"/>
        <v/>
      </c>
      <c r="Z70" t="str">
        <f t="shared" ca="1" si="129"/>
        <v/>
      </c>
      <c r="AA70" t="str">
        <f ca="1">IF(E70="1",   IF( A70="","",IF(OR(F70="1",H70="1",I70="1"),"","COALESCE (CAST("&amp;A70&amp;" as varchar(" &amp; Options!$B$49&amp; ")),'')")),"")</f>
        <v/>
      </c>
      <c r="AB70" t="str">
        <f ca="1">IF(E70="1", IF(C70="string",  IF( A70="","",IF(OR(F70="1",H70="1",I70="1"),"","COALESCE (CAST(lower("&amp;A70&amp;") as varchar(" &amp;Options!$B$49 &amp; ")),'')")),AA70),"")</f>
        <v/>
      </c>
      <c r="AC70" t="str">
        <f ca="1">IF(E70="4",   IF( A70="","",IF(OR(F70="1",H70="1",I70="1"),"","COALESCE (CAST("  &amp;A70&amp;" as varchar(" &amp; Options!$B$49&amp; ")),'')")),"")</f>
        <v/>
      </c>
      <c r="AD70" t="str">
        <f ca="1">IF(E70="4",   IF( A70="","",IF(OR(F70="1",H70="1",I70="1"),"","COALESCE (CAST(" &amp; HELPER!$B$94 &amp; "."  &amp;A70&amp;" as varchar(" &amp; Options!$B$49&amp; ")),'')")),"")</f>
        <v/>
      </c>
      <c r="AE70" t="str">
        <f t="shared" ca="1" si="106"/>
        <v/>
      </c>
      <c r="AF70" t="str">
        <f ca="1">IF(AE70&lt;&gt;"", HELPER!$B$93 &amp;  "." &amp; AE70,"")</f>
        <v/>
      </c>
      <c r="AG70" t="str">
        <f ca="1">IF(AE70&lt;&gt;"", HELPER!$B$94 &amp; "." &amp; AE70,"")</f>
        <v/>
      </c>
      <c r="AH70" t="str">
        <f t="shared" ca="1" si="130"/>
        <v/>
      </c>
      <c r="AI70" t="str">
        <f t="shared" ca="1" si="107"/>
        <v/>
      </c>
      <c r="AJ70" t="str">
        <f t="shared" ca="1" si="108"/>
        <v/>
      </c>
      <c r="AK70" t="str">
        <f ca="1">IF(E70="4", HELPER!$B$94 &amp;  "." &amp; A70,"")</f>
        <v/>
      </c>
      <c r="AL70" t="str">
        <f ca="1">IF(E70="4", HELPER!$B$93 &amp;  "." &amp; A70,"")</f>
        <v/>
      </c>
      <c r="AM70" t="str">
        <f t="shared" ca="1" si="109"/>
        <v/>
      </c>
      <c r="AN70" t="str">
        <f t="shared" ca="1" si="110"/>
        <v/>
      </c>
      <c r="AO70" t="str">
        <f ca="1">IF(A70&lt;&gt;"", IF(OR(F70="1",H70="1",I70="1"),""," "&amp; HELPER!$B$94 &amp; "." &amp; A70),"")</f>
        <v/>
      </c>
      <c r="AP70" t="str">
        <f t="shared" ca="1" si="111"/>
        <v/>
      </c>
      <c r="AQ70" t="str">
        <f t="shared" ca="1" si="136"/>
        <v/>
      </c>
      <c r="AS70" t="str">
        <f ca="1">IF(A70="","",  HELPER!$B$94 &amp;  "." &amp; A70)</f>
        <v/>
      </c>
      <c r="AT70" t="str">
        <f t="shared" ca="1" si="112"/>
        <v/>
      </c>
      <c r="AU70" t="str">
        <f t="shared" ca="1" si="113"/>
        <v/>
      </c>
      <c r="AV70" s="190" t="str">
        <f t="shared" ca="1" si="114"/>
        <v/>
      </c>
      <c r="AW70" t="str">
        <f t="shared" ca="1" si="115"/>
        <v/>
      </c>
      <c r="AY70" t="str">
        <f t="shared" ca="1" si="116"/>
        <v/>
      </c>
      <c r="BF70" t="str">
        <f t="shared" ca="1" si="117"/>
        <v/>
      </c>
      <c r="BH70" s="285" t="str">
        <f t="shared" ca="1" si="131"/>
        <v/>
      </c>
      <c r="BI70" t="str">
        <f t="shared" ca="1" si="118"/>
        <v/>
      </c>
      <c r="BJ70" t="str">
        <f t="shared" ca="1" si="119"/>
        <v/>
      </c>
      <c r="BK70" t="str">
        <f t="shared" ca="1" si="132"/>
        <v/>
      </c>
      <c r="BM70" t="str">
        <f t="shared" ca="1" si="133"/>
        <v/>
      </c>
      <c r="BN70" t="str">
        <f t="shared" ca="1" si="134"/>
        <v/>
      </c>
      <c r="BO70" t="str">
        <f t="shared" ca="1" si="120"/>
        <v/>
      </c>
      <c r="BP70" t="b">
        <f ca="1">COUNTIF(COLHELPER!A70:'COLHELPER'!A70,COLHELPER!A70)&gt;1</f>
        <v>0</v>
      </c>
      <c r="BQ70">
        <f t="shared" ca="1" si="121"/>
        <v>0</v>
      </c>
      <c r="BR70" s="290" t="str">
        <f t="shared" ca="1" si="137"/>
        <v/>
      </c>
      <c r="BS70" t="str">
        <f t="shared" ca="1" si="122"/>
        <v/>
      </c>
      <c r="BT70" t="str">
        <f t="shared" ca="1" si="135"/>
        <v/>
      </c>
      <c r="BU70" t="str">
        <f t="shared" ca="1" si="123"/>
        <v/>
      </c>
      <c r="BV70">
        <f t="shared" ca="1" si="124"/>
        <v>0</v>
      </c>
      <c r="BW70" t="str">
        <f t="shared" ca="1" si="125"/>
        <v/>
      </c>
      <c r="BX70" t="str">
        <f t="shared" ca="1" si="126"/>
        <v/>
      </c>
      <c r="BY70" t="str">
        <f ca="1">IF(R70="","",IF(R70&gt;Options!$B$3,"ALTER TABLE "&amp;HELPER!$B$4&amp;" ADD COLUMNS ("&amp;A70&amp;" "&amp;C70&amp;")",""))</f>
        <v/>
      </c>
      <c r="BZ70" t="str">
        <f ca="1">IF(R70="","",IF(R70&gt;Options!$B$3,A70,""))</f>
        <v/>
      </c>
      <c r="CA70" t="str">
        <f ca="1">IF(R70="","",IF(R70&gt;Options!$B$3,B70,""))</f>
        <v/>
      </c>
      <c r="CB70" t="str">
        <f t="shared" ca="1" si="127"/>
        <v/>
      </c>
      <c r="CC70">
        <f t="shared" ca="1" si="128"/>
        <v>0</v>
      </c>
      <c r="CD70" t="str">
        <f ca="1">IF(J70="","",Options!$B$23 &amp; "." &amp; J70)</f>
        <v/>
      </c>
    </row>
    <row r="71" spans="1:82">
      <c r="A71" s="161" t="str">
        <f t="array" aca="1" ref="A71" ca="1">IF(TRIM(INDIRECT("Columns!A71")) ="","",TRIM(INDIRECT("Columns!A71")))</f>
        <v/>
      </c>
      <c r="B71" s="161" t="str">
        <f t="shared" ca="1" si="96"/>
        <v/>
      </c>
      <c r="C71" s="161" t="str">
        <f t="shared" ca="1" si="97"/>
        <v/>
      </c>
      <c r="D71" s="161" t="str">
        <f t="shared" ca="1" si="98"/>
        <v/>
      </c>
      <c r="E71" s="161" t="str">
        <f t="array" aca="1" ref="E71" ca="1">IF(TRIM(INDIRECT("Columns!E71"))="","",TRIM(INDIRECT("Columns!E71")))</f>
        <v/>
      </c>
      <c r="F71" s="161" t="str">
        <f t="array" aca="1" ref="F71" ca="1">IF(TRIM(INDIRECT("Columns!G71"))="","",TRIM(INDIRECT("Columns!G71")))</f>
        <v/>
      </c>
      <c r="G71" s="161" t="str">
        <f t="array" aca="1" ref="G71" ca="1">IF(TRIM(INDIRECT("Columns!F71"))="","",TRIM(INDIRECT("Columns!F71")))</f>
        <v/>
      </c>
      <c r="H71" s="161" t="str">
        <f t="array" aca="1" ref="H71" ca="1">IF(TRIM(INDIRECT("Columns!H71"))="","",TRIM(INDIRECT("Columns!H71")))</f>
        <v/>
      </c>
      <c r="I71" s="161" t="str">
        <f t="array" aca="1" ref="I71" ca="1">IF(TRIM(INDIRECT("Columns!I71"))="","",TRIM(INDIRECT("Columns!I71")))</f>
        <v/>
      </c>
      <c r="J71" s="161" t="str">
        <f t="array" aca="1" ref="J71" ca="1">IF(TRIM(INDIRECT("Columns!J71"))="","",TRIM(INDIRECT("Columns!J71")))</f>
        <v/>
      </c>
      <c r="K71" s="161" t="str">
        <f t="array" aca="1" ref="K71" ca="1">IF(TRIM(INDIRECT("Columns!K71"))="","",TRIM(INDIRECT("Columns!K71")))</f>
        <v/>
      </c>
      <c r="L71" s="161" t="str">
        <f t="array" aca="1" ref="L71" ca="1">IF(TRIM(INDIRECT("Columns!L71"))="","",TRIM(INDIRECT("Columns!L71")))</f>
        <v/>
      </c>
      <c r="M71" s="161" t="str">
        <f t="array" aca="1" ref="M71" ca="1">IF(TRIM(INDIRECT("Columns!M71"))="","",TRIM(INDIRECT("Columns!M71")))</f>
        <v/>
      </c>
      <c r="N71" s="161" t="str">
        <f t="array" aca="1" ref="N71" ca="1">IF(TRIM(INDIRECT("Columns!N71"))="","",TRIM(INDIRECT("Columns!N71")))</f>
        <v/>
      </c>
      <c r="O71" s="227" t="str">
        <f t="array" aca="1" ref="O71" ca="1">IF(TRIM(INDIRECT("Columns!B71"))="","",TRIM(INDIRECT("Columns!B71")))</f>
        <v/>
      </c>
      <c r="P71" s="227" t="str">
        <f t="array" aca="1" ref="P71" ca="1">IF(TRIM(INDIRECT("Columns!C71"))="","",TRIM(INDIRECT("Columns!C71")))</f>
        <v/>
      </c>
      <c r="Q71" s="227" t="str">
        <f t="array" aca="1" ref="Q71" ca="1">IF(TRIM(INDIRECT("Columns!D71"))="","",TRIM(INDIRECT("Columns!D71")))</f>
        <v/>
      </c>
      <c r="R71" s="227" t="str">
        <f t="array" aca="1" ref="R71" ca="1">IF(TRIM(INDIRECT("Columns!O71"))="","",TRIM(INDIRECT("Columns!O71")))</f>
        <v/>
      </c>
      <c r="S71" t="str">
        <f t="shared" ca="1" si="99"/>
        <v/>
      </c>
      <c r="T71" t="str">
        <f t="shared" ca="1" si="100"/>
        <v/>
      </c>
      <c r="U71" t="str">
        <f t="shared" ca="1" si="101"/>
        <v/>
      </c>
      <c r="V71" t="str">
        <f t="shared" ca="1" si="102"/>
        <v/>
      </c>
      <c r="W71" t="str">
        <f t="shared" ca="1" si="103"/>
        <v/>
      </c>
      <c r="X71" t="str">
        <f t="shared" ca="1" si="104"/>
        <v/>
      </c>
      <c r="Y71" t="str">
        <f t="shared" ca="1" si="105"/>
        <v/>
      </c>
      <c r="Z71" t="str">
        <f t="shared" ca="1" si="129"/>
        <v/>
      </c>
      <c r="AA71" t="str">
        <f ca="1">IF(E71="1",   IF( A71="","",IF(OR(F71="1",H71="1",I71="1"),"","COALESCE (CAST("&amp;A71&amp;" as varchar(" &amp; Options!$B$49&amp; ")),'')")),"")</f>
        <v/>
      </c>
      <c r="AB71" t="str">
        <f ca="1">IF(E71="1", IF(C71="string",  IF( A71="","",IF(OR(F71="1",H71="1",I71="1"),"","COALESCE (CAST(lower("&amp;A71&amp;") as varchar(" &amp;Options!$B$49 &amp; ")),'')")),AA71),"")</f>
        <v/>
      </c>
      <c r="AC71" t="str">
        <f ca="1">IF(E71="4",   IF( A71="","",IF(OR(F71="1",H71="1",I71="1"),"","COALESCE (CAST("  &amp;A71&amp;" as varchar(" &amp; Options!$B$49&amp; ")),'')")),"")</f>
        <v/>
      </c>
      <c r="AD71" t="str">
        <f ca="1">IF(E71="4",   IF( A71="","",IF(OR(F71="1",H71="1",I71="1"),"","COALESCE (CAST(" &amp; HELPER!$B$94 &amp; "."  &amp;A71&amp;" as varchar(" &amp; Options!$B$49&amp; ")),'')")),"")</f>
        <v/>
      </c>
      <c r="AE71" t="str">
        <f t="shared" ca="1" si="106"/>
        <v/>
      </c>
      <c r="AF71" t="str">
        <f ca="1">IF(AE71&lt;&gt;"", HELPER!$B$93 &amp;  "." &amp; AE71,"")</f>
        <v/>
      </c>
      <c r="AG71" t="str">
        <f ca="1">IF(AE71&lt;&gt;"", HELPER!$B$94 &amp; "." &amp; AE71,"")</f>
        <v/>
      </c>
      <c r="AH71" t="str">
        <f t="shared" ca="1" si="130"/>
        <v/>
      </c>
      <c r="AI71" t="str">
        <f t="shared" ca="1" si="107"/>
        <v/>
      </c>
      <c r="AJ71" t="str">
        <f t="shared" ca="1" si="108"/>
        <v/>
      </c>
      <c r="AK71" t="str">
        <f ca="1">IF(E71="4", HELPER!$B$94 &amp;  "." &amp; A71,"")</f>
        <v/>
      </c>
      <c r="AL71" t="str">
        <f ca="1">IF(E71="4", HELPER!$B$93 &amp;  "." &amp; A71,"")</f>
        <v/>
      </c>
      <c r="AM71" t="str">
        <f t="shared" ca="1" si="109"/>
        <v/>
      </c>
      <c r="AN71" t="str">
        <f t="shared" ca="1" si="110"/>
        <v/>
      </c>
      <c r="AO71" t="str">
        <f ca="1">IF(A71&lt;&gt;"", IF(OR(F71="1",H71="1",I71="1"),""," "&amp; HELPER!$B$94 &amp; "." &amp; A71),"")</f>
        <v/>
      </c>
      <c r="AP71" t="str">
        <f t="shared" ca="1" si="111"/>
        <v/>
      </c>
      <c r="AQ71" t="str">
        <f t="shared" ca="1" si="136"/>
        <v/>
      </c>
      <c r="AS71" t="str">
        <f ca="1">IF(A71="","",  HELPER!$B$94 &amp;  "." &amp; A71)</f>
        <v/>
      </c>
      <c r="AT71" t="str">
        <f t="shared" ca="1" si="112"/>
        <v/>
      </c>
      <c r="AU71" t="str">
        <f t="shared" ca="1" si="113"/>
        <v/>
      </c>
      <c r="AV71" s="190" t="str">
        <f t="shared" ca="1" si="114"/>
        <v/>
      </c>
      <c r="AW71" t="str">
        <f t="shared" ca="1" si="115"/>
        <v/>
      </c>
      <c r="AY71" t="str">
        <f t="shared" ca="1" si="116"/>
        <v/>
      </c>
      <c r="BF71" t="str">
        <f t="shared" ca="1" si="117"/>
        <v/>
      </c>
      <c r="BH71" s="285" t="str">
        <f t="shared" ca="1" si="131"/>
        <v/>
      </c>
      <c r="BI71" t="str">
        <f t="shared" ca="1" si="118"/>
        <v/>
      </c>
      <c r="BJ71" t="str">
        <f t="shared" ca="1" si="119"/>
        <v/>
      </c>
      <c r="BK71" t="str">
        <f t="shared" ca="1" si="132"/>
        <v/>
      </c>
      <c r="BM71" t="str">
        <f t="shared" ca="1" si="133"/>
        <v/>
      </c>
      <c r="BN71" t="str">
        <f t="shared" ca="1" si="134"/>
        <v/>
      </c>
      <c r="BO71" t="str">
        <f t="shared" ca="1" si="120"/>
        <v/>
      </c>
      <c r="BP71" t="b">
        <f ca="1">COUNTIF(COLHELPER!A71:'COLHELPER'!A71,COLHELPER!A71)&gt;1</f>
        <v>0</v>
      </c>
      <c r="BQ71">
        <f t="shared" ca="1" si="121"/>
        <v>0</v>
      </c>
      <c r="BR71" s="290" t="str">
        <f t="shared" ca="1" si="137"/>
        <v/>
      </c>
      <c r="BS71" t="str">
        <f t="shared" ca="1" si="122"/>
        <v/>
      </c>
      <c r="BT71" t="str">
        <f t="shared" ca="1" si="135"/>
        <v/>
      </c>
      <c r="BU71" t="str">
        <f t="shared" ca="1" si="123"/>
        <v/>
      </c>
      <c r="BV71">
        <f t="shared" ca="1" si="124"/>
        <v>0</v>
      </c>
      <c r="BW71" t="str">
        <f t="shared" ca="1" si="125"/>
        <v/>
      </c>
      <c r="BX71" t="str">
        <f t="shared" ca="1" si="126"/>
        <v/>
      </c>
      <c r="BY71" t="str">
        <f ca="1">IF(R71="","",IF(R71&gt;Options!$B$3,"ALTER TABLE "&amp;HELPER!$B$4&amp;" ADD COLUMNS ("&amp;A71&amp;" "&amp;C71&amp;")",""))</f>
        <v/>
      </c>
      <c r="BZ71" t="str">
        <f ca="1">IF(R71="","",IF(R71&gt;Options!$B$3,A71,""))</f>
        <v/>
      </c>
      <c r="CA71" t="str">
        <f ca="1">IF(R71="","",IF(R71&gt;Options!$B$3,B71,""))</f>
        <v/>
      </c>
      <c r="CB71" t="str">
        <f t="shared" ca="1" si="127"/>
        <v/>
      </c>
      <c r="CC71">
        <f t="shared" ca="1" si="128"/>
        <v>0</v>
      </c>
      <c r="CD71" t="str">
        <f ca="1">IF(J71="","",Options!$B$23 &amp; "." &amp; J71)</f>
        <v/>
      </c>
    </row>
    <row r="72" spans="1:82">
      <c r="A72" s="161" t="str">
        <f t="array" aca="1" ref="A72" ca="1">IF(TRIM(INDIRECT("Columns!A72")) ="","",TRIM(INDIRECT("Columns!A72")))</f>
        <v/>
      </c>
      <c r="B72" s="161" t="str">
        <f t="shared" ca="1" si="96"/>
        <v/>
      </c>
      <c r="C72" s="161" t="str">
        <f t="shared" ca="1" si="97"/>
        <v/>
      </c>
      <c r="D72" s="161" t="str">
        <f t="shared" ca="1" si="98"/>
        <v/>
      </c>
      <c r="E72" s="161" t="str">
        <f t="array" aca="1" ref="E72" ca="1">IF(TRIM(INDIRECT("Columns!E72"))="","",TRIM(INDIRECT("Columns!E72")))</f>
        <v/>
      </c>
      <c r="F72" s="161" t="str">
        <f t="array" aca="1" ref="F72" ca="1">IF(TRIM(INDIRECT("Columns!G72"))="","",TRIM(INDIRECT("Columns!G72")))</f>
        <v/>
      </c>
      <c r="G72" s="161" t="str">
        <f t="array" aca="1" ref="G72" ca="1">IF(TRIM(INDIRECT("Columns!F72"))="","",TRIM(INDIRECT("Columns!F72")))</f>
        <v/>
      </c>
      <c r="H72" s="161" t="str">
        <f t="array" aca="1" ref="H72" ca="1">IF(TRIM(INDIRECT("Columns!H72"))="","",TRIM(INDIRECT("Columns!H72")))</f>
        <v/>
      </c>
      <c r="I72" s="161" t="str">
        <f t="array" aca="1" ref="I72" ca="1">IF(TRIM(INDIRECT("Columns!I72"))="","",TRIM(INDIRECT("Columns!I72")))</f>
        <v/>
      </c>
      <c r="J72" s="161" t="str">
        <f t="array" aca="1" ref="J72" ca="1">IF(TRIM(INDIRECT("Columns!J72"))="","",TRIM(INDIRECT("Columns!J72")))</f>
        <v/>
      </c>
      <c r="K72" s="161" t="str">
        <f t="array" aca="1" ref="K72" ca="1">IF(TRIM(INDIRECT("Columns!K72"))="","",TRIM(INDIRECT("Columns!K72")))</f>
        <v/>
      </c>
      <c r="L72" s="161" t="str">
        <f t="array" aca="1" ref="L72" ca="1">IF(TRIM(INDIRECT("Columns!L72"))="","",TRIM(INDIRECT("Columns!L72")))</f>
        <v/>
      </c>
      <c r="M72" s="161" t="str">
        <f t="array" aca="1" ref="M72" ca="1">IF(TRIM(INDIRECT("Columns!M72"))="","",TRIM(INDIRECT("Columns!M72")))</f>
        <v/>
      </c>
      <c r="N72" s="161" t="str">
        <f t="array" aca="1" ref="N72" ca="1">IF(TRIM(INDIRECT("Columns!N72"))="","",TRIM(INDIRECT("Columns!N72")))</f>
        <v/>
      </c>
      <c r="O72" s="227" t="str">
        <f t="array" aca="1" ref="O72" ca="1">IF(TRIM(INDIRECT("Columns!B72"))="","",TRIM(INDIRECT("Columns!B72")))</f>
        <v/>
      </c>
      <c r="P72" s="227" t="str">
        <f t="array" aca="1" ref="P72" ca="1">IF(TRIM(INDIRECT("Columns!C72"))="","",TRIM(INDIRECT("Columns!C72")))</f>
        <v/>
      </c>
      <c r="Q72" s="227" t="str">
        <f t="array" aca="1" ref="Q72" ca="1">IF(TRIM(INDIRECT("Columns!D72"))="","",TRIM(INDIRECT("Columns!D72")))</f>
        <v/>
      </c>
      <c r="R72" s="227" t="str">
        <f t="array" aca="1" ref="R72" ca="1">IF(TRIM(INDIRECT("Columns!O72"))="","",TRIM(INDIRECT("Columns!O72")))</f>
        <v/>
      </c>
      <c r="S72" t="str">
        <f t="shared" ca="1" si="99"/>
        <v/>
      </c>
      <c r="T72" t="str">
        <f t="shared" ca="1" si="100"/>
        <v/>
      </c>
      <c r="U72" t="str">
        <f t="shared" ca="1" si="101"/>
        <v/>
      </c>
      <c r="V72" t="str">
        <f t="shared" ca="1" si="102"/>
        <v/>
      </c>
      <c r="W72" t="str">
        <f t="shared" ca="1" si="103"/>
        <v/>
      </c>
      <c r="X72" t="str">
        <f t="shared" ca="1" si="104"/>
        <v/>
      </c>
      <c r="Y72" t="str">
        <f t="shared" ca="1" si="105"/>
        <v/>
      </c>
      <c r="Z72" t="str">
        <f t="shared" ca="1" si="129"/>
        <v/>
      </c>
      <c r="AA72" t="str">
        <f ca="1">IF(E72="1",   IF( A72="","",IF(OR(F72="1",H72="1",I72="1"),"","COALESCE (CAST("&amp;A72&amp;" as varchar(" &amp; Options!$B$49&amp; ")),'')")),"")</f>
        <v/>
      </c>
      <c r="AB72" t="str">
        <f ca="1">IF(E72="1", IF(C72="string",  IF( A72="","",IF(OR(F72="1",H72="1",I72="1"),"","COALESCE (CAST(lower("&amp;A72&amp;") as varchar(" &amp;Options!$B$49 &amp; ")),'')")),AA72),"")</f>
        <v/>
      </c>
      <c r="AC72" t="str">
        <f ca="1">IF(E72="4",   IF( A72="","",IF(OR(F72="1",H72="1",I72="1"),"","COALESCE (CAST("  &amp;A72&amp;" as varchar(" &amp; Options!$B$49&amp; ")),'')")),"")</f>
        <v/>
      </c>
      <c r="AD72" t="str">
        <f ca="1">IF(E72="4",   IF( A72="","",IF(OR(F72="1",H72="1",I72="1"),"","COALESCE (CAST(" &amp; HELPER!$B$94 &amp; "."  &amp;A72&amp;" as varchar(" &amp; Options!$B$49&amp; ")),'')")),"")</f>
        <v/>
      </c>
      <c r="AE72" t="str">
        <f t="shared" ca="1" si="106"/>
        <v/>
      </c>
      <c r="AF72" t="str">
        <f ca="1">IF(AE72&lt;&gt;"", HELPER!$B$93 &amp;  "." &amp; AE72,"")</f>
        <v/>
      </c>
      <c r="AG72" t="str">
        <f ca="1">IF(AE72&lt;&gt;"", HELPER!$B$94 &amp; "." &amp; AE72,"")</f>
        <v/>
      </c>
      <c r="AH72" t="str">
        <f t="shared" ca="1" si="130"/>
        <v/>
      </c>
      <c r="AI72" t="str">
        <f t="shared" ca="1" si="107"/>
        <v/>
      </c>
      <c r="AJ72" t="str">
        <f t="shared" ca="1" si="108"/>
        <v/>
      </c>
      <c r="AK72" t="str">
        <f ca="1">IF(E72="4", HELPER!$B$94 &amp;  "." &amp; A72,"")</f>
        <v/>
      </c>
      <c r="AL72" t="str">
        <f ca="1">IF(E72="4", HELPER!$B$93 &amp;  "." &amp; A72,"")</f>
        <v/>
      </c>
      <c r="AM72" t="str">
        <f t="shared" ca="1" si="109"/>
        <v/>
      </c>
      <c r="AN72" t="str">
        <f t="shared" ca="1" si="110"/>
        <v/>
      </c>
      <c r="AO72" t="str">
        <f ca="1">IF(A72&lt;&gt;"", IF(OR(F72="1",H72="1",I72="1"),""," "&amp; HELPER!$B$94 &amp; "." &amp; A72),"")</f>
        <v/>
      </c>
      <c r="AP72" t="str">
        <f t="shared" ca="1" si="111"/>
        <v/>
      </c>
      <c r="AQ72" t="str">
        <f t="shared" ca="1" si="136"/>
        <v/>
      </c>
      <c r="AS72" t="str">
        <f ca="1">IF(A72="","",  HELPER!$B$94 &amp;  "." &amp; A72)</f>
        <v/>
      </c>
      <c r="AT72" t="str">
        <f t="shared" ca="1" si="112"/>
        <v/>
      </c>
      <c r="AU72" t="str">
        <f t="shared" ca="1" si="113"/>
        <v/>
      </c>
      <c r="AV72" s="190" t="str">
        <f t="shared" ca="1" si="114"/>
        <v/>
      </c>
      <c r="AW72" t="str">
        <f t="shared" ca="1" si="115"/>
        <v/>
      </c>
      <c r="AY72" t="str">
        <f t="shared" ca="1" si="116"/>
        <v/>
      </c>
      <c r="BF72" t="str">
        <f t="shared" ca="1" si="117"/>
        <v/>
      </c>
      <c r="BH72" s="285" t="str">
        <f t="shared" ca="1" si="131"/>
        <v/>
      </c>
      <c r="BI72" t="str">
        <f t="shared" ca="1" si="118"/>
        <v/>
      </c>
      <c r="BJ72" t="str">
        <f t="shared" ca="1" si="119"/>
        <v/>
      </c>
      <c r="BK72" t="str">
        <f t="shared" ca="1" si="132"/>
        <v/>
      </c>
      <c r="BM72" t="str">
        <f t="shared" ca="1" si="133"/>
        <v/>
      </c>
      <c r="BN72" t="str">
        <f t="shared" ca="1" si="134"/>
        <v/>
      </c>
      <c r="BO72" t="str">
        <f t="shared" ca="1" si="120"/>
        <v/>
      </c>
      <c r="BP72" t="b">
        <f ca="1">COUNTIF(COLHELPER!A72:'COLHELPER'!A72,COLHELPER!A72)&gt;1</f>
        <v>0</v>
      </c>
      <c r="BQ72">
        <f t="shared" ca="1" si="121"/>
        <v>0</v>
      </c>
      <c r="BR72" s="290" t="str">
        <f t="shared" ca="1" si="137"/>
        <v/>
      </c>
      <c r="BS72" t="str">
        <f t="shared" ca="1" si="122"/>
        <v/>
      </c>
      <c r="BT72" t="str">
        <f t="shared" ca="1" si="135"/>
        <v/>
      </c>
      <c r="BU72" t="str">
        <f t="shared" ca="1" si="123"/>
        <v/>
      </c>
      <c r="BV72">
        <f t="shared" ca="1" si="124"/>
        <v>0</v>
      </c>
      <c r="BW72" t="str">
        <f t="shared" ca="1" si="125"/>
        <v/>
      </c>
      <c r="BX72" t="str">
        <f t="shared" ca="1" si="126"/>
        <v/>
      </c>
      <c r="BY72" t="str">
        <f ca="1">IF(R72="","",IF(R72&gt;Options!$B$3,"ALTER TABLE "&amp;HELPER!$B$4&amp;" ADD COLUMNS ("&amp;A72&amp;" "&amp;C72&amp;")",""))</f>
        <v/>
      </c>
      <c r="BZ72" t="str">
        <f ca="1">IF(R72="","",IF(R72&gt;Options!$B$3,A72,""))</f>
        <v/>
      </c>
      <c r="CA72" t="str">
        <f ca="1">IF(R72="","",IF(R72&gt;Options!$B$3,B72,""))</f>
        <v/>
      </c>
      <c r="CB72" t="str">
        <f t="shared" ca="1" si="127"/>
        <v/>
      </c>
      <c r="CC72">
        <f t="shared" ca="1" si="128"/>
        <v>0</v>
      </c>
      <c r="CD72" t="str">
        <f ca="1">IF(J72="","",Options!$B$23 &amp; "." &amp; J72)</f>
        <v/>
      </c>
    </row>
    <row r="73" spans="1:82">
      <c r="A73" s="161" t="str">
        <f t="array" aca="1" ref="A73" ca="1">IF(TRIM(INDIRECT("Columns!A73")) ="","",TRIM(INDIRECT("Columns!A73")))</f>
        <v/>
      </c>
      <c r="B73" s="161" t="str">
        <f t="shared" ca="1" si="96"/>
        <v/>
      </c>
      <c r="C73" s="161" t="str">
        <f t="shared" ca="1" si="97"/>
        <v/>
      </c>
      <c r="D73" s="161" t="str">
        <f t="shared" ca="1" si="98"/>
        <v/>
      </c>
      <c r="E73" s="161" t="str">
        <f t="array" aca="1" ref="E73" ca="1">IF(TRIM(INDIRECT("Columns!E73"))="","",TRIM(INDIRECT("Columns!E73")))</f>
        <v/>
      </c>
      <c r="F73" s="161" t="str">
        <f t="array" aca="1" ref="F73" ca="1">IF(TRIM(INDIRECT("Columns!G73"))="","",TRIM(INDIRECT("Columns!G73")))</f>
        <v/>
      </c>
      <c r="G73" s="161" t="str">
        <f t="array" aca="1" ref="G73" ca="1">IF(TRIM(INDIRECT("Columns!F73"))="","",TRIM(INDIRECT("Columns!F73")))</f>
        <v/>
      </c>
      <c r="H73" s="161" t="str">
        <f t="array" aca="1" ref="H73" ca="1">IF(TRIM(INDIRECT("Columns!H73"))="","",TRIM(INDIRECT("Columns!H73")))</f>
        <v/>
      </c>
      <c r="I73" s="161" t="str">
        <f t="array" aca="1" ref="I73" ca="1">IF(TRIM(INDIRECT("Columns!I73"))="","",TRIM(INDIRECT("Columns!I73")))</f>
        <v/>
      </c>
      <c r="J73" s="161" t="str">
        <f t="array" aca="1" ref="J73" ca="1">IF(TRIM(INDIRECT("Columns!J73"))="","",TRIM(INDIRECT("Columns!J73")))</f>
        <v/>
      </c>
      <c r="K73" s="161" t="str">
        <f t="array" aca="1" ref="K73" ca="1">IF(TRIM(INDIRECT("Columns!K73"))="","",TRIM(INDIRECT("Columns!K73")))</f>
        <v/>
      </c>
      <c r="L73" s="161" t="str">
        <f t="array" aca="1" ref="L73" ca="1">IF(TRIM(INDIRECT("Columns!L73"))="","",TRIM(INDIRECT("Columns!L73")))</f>
        <v/>
      </c>
      <c r="M73" s="161" t="str">
        <f t="array" aca="1" ref="M73" ca="1">IF(TRIM(INDIRECT("Columns!M73"))="","",TRIM(INDIRECT("Columns!M73")))</f>
        <v/>
      </c>
      <c r="N73" s="161" t="str">
        <f t="array" aca="1" ref="N73" ca="1">IF(TRIM(INDIRECT("Columns!N73"))="","",TRIM(INDIRECT("Columns!N73")))</f>
        <v/>
      </c>
      <c r="O73" s="227" t="str">
        <f t="array" aca="1" ref="O73" ca="1">IF(TRIM(INDIRECT("Columns!B73"))="","",TRIM(INDIRECT("Columns!B73")))</f>
        <v/>
      </c>
      <c r="P73" s="227" t="str">
        <f t="array" aca="1" ref="P73" ca="1">IF(TRIM(INDIRECT("Columns!C73"))="","",TRIM(INDIRECT("Columns!C73")))</f>
        <v/>
      </c>
      <c r="Q73" s="227" t="str">
        <f t="array" aca="1" ref="Q73" ca="1">IF(TRIM(INDIRECT("Columns!D73"))="","",TRIM(INDIRECT("Columns!D73")))</f>
        <v/>
      </c>
      <c r="R73" s="227" t="str">
        <f t="array" aca="1" ref="R73" ca="1">IF(TRIM(INDIRECT("Columns!O73"))="","",TRIM(INDIRECT("Columns!O73")))</f>
        <v/>
      </c>
      <c r="S73" t="str">
        <f t="shared" ca="1" si="99"/>
        <v/>
      </c>
      <c r="T73" t="str">
        <f t="shared" ca="1" si="100"/>
        <v/>
      </c>
      <c r="U73" t="str">
        <f t="shared" ca="1" si="101"/>
        <v/>
      </c>
      <c r="V73" t="str">
        <f t="shared" ca="1" si="102"/>
        <v/>
      </c>
      <c r="W73" t="str">
        <f t="shared" ca="1" si="103"/>
        <v/>
      </c>
      <c r="X73" t="str">
        <f t="shared" ca="1" si="104"/>
        <v/>
      </c>
      <c r="Y73" t="str">
        <f t="shared" ca="1" si="105"/>
        <v/>
      </c>
      <c r="Z73" t="str">
        <f t="shared" ca="1" si="129"/>
        <v/>
      </c>
      <c r="AA73" t="str">
        <f ca="1">IF(E73="1",   IF( A73="","",IF(OR(F73="1",H73="1",I73="1"),"","COALESCE (CAST("&amp;A73&amp;" as varchar(" &amp; Options!$B$49&amp; ")),'')")),"")</f>
        <v/>
      </c>
      <c r="AB73" t="str">
        <f ca="1">IF(E73="1", IF(C73="string",  IF( A73="","",IF(OR(F73="1",H73="1",I73="1"),"","COALESCE (CAST(lower("&amp;A73&amp;") as varchar(" &amp;Options!$B$49 &amp; ")),'')")),AA73),"")</f>
        <v/>
      </c>
      <c r="AC73" t="str">
        <f ca="1">IF(E73="4",   IF( A73="","",IF(OR(F73="1",H73="1",I73="1"),"","COALESCE (CAST("  &amp;A73&amp;" as varchar(" &amp; Options!$B$49&amp; ")),'')")),"")</f>
        <v/>
      </c>
      <c r="AD73" t="str">
        <f ca="1">IF(E73="4",   IF( A73="","",IF(OR(F73="1",H73="1",I73="1"),"","COALESCE (CAST(" &amp; HELPER!$B$94 &amp; "."  &amp;A73&amp;" as varchar(" &amp; Options!$B$49&amp; ")),'')")),"")</f>
        <v/>
      </c>
      <c r="AE73" t="str">
        <f t="shared" ca="1" si="106"/>
        <v/>
      </c>
      <c r="AF73" t="str">
        <f ca="1">IF(AE73&lt;&gt;"", HELPER!$B$93 &amp;  "." &amp; AE73,"")</f>
        <v/>
      </c>
      <c r="AG73" t="str">
        <f ca="1">IF(AE73&lt;&gt;"", HELPER!$B$94 &amp; "." &amp; AE73,"")</f>
        <v/>
      </c>
      <c r="AH73" t="str">
        <f t="shared" ca="1" si="130"/>
        <v/>
      </c>
      <c r="AI73" t="str">
        <f t="shared" ca="1" si="107"/>
        <v/>
      </c>
      <c r="AJ73" t="str">
        <f t="shared" ca="1" si="108"/>
        <v/>
      </c>
      <c r="AK73" t="str">
        <f ca="1">IF(E73="4", HELPER!$B$94 &amp;  "." &amp; A73,"")</f>
        <v/>
      </c>
      <c r="AL73" t="str">
        <f ca="1">IF(E73="4", HELPER!$B$93 &amp;  "." &amp; A73,"")</f>
        <v/>
      </c>
      <c r="AM73" t="str">
        <f t="shared" ca="1" si="109"/>
        <v/>
      </c>
      <c r="AN73" t="str">
        <f t="shared" ca="1" si="110"/>
        <v/>
      </c>
      <c r="AO73" t="str">
        <f ca="1">IF(A73&lt;&gt;"", IF(OR(F73="1",H73="1",I73="1"),""," "&amp; HELPER!$B$94 &amp; "." &amp; A73),"")</f>
        <v/>
      </c>
      <c r="AP73" t="str">
        <f t="shared" ca="1" si="111"/>
        <v/>
      </c>
      <c r="AQ73" t="str">
        <f t="shared" ca="1" si="136"/>
        <v/>
      </c>
      <c r="AS73" t="str">
        <f ca="1">IF(A73="","",  HELPER!$B$94 &amp;  "." &amp; A73)</f>
        <v/>
      </c>
      <c r="AT73" t="str">
        <f t="shared" ca="1" si="112"/>
        <v/>
      </c>
      <c r="AU73" t="str">
        <f t="shared" ca="1" si="113"/>
        <v/>
      </c>
      <c r="AV73" s="190" t="str">
        <f t="shared" ca="1" si="114"/>
        <v/>
      </c>
      <c r="AW73" t="str">
        <f t="shared" ca="1" si="115"/>
        <v/>
      </c>
      <c r="AY73" t="str">
        <f t="shared" ca="1" si="116"/>
        <v/>
      </c>
      <c r="BF73" t="str">
        <f t="shared" ca="1" si="117"/>
        <v/>
      </c>
      <c r="BH73" s="285" t="str">
        <f t="shared" ca="1" si="131"/>
        <v/>
      </c>
      <c r="BI73" t="str">
        <f t="shared" ca="1" si="118"/>
        <v/>
      </c>
      <c r="BJ73" t="str">
        <f t="shared" ca="1" si="119"/>
        <v/>
      </c>
      <c r="BK73" t="str">
        <f t="shared" ca="1" si="132"/>
        <v/>
      </c>
      <c r="BM73" t="str">
        <f t="shared" ca="1" si="133"/>
        <v/>
      </c>
      <c r="BN73" t="str">
        <f t="shared" ca="1" si="134"/>
        <v/>
      </c>
      <c r="BO73" t="str">
        <f t="shared" ca="1" si="120"/>
        <v/>
      </c>
      <c r="BP73" t="b">
        <f ca="1">COUNTIF(COLHELPER!A73:'COLHELPER'!A73,COLHELPER!A73)&gt;1</f>
        <v>0</v>
      </c>
      <c r="BQ73">
        <f t="shared" ca="1" si="121"/>
        <v>0</v>
      </c>
      <c r="BR73" s="290" t="str">
        <f t="shared" ca="1" si="137"/>
        <v/>
      </c>
      <c r="BS73" t="str">
        <f t="shared" ca="1" si="122"/>
        <v/>
      </c>
      <c r="BT73" t="str">
        <f t="shared" ca="1" si="135"/>
        <v/>
      </c>
      <c r="BU73" t="str">
        <f t="shared" ca="1" si="123"/>
        <v/>
      </c>
      <c r="BV73">
        <f t="shared" ca="1" si="124"/>
        <v>0</v>
      </c>
      <c r="BW73" t="str">
        <f t="shared" ca="1" si="125"/>
        <v/>
      </c>
      <c r="BX73" t="str">
        <f t="shared" ca="1" si="126"/>
        <v/>
      </c>
      <c r="BY73" t="str">
        <f ca="1">IF(R73="","",IF(R73&gt;Options!$B$3,"ALTER TABLE "&amp;HELPER!$B$4&amp;" ADD COLUMNS ("&amp;A73&amp;" "&amp;C73&amp;")",""))</f>
        <v/>
      </c>
      <c r="BZ73" t="str">
        <f ca="1">IF(R73="","",IF(R73&gt;Options!$B$3,A73,""))</f>
        <v/>
      </c>
      <c r="CA73" t="str">
        <f ca="1">IF(R73="","",IF(R73&gt;Options!$B$3,B73,""))</f>
        <v/>
      </c>
      <c r="CB73" t="str">
        <f t="shared" ca="1" si="127"/>
        <v/>
      </c>
      <c r="CC73">
        <f t="shared" ca="1" si="128"/>
        <v>0</v>
      </c>
      <c r="CD73" t="str">
        <f ca="1">IF(J73="","",Options!$B$23 &amp; "." &amp; J73)</f>
        <v/>
      </c>
    </row>
    <row r="74" spans="1:82">
      <c r="A74" s="161" t="str">
        <f t="array" aca="1" ref="A74" ca="1">IF(TRIM(INDIRECT("Columns!A74")) ="","",TRIM(INDIRECT("Columns!A74")))</f>
        <v/>
      </c>
      <c r="B74" s="161" t="str">
        <f t="shared" ca="1" si="96"/>
        <v/>
      </c>
      <c r="C74" s="161" t="str">
        <f t="shared" ca="1" si="97"/>
        <v/>
      </c>
      <c r="D74" s="161" t="str">
        <f t="shared" ca="1" si="98"/>
        <v/>
      </c>
      <c r="E74" s="161" t="str">
        <f t="array" aca="1" ref="E74" ca="1">IF(TRIM(INDIRECT("Columns!E74"))="","",TRIM(INDIRECT("Columns!E74")))</f>
        <v/>
      </c>
      <c r="F74" s="161" t="str">
        <f t="array" aca="1" ref="F74" ca="1">IF(TRIM(INDIRECT("Columns!G74"))="","",TRIM(INDIRECT("Columns!G74")))</f>
        <v/>
      </c>
      <c r="G74" s="161" t="str">
        <f t="array" aca="1" ref="G74" ca="1">IF(TRIM(INDIRECT("Columns!F74"))="","",TRIM(INDIRECT("Columns!F74")))</f>
        <v/>
      </c>
      <c r="H74" s="161" t="str">
        <f t="array" aca="1" ref="H74" ca="1">IF(TRIM(INDIRECT("Columns!H74"))="","",TRIM(INDIRECT("Columns!H74")))</f>
        <v/>
      </c>
      <c r="I74" s="161" t="str">
        <f t="array" aca="1" ref="I74" ca="1">IF(TRIM(INDIRECT("Columns!I74"))="","",TRIM(INDIRECT("Columns!I74")))</f>
        <v/>
      </c>
      <c r="J74" s="161" t="str">
        <f t="array" aca="1" ref="J74" ca="1">IF(TRIM(INDIRECT("Columns!J74"))="","",TRIM(INDIRECT("Columns!J74")))</f>
        <v/>
      </c>
      <c r="K74" s="161" t="str">
        <f t="array" aca="1" ref="K74" ca="1">IF(TRIM(INDIRECT("Columns!K74"))="","",TRIM(INDIRECT("Columns!K74")))</f>
        <v/>
      </c>
      <c r="L74" s="161" t="str">
        <f t="array" aca="1" ref="L74" ca="1">IF(TRIM(INDIRECT("Columns!L74"))="","",TRIM(INDIRECT("Columns!L74")))</f>
        <v/>
      </c>
      <c r="M74" s="161" t="str">
        <f t="array" aca="1" ref="M74" ca="1">IF(TRIM(INDIRECT("Columns!M74"))="","",TRIM(INDIRECT("Columns!M74")))</f>
        <v/>
      </c>
      <c r="N74" s="161" t="str">
        <f t="array" aca="1" ref="N74" ca="1">IF(TRIM(INDIRECT("Columns!N74"))="","",TRIM(INDIRECT("Columns!N74")))</f>
        <v/>
      </c>
      <c r="O74" s="227" t="str">
        <f t="array" aca="1" ref="O74" ca="1">IF(TRIM(INDIRECT("Columns!B74"))="","",TRIM(INDIRECT("Columns!B74")))</f>
        <v/>
      </c>
      <c r="P74" s="227" t="str">
        <f t="array" aca="1" ref="P74" ca="1">IF(TRIM(INDIRECT("Columns!C74"))="","",TRIM(INDIRECT("Columns!C74")))</f>
        <v/>
      </c>
      <c r="Q74" s="227" t="str">
        <f t="array" aca="1" ref="Q74" ca="1">IF(TRIM(INDIRECT("Columns!D74"))="","",TRIM(INDIRECT("Columns!D74")))</f>
        <v/>
      </c>
      <c r="R74" s="227" t="str">
        <f t="array" aca="1" ref="R74" ca="1">IF(TRIM(INDIRECT("Columns!O74"))="","",TRIM(INDIRECT("Columns!O74")))</f>
        <v/>
      </c>
      <c r="S74" t="str">
        <f t="shared" ca="1" si="99"/>
        <v/>
      </c>
      <c r="T74" t="str">
        <f t="shared" ca="1" si="100"/>
        <v/>
      </c>
      <c r="U74" t="str">
        <f t="shared" ca="1" si="101"/>
        <v/>
      </c>
      <c r="V74" t="str">
        <f t="shared" ca="1" si="102"/>
        <v/>
      </c>
      <c r="W74" t="str">
        <f t="shared" ca="1" si="103"/>
        <v/>
      </c>
      <c r="X74" t="str">
        <f t="shared" ca="1" si="104"/>
        <v/>
      </c>
      <c r="Y74" t="str">
        <f t="shared" ca="1" si="105"/>
        <v/>
      </c>
      <c r="Z74" t="str">
        <f t="shared" ca="1" si="129"/>
        <v/>
      </c>
      <c r="AA74" t="str">
        <f ca="1">IF(E74="1",   IF( A74="","",IF(OR(F74="1",H74="1",I74="1"),"","COALESCE (CAST("&amp;A74&amp;" as varchar(" &amp; Options!$B$49&amp; ")),'')")),"")</f>
        <v/>
      </c>
      <c r="AB74" t="str">
        <f ca="1">IF(E74="1", IF(C74="string",  IF( A74="","",IF(OR(F74="1",H74="1",I74="1"),"","COALESCE (CAST(lower("&amp;A74&amp;") as varchar(" &amp;Options!$B$49 &amp; ")),'')")),AA74),"")</f>
        <v/>
      </c>
      <c r="AC74" t="str">
        <f ca="1">IF(E74="4",   IF( A74="","",IF(OR(F74="1",H74="1",I74="1"),"","COALESCE (CAST("  &amp;A74&amp;" as varchar(" &amp; Options!$B$49&amp; ")),'')")),"")</f>
        <v/>
      </c>
      <c r="AD74" t="str">
        <f ca="1">IF(E74="4",   IF( A74="","",IF(OR(F74="1",H74="1",I74="1"),"","COALESCE (CAST(" &amp; HELPER!$B$94 &amp; "."  &amp;A74&amp;" as varchar(" &amp; Options!$B$49&amp; ")),'')")),"")</f>
        <v/>
      </c>
      <c r="AE74" t="str">
        <f t="shared" ca="1" si="106"/>
        <v/>
      </c>
      <c r="AF74" t="str">
        <f ca="1">IF(AE74&lt;&gt;"", HELPER!$B$93 &amp;  "." &amp; AE74,"")</f>
        <v/>
      </c>
      <c r="AG74" t="str">
        <f ca="1">IF(AE74&lt;&gt;"", HELPER!$B$94 &amp; "." &amp; AE74,"")</f>
        <v/>
      </c>
      <c r="AH74" t="str">
        <f t="shared" ca="1" si="130"/>
        <v/>
      </c>
      <c r="AI74" t="str">
        <f t="shared" ca="1" si="107"/>
        <v/>
      </c>
      <c r="AJ74" t="str">
        <f t="shared" ca="1" si="108"/>
        <v/>
      </c>
      <c r="AK74" t="str">
        <f ca="1">IF(E74="4", HELPER!$B$94 &amp;  "." &amp; A74,"")</f>
        <v/>
      </c>
      <c r="AL74" t="str">
        <f ca="1">IF(E74="4", HELPER!$B$93 &amp;  "." &amp; A74,"")</f>
        <v/>
      </c>
      <c r="AM74" t="str">
        <f t="shared" ca="1" si="109"/>
        <v/>
      </c>
      <c r="AN74" t="str">
        <f t="shared" ca="1" si="110"/>
        <v/>
      </c>
      <c r="AO74" t="str">
        <f ca="1">IF(A74&lt;&gt;"", IF(OR(F74="1",H74="1",I74="1"),""," "&amp; HELPER!$B$94 &amp; "." &amp; A74),"")</f>
        <v/>
      </c>
      <c r="AP74" t="str">
        <f t="shared" ca="1" si="111"/>
        <v/>
      </c>
      <c r="AQ74" t="str">
        <f t="shared" ca="1" si="136"/>
        <v/>
      </c>
      <c r="AS74" t="str">
        <f ca="1">IF(A74="","",  HELPER!$B$94 &amp;  "." &amp; A74)</f>
        <v/>
      </c>
      <c r="AT74" t="str">
        <f t="shared" ca="1" si="112"/>
        <v/>
      </c>
      <c r="AU74" t="str">
        <f t="shared" ca="1" si="113"/>
        <v/>
      </c>
      <c r="AV74" s="190" t="str">
        <f t="shared" ca="1" si="114"/>
        <v/>
      </c>
      <c r="AW74" t="str">
        <f t="shared" ca="1" si="115"/>
        <v/>
      </c>
      <c r="AY74" t="str">
        <f t="shared" ca="1" si="116"/>
        <v/>
      </c>
      <c r="BF74" t="str">
        <f t="shared" ca="1" si="117"/>
        <v/>
      </c>
      <c r="BH74" s="285" t="str">
        <f t="shared" ca="1" si="131"/>
        <v/>
      </c>
      <c r="BI74" t="str">
        <f t="shared" ca="1" si="118"/>
        <v/>
      </c>
      <c r="BJ74" t="str">
        <f t="shared" ca="1" si="119"/>
        <v/>
      </c>
      <c r="BK74" t="str">
        <f t="shared" ca="1" si="132"/>
        <v/>
      </c>
      <c r="BM74" t="str">
        <f t="shared" ca="1" si="133"/>
        <v/>
      </c>
      <c r="BN74" t="str">
        <f t="shared" ca="1" si="134"/>
        <v/>
      </c>
      <c r="BO74" t="str">
        <f t="shared" ca="1" si="120"/>
        <v/>
      </c>
      <c r="BP74" t="b">
        <f ca="1">COUNTIF(COLHELPER!A74:'COLHELPER'!A74,COLHELPER!A74)&gt;1</f>
        <v>0</v>
      </c>
      <c r="BQ74">
        <f t="shared" ca="1" si="121"/>
        <v>0</v>
      </c>
      <c r="BR74" s="290" t="str">
        <f t="shared" ca="1" si="137"/>
        <v/>
      </c>
      <c r="BS74" t="str">
        <f t="shared" ca="1" si="122"/>
        <v/>
      </c>
      <c r="BT74" t="str">
        <f t="shared" ca="1" si="135"/>
        <v/>
      </c>
      <c r="BU74" t="str">
        <f t="shared" ca="1" si="123"/>
        <v/>
      </c>
      <c r="BV74">
        <f t="shared" ca="1" si="124"/>
        <v>0</v>
      </c>
      <c r="BW74" t="str">
        <f t="shared" ca="1" si="125"/>
        <v/>
      </c>
      <c r="BX74" t="str">
        <f t="shared" ca="1" si="126"/>
        <v/>
      </c>
      <c r="BY74" t="str">
        <f ca="1">IF(R74="","",IF(R74&gt;Options!$B$3,"ALTER TABLE "&amp;HELPER!$B$4&amp;" ADD COLUMNS ("&amp;A74&amp;" "&amp;C74&amp;")",""))</f>
        <v/>
      </c>
      <c r="BZ74" t="str">
        <f ca="1">IF(R74="","",IF(R74&gt;Options!$B$3,A74,""))</f>
        <v/>
      </c>
      <c r="CA74" t="str">
        <f ca="1">IF(R74="","",IF(R74&gt;Options!$B$3,B74,""))</f>
        <v/>
      </c>
      <c r="CB74" t="str">
        <f t="shared" ca="1" si="127"/>
        <v/>
      </c>
      <c r="CC74">
        <f t="shared" ca="1" si="128"/>
        <v>0</v>
      </c>
      <c r="CD74" t="str">
        <f ca="1">IF(J74="","",Options!$B$23 &amp; "." &amp; J74)</f>
        <v/>
      </c>
    </row>
    <row r="75" spans="1:82">
      <c r="A75" s="161" t="str">
        <f t="array" aca="1" ref="A75" ca="1">IF(TRIM(INDIRECT("Columns!A75")) ="","",TRIM(INDIRECT("Columns!A75")))</f>
        <v/>
      </c>
      <c r="B75" s="161" t="str">
        <f t="shared" ca="1" si="96"/>
        <v/>
      </c>
      <c r="C75" s="161" t="str">
        <f t="shared" ca="1" si="97"/>
        <v/>
      </c>
      <c r="D75" s="161" t="str">
        <f t="shared" ca="1" si="98"/>
        <v/>
      </c>
      <c r="E75" s="161" t="str">
        <f t="array" aca="1" ref="E75" ca="1">IF(TRIM(INDIRECT("Columns!E75"))="","",TRIM(INDIRECT("Columns!E75")))</f>
        <v/>
      </c>
      <c r="F75" s="161" t="str">
        <f t="array" aca="1" ref="F75" ca="1">IF(TRIM(INDIRECT("Columns!G75"))="","",TRIM(INDIRECT("Columns!G75")))</f>
        <v/>
      </c>
      <c r="G75" s="161" t="str">
        <f t="array" aca="1" ref="G75" ca="1">IF(TRIM(INDIRECT("Columns!F75"))="","",TRIM(INDIRECT("Columns!F75")))</f>
        <v/>
      </c>
      <c r="H75" s="161" t="str">
        <f t="array" aca="1" ref="H75" ca="1">IF(TRIM(INDIRECT("Columns!H75"))="","",TRIM(INDIRECT("Columns!H75")))</f>
        <v/>
      </c>
      <c r="I75" s="161" t="str">
        <f t="array" aca="1" ref="I75" ca="1">IF(TRIM(INDIRECT("Columns!I75"))="","",TRIM(INDIRECT("Columns!I75")))</f>
        <v/>
      </c>
      <c r="J75" s="161" t="str">
        <f t="array" aca="1" ref="J75" ca="1">IF(TRIM(INDIRECT("Columns!J75"))="","",TRIM(INDIRECT("Columns!J75")))</f>
        <v/>
      </c>
      <c r="K75" s="161" t="str">
        <f t="array" aca="1" ref="K75" ca="1">IF(TRIM(INDIRECT("Columns!K75"))="","",TRIM(INDIRECT("Columns!K75")))</f>
        <v/>
      </c>
      <c r="L75" s="161" t="str">
        <f t="array" aca="1" ref="L75" ca="1">IF(TRIM(INDIRECT("Columns!L75"))="","",TRIM(INDIRECT("Columns!L75")))</f>
        <v/>
      </c>
      <c r="M75" s="161" t="str">
        <f t="array" aca="1" ref="M75" ca="1">IF(TRIM(INDIRECT("Columns!M75"))="","",TRIM(INDIRECT("Columns!M75")))</f>
        <v/>
      </c>
      <c r="N75" s="161" t="str">
        <f t="array" aca="1" ref="N75" ca="1">IF(TRIM(INDIRECT("Columns!N75"))="","",TRIM(INDIRECT("Columns!N75")))</f>
        <v/>
      </c>
      <c r="O75" s="227" t="str">
        <f t="array" aca="1" ref="O75" ca="1">IF(TRIM(INDIRECT("Columns!B75"))="","",TRIM(INDIRECT("Columns!B75")))</f>
        <v/>
      </c>
      <c r="P75" s="227" t="str">
        <f t="array" aca="1" ref="P75" ca="1">IF(TRIM(INDIRECT("Columns!C75"))="","",TRIM(INDIRECT("Columns!C75")))</f>
        <v/>
      </c>
      <c r="Q75" s="227" t="str">
        <f t="array" aca="1" ref="Q75" ca="1">IF(TRIM(INDIRECT("Columns!D75"))="","",TRIM(INDIRECT("Columns!D75")))</f>
        <v/>
      </c>
      <c r="R75" s="227" t="str">
        <f t="array" aca="1" ref="R75" ca="1">IF(TRIM(INDIRECT("Columns!O75"))="","",TRIM(INDIRECT("Columns!O75")))</f>
        <v/>
      </c>
      <c r="S75" t="str">
        <f t="shared" ca="1" si="99"/>
        <v/>
      </c>
      <c r="T75" t="str">
        <f t="shared" ca="1" si="100"/>
        <v/>
      </c>
      <c r="U75" t="str">
        <f t="shared" ca="1" si="101"/>
        <v/>
      </c>
      <c r="V75" t="str">
        <f t="shared" ca="1" si="102"/>
        <v/>
      </c>
      <c r="W75" t="str">
        <f t="shared" ca="1" si="103"/>
        <v/>
      </c>
      <c r="X75" t="str">
        <f t="shared" ca="1" si="104"/>
        <v/>
      </c>
      <c r="Y75" t="str">
        <f t="shared" ca="1" si="105"/>
        <v/>
      </c>
      <c r="Z75" t="str">
        <f t="shared" ca="1" si="129"/>
        <v/>
      </c>
      <c r="AA75" t="str">
        <f ca="1">IF(E75="1",   IF( A75="","",IF(OR(F75="1",H75="1",I75="1"),"","COALESCE (CAST("&amp;A75&amp;" as varchar(" &amp; Options!$B$49&amp; ")),'')")),"")</f>
        <v/>
      </c>
      <c r="AB75" t="str">
        <f ca="1">IF(E75="1", IF(C75="string",  IF( A75="","",IF(OR(F75="1",H75="1",I75="1"),"","COALESCE (CAST(lower("&amp;A75&amp;") as varchar(" &amp;Options!$B$49 &amp; ")),'')")),AA75),"")</f>
        <v/>
      </c>
      <c r="AC75" t="str">
        <f ca="1">IF(E75="4",   IF( A75="","",IF(OR(F75="1",H75="1",I75="1"),"","COALESCE (CAST("  &amp;A75&amp;" as varchar(" &amp; Options!$B$49&amp; ")),'')")),"")</f>
        <v/>
      </c>
      <c r="AD75" t="str">
        <f ca="1">IF(E75="4",   IF( A75="","",IF(OR(F75="1",H75="1",I75="1"),"","COALESCE (CAST(" &amp; HELPER!$B$94 &amp; "."  &amp;A75&amp;" as varchar(" &amp; Options!$B$49&amp; ")),'')")),"")</f>
        <v/>
      </c>
      <c r="AE75" t="str">
        <f t="shared" ca="1" si="106"/>
        <v/>
      </c>
      <c r="AF75" t="str">
        <f ca="1">IF(AE75&lt;&gt;"", HELPER!$B$93 &amp;  "." &amp; AE75,"")</f>
        <v/>
      </c>
      <c r="AG75" t="str">
        <f ca="1">IF(AE75&lt;&gt;"", HELPER!$B$94 &amp; "." &amp; AE75,"")</f>
        <v/>
      </c>
      <c r="AH75" t="str">
        <f t="shared" ca="1" si="130"/>
        <v/>
      </c>
      <c r="AI75" t="str">
        <f t="shared" ca="1" si="107"/>
        <v/>
      </c>
      <c r="AJ75" t="str">
        <f t="shared" ca="1" si="108"/>
        <v/>
      </c>
      <c r="AK75" t="str">
        <f ca="1">IF(E75="4", HELPER!$B$94 &amp;  "." &amp; A75,"")</f>
        <v/>
      </c>
      <c r="AL75" t="str">
        <f ca="1">IF(E75="4", HELPER!$B$93 &amp;  "." &amp; A75,"")</f>
        <v/>
      </c>
      <c r="AM75" t="str">
        <f t="shared" ca="1" si="109"/>
        <v/>
      </c>
      <c r="AN75" t="str">
        <f t="shared" ca="1" si="110"/>
        <v/>
      </c>
      <c r="AO75" t="str">
        <f ca="1">IF(A75&lt;&gt;"", IF(OR(F75="1",H75="1",I75="1"),""," "&amp; HELPER!$B$94 &amp; "." &amp; A75),"")</f>
        <v/>
      </c>
      <c r="AP75" t="str">
        <f t="shared" ca="1" si="111"/>
        <v/>
      </c>
      <c r="AQ75" t="str">
        <f t="shared" ca="1" si="136"/>
        <v/>
      </c>
      <c r="AS75" t="str">
        <f ca="1">IF(A75="","",  HELPER!$B$94 &amp;  "." &amp; A75)</f>
        <v/>
      </c>
      <c r="AT75" t="str">
        <f t="shared" ca="1" si="112"/>
        <v/>
      </c>
      <c r="AU75" t="str">
        <f t="shared" ca="1" si="113"/>
        <v/>
      </c>
      <c r="AV75" s="190" t="str">
        <f t="shared" ca="1" si="114"/>
        <v/>
      </c>
      <c r="AW75" t="str">
        <f t="shared" ca="1" si="115"/>
        <v/>
      </c>
      <c r="AY75" t="str">
        <f t="shared" ca="1" si="116"/>
        <v/>
      </c>
      <c r="BF75" t="str">
        <f t="shared" ca="1" si="117"/>
        <v/>
      </c>
      <c r="BH75" s="285" t="str">
        <f t="shared" ca="1" si="131"/>
        <v/>
      </c>
      <c r="BI75" t="str">
        <f t="shared" ca="1" si="118"/>
        <v/>
      </c>
      <c r="BJ75" t="str">
        <f t="shared" ca="1" si="119"/>
        <v/>
      </c>
      <c r="BK75" t="str">
        <f t="shared" ca="1" si="132"/>
        <v/>
      </c>
      <c r="BM75" t="str">
        <f t="shared" ca="1" si="133"/>
        <v/>
      </c>
      <c r="BN75" t="str">
        <f t="shared" ca="1" si="134"/>
        <v/>
      </c>
      <c r="BO75" t="str">
        <f t="shared" ca="1" si="120"/>
        <v/>
      </c>
      <c r="BP75" t="b">
        <f ca="1">COUNTIF(COLHELPER!A75:'COLHELPER'!A75,COLHELPER!A75)&gt;1</f>
        <v>0</v>
      </c>
      <c r="BQ75">
        <f t="shared" ca="1" si="121"/>
        <v>0</v>
      </c>
      <c r="BR75" s="290" t="str">
        <f t="shared" ca="1" si="137"/>
        <v/>
      </c>
      <c r="BS75" t="str">
        <f t="shared" ca="1" si="122"/>
        <v/>
      </c>
      <c r="BT75" t="str">
        <f t="shared" ca="1" si="135"/>
        <v/>
      </c>
      <c r="BU75" t="str">
        <f t="shared" ca="1" si="123"/>
        <v/>
      </c>
      <c r="BV75">
        <f t="shared" ca="1" si="124"/>
        <v>0</v>
      </c>
      <c r="BW75" t="str">
        <f t="shared" ca="1" si="125"/>
        <v/>
      </c>
      <c r="BX75" t="str">
        <f t="shared" ca="1" si="126"/>
        <v/>
      </c>
      <c r="BY75" t="str">
        <f ca="1">IF(R75="","",IF(R75&gt;Options!$B$3,"ALTER TABLE "&amp;HELPER!$B$4&amp;" ADD COLUMNS ("&amp;A75&amp;" "&amp;C75&amp;")",""))</f>
        <v/>
      </c>
      <c r="BZ75" t="str">
        <f ca="1">IF(R75="","",IF(R75&gt;Options!$B$3,A75,""))</f>
        <v/>
      </c>
      <c r="CA75" t="str">
        <f ca="1">IF(R75="","",IF(R75&gt;Options!$B$3,B75,""))</f>
        <v/>
      </c>
      <c r="CB75" t="str">
        <f t="shared" ca="1" si="127"/>
        <v/>
      </c>
      <c r="CC75">
        <f t="shared" ca="1" si="128"/>
        <v>0</v>
      </c>
      <c r="CD75" t="str">
        <f ca="1">IF(J75="","",Options!$B$23 &amp; "." &amp; J75)</f>
        <v/>
      </c>
    </row>
    <row r="76" spans="1:82">
      <c r="A76" s="161" t="str">
        <f t="array" aca="1" ref="A76" ca="1">IF(TRIM(INDIRECT("Columns!A76")) ="","",TRIM(INDIRECT("Columns!A76")))</f>
        <v/>
      </c>
      <c r="B76" s="161" t="str">
        <f t="shared" ca="1" si="96"/>
        <v/>
      </c>
      <c r="C76" s="161" t="str">
        <f t="shared" ca="1" si="97"/>
        <v/>
      </c>
      <c r="D76" s="161" t="str">
        <f t="shared" ca="1" si="98"/>
        <v/>
      </c>
      <c r="E76" s="161" t="str">
        <f t="array" aca="1" ref="E76" ca="1">IF(TRIM(INDIRECT("Columns!E76"))="","",TRIM(INDIRECT("Columns!E76")))</f>
        <v/>
      </c>
      <c r="F76" s="161" t="str">
        <f t="array" aca="1" ref="F76" ca="1">IF(TRIM(INDIRECT("Columns!G76"))="","",TRIM(INDIRECT("Columns!G76")))</f>
        <v/>
      </c>
      <c r="G76" s="161" t="str">
        <f t="array" aca="1" ref="G76" ca="1">IF(TRIM(INDIRECT("Columns!F76"))="","",TRIM(INDIRECT("Columns!F76")))</f>
        <v/>
      </c>
      <c r="H76" s="161" t="str">
        <f t="array" aca="1" ref="H76" ca="1">IF(TRIM(INDIRECT("Columns!H76"))="","",TRIM(INDIRECT("Columns!H76")))</f>
        <v/>
      </c>
      <c r="I76" s="161" t="str">
        <f t="array" aca="1" ref="I76" ca="1">IF(TRIM(INDIRECT("Columns!I76"))="","",TRIM(INDIRECT("Columns!I76")))</f>
        <v/>
      </c>
      <c r="J76" s="161" t="str">
        <f t="array" aca="1" ref="J76" ca="1">IF(TRIM(INDIRECT("Columns!J76"))="","",TRIM(INDIRECT("Columns!J76")))</f>
        <v/>
      </c>
      <c r="K76" s="161" t="str">
        <f t="array" aca="1" ref="K76" ca="1">IF(TRIM(INDIRECT("Columns!K76"))="","",TRIM(INDIRECT("Columns!K76")))</f>
        <v/>
      </c>
      <c r="L76" s="161" t="str">
        <f t="array" aca="1" ref="L76" ca="1">IF(TRIM(INDIRECT("Columns!L76"))="","",TRIM(INDIRECT("Columns!L76")))</f>
        <v/>
      </c>
      <c r="M76" s="161" t="str">
        <f t="array" aca="1" ref="M76" ca="1">IF(TRIM(INDIRECT("Columns!M76"))="","",TRIM(INDIRECT("Columns!M76")))</f>
        <v/>
      </c>
      <c r="N76" s="161" t="str">
        <f t="array" aca="1" ref="N76" ca="1">IF(TRIM(INDIRECT("Columns!N76"))="","",TRIM(INDIRECT("Columns!N76")))</f>
        <v/>
      </c>
      <c r="O76" s="227" t="str">
        <f t="array" aca="1" ref="O76" ca="1">IF(TRIM(INDIRECT("Columns!B76"))="","",TRIM(INDIRECT("Columns!B76")))</f>
        <v/>
      </c>
      <c r="P76" s="227" t="str">
        <f t="array" aca="1" ref="P76" ca="1">IF(TRIM(INDIRECT("Columns!C76"))="","",TRIM(INDIRECT("Columns!C76")))</f>
        <v/>
      </c>
      <c r="Q76" s="227" t="str">
        <f t="array" aca="1" ref="Q76" ca="1">IF(TRIM(INDIRECT("Columns!D76"))="","",TRIM(INDIRECT("Columns!D76")))</f>
        <v/>
      </c>
      <c r="R76" s="227" t="str">
        <f t="array" aca="1" ref="R76" ca="1">IF(TRIM(INDIRECT("Columns!O76"))="","",TRIM(INDIRECT("Columns!O76")))</f>
        <v/>
      </c>
      <c r="S76" t="str">
        <f t="shared" ca="1" si="99"/>
        <v/>
      </c>
      <c r="T76" t="str">
        <f t="shared" ca="1" si="100"/>
        <v/>
      </c>
      <c r="U76" t="str">
        <f t="shared" ca="1" si="101"/>
        <v/>
      </c>
      <c r="V76" t="str">
        <f t="shared" ca="1" si="102"/>
        <v/>
      </c>
      <c r="W76" t="str">
        <f t="shared" ca="1" si="103"/>
        <v/>
      </c>
      <c r="X76" t="str">
        <f t="shared" ca="1" si="104"/>
        <v/>
      </c>
      <c r="Y76" t="str">
        <f t="shared" ca="1" si="105"/>
        <v/>
      </c>
      <c r="Z76" t="str">
        <f t="shared" ca="1" si="129"/>
        <v/>
      </c>
      <c r="AA76" t="str">
        <f ca="1">IF(E76="1",   IF( A76="","",IF(OR(F76="1",H76="1",I76="1"),"","COALESCE (CAST("&amp;A76&amp;" as varchar(" &amp; Options!$B$49&amp; ")),'')")),"")</f>
        <v/>
      </c>
      <c r="AB76" t="str">
        <f ca="1">IF(E76="1", IF(C76="string",  IF( A76="","",IF(OR(F76="1",H76="1",I76="1"),"","COALESCE (CAST(lower("&amp;A76&amp;") as varchar(" &amp;Options!$B$49 &amp; ")),'')")),AA76),"")</f>
        <v/>
      </c>
      <c r="AC76" t="str">
        <f ca="1">IF(E76="4",   IF( A76="","",IF(OR(F76="1",H76="1",I76="1"),"","COALESCE (CAST("  &amp;A76&amp;" as varchar(" &amp; Options!$B$49&amp; ")),'')")),"")</f>
        <v/>
      </c>
      <c r="AD76" t="str">
        <f ca="1">IF(E76="4",   IF( A76="","",IF(OR(F76="1",H76="1",I76="1"),"","COALESCE (CAST(" &amp; HELPER!$B$94 &amp; "."  &amp;A76&amp;" as varchar(" &amp; Options!$B$49&amp; ")),'')")),"")</f>
        <v/>
      </c>
      <c r="AE76" t="str">
        <f t="shared" ca="1" si="106"/>
        <v/>
      </c>
      <c r="AF76" t="str">
        <f ca="1">IF(AE76&lt;&gt;"", HELPER!$B$93 &amp;  "." &amp; AE76,"")</f>
        <v/>
      </c>
      <c r="AG76" t="str">
        <f ca="1">IF(AE76&lt;&gt;"", HELPER!$B$94 &amp; "." &amp; AE76,"")</f>
        <v/>
      </c>
      <c r="AH76" t="str">
        <f t="shared" ca="1" si="130"/>
        <v/>
      </c>
      <c r="AI76" t="str">
        <f t="shared" ca="1" si="107"/>
        <v/>
      </c>
      <c r="AJ76" t="str">
        <f t="shared" ca="1" si="108"/>
        <v/>
      </c>
      <c r="AK76" t="str">
        <f ca="1">IF(E76="4", HELPER!$B$94 &amp;  "." &amp; A76,"")</f>
        <v/>
      </c>
      <c r="AL76" t="str">
        <f ca="1">IF(E76="4", HELPER!$B$93 &amp;  "." &amp; A76,"")</f>
        <v/>
      </c>
      <c r="AM76" t="str">
        <f t="shared" ca="1" si="109"/>
        <v/>
      </c>
      <c r="AN76" t="str">
        <f t="shared" ca="1" si="110"/>
        <v/>
      </c>
      <c r="AO76" t="str">
        <f ca="1">IF(A76&lt;&gt;"", IF(OR(F76="1",H76="1",I76="1"),""," "&amp; HELPER!$B$94 &amp; "." &amp; A76),"")</f>
        <v/>
      </c>
      <c r="AP76" t="str">
        <f t="shared" ca="1" si="111"/>
        <v/>
      </c>
      <c r="AQ76" t="str">
        <f t="shared" ca="1" si="136"/>
        <v/>
      </c>
      <c r="AS76" t="str">
        <f ca="1">IF(A76="","",  HELPER!$B$94 &amp;  "." &amp; A76)</f>
        <v/>
      </c>
      <c r="AT76" t="str">
        <f t="shared" ca="1" si="112"/>
        <v/>
      </c>
      <c r="AU76" t="str">
        <f t="shared" ca="1" si="113"/>
        <v/>
      </c>
      <c r="AV76" s="190" t="str">
        <f t="shared" ca="1" si="114"/>
        <v/>
      </c>
      <c r="AW76" t="str">
        <f t="shared" ca="1" si="115"/>
        <v/>
      </c>
      <c r="AY76" t="str">
        <f t="shared" ca="1" si="116"/>
        <v/>
      </c>
      <c r="BF76" t="str">
        <f t="shared" ca="1" si="117"/>
        <v/>
      </c>
      <c r="BH76" s="285" t="str">
        <f t="shared" ca="1" si="131"/>
        <v/>
      </c>
      <c r="BI76" t="str">
        <f t="shared" ca="1" si="118"/>
        <v/>
      </c>
      <c r="BJ76" t="str">
        <f t="shared" ca="1" si="119"/>
        <v/>
      </c>
      <c r="BK76" t="str">
        <f t="shared" ca="1" si="132"/>
        <v/>
      </c>
      <c r="BM76" t="str">
        <f t="shared" ca="1" si="133"/>
        <v/>
      </c>
      <c r="BN76" t="str">
        <f t="shared" ca="1" si="134"/>
        <v/>
      </c>
      <c r="BO76" t="str">
        <f t="shared" ca="1" si="120"/>
        <v/>
      </c>
      <c r="BP76" t="b">
        <f ca="1">COUNTIF(COLHELPER!A76:'COLHELPER'!A76,COLHELPER!A76)&gt;1</f>
        <v>0</v>
      </c>
      <c r="BQ76">
        <f t="shared" ca="1" si="121"/>
        <v>0</v>
      </c>
      <c r="BR76" s="290" t="str">
        <f t="shared" ca="1" si="137"/>
        <v/>
      </c>
      <c r="BS76" t="str">
        <f t="shared" ca="1" si="122"/>
        <v/>
      </c>
      <c r="BT76" t="str">
        <f t="shared" ca="1" si="135"/>
        <v/>
      </c>
      <c r="BU76" t="str">
        <f t="shared" ca="1" si="123"/>
        <v/>
      </c>
      <c r="BV76">
        <f t="shared" ca="1" si="124"/>
        <v>0</v>
      </c>
      <c r="BW76" t="str">
        <f t="shared" ca="1" si="125"/>
        <v/>
      </c>
      <c r="BX76" t="str">
        <f t="shared" ca="1" si="126"/>
        <v/>
      </c>
      <c r="BY76" t="str">
        <f ca="1">IF(R76="","",IF(R76&gt;Options!$B$3,"ALTER TABLE "&amp;HELPER!$B$4&amp;" ADD COLUMNS ("&amp;A76&amp;" "&amp;C76&amp;")",""))</f>
        <v/>
      </c>
      <c r="BZ76" t="str">
        <f ca="1">IF(R76="","",IF(R76&gt;Options!$B$3,A76,""))</f>
        <v/>
      </c>
      <c r="CA76" t="str">
        <f ca="1">IF(R76="","",IF(R76&gt;Options!$B$3,B76,""))</f>
        <v/>
      </c>
      <c r="CB76" t="str">
        <f t="shared" ca="1" si="127"/>
        <v/>
      </c>
      <c r="CC76">
        <f t="shared" ca="1" si="128"/>
        <v>0</v>
      </c>
      <c r="CD76" t="str">
        <f ca="1">IF(J76="","",Options!$B$23 &amp; "." &amp; J76)</f>
        <v/>
      </c>
    </row>
    <row r="77" spans="1:82">
      <c r="A77" s="161" t="str">
        <f t="array" aca="1" ref="A77" ca="1">IF(TRIM(INDIRECT("Columns!A77")) ="","",TRIM(INDIRECT("Columns!A77")))</f>
        <v/>
      </c>
      <c r="B77" s="161" t="str">
        <f t="shared" ca="1" si="96"/>
        <v/>
      </c>
      <c r="C77" s="161" t="str">
        <f t="shared" ca="1" si="97"/>
        <v/>
      </c>
      <c r="D77" s="161" t="str">
        <f t="shared" ca="1" si="98"/>
        <v/>
      </c>
      <c r="E77" s="161" t="str">
        <f t="array" aca="1" ref="E77" ca="1">IF(TRIM(INDIRECT("Columns!E77"))="","",TRIM(INDIRECT("Columns!E77")))</f>
        <v/>
      </c>
      <c r="F77" s="161" t="str">
        <f t="array" aca="1" ref="F77" ca="1">IF(TRIM(INDIRECT("Columns!G77"))="","",TRIM(INDIRECT("Columns!G77")))</f>
        <v/>
      </c>
      <c r="G77" s="161" t="str">
        <f t="array" aca="1" ref="G77" ca="1">IF(TRIM(INDIRECT("Columns!F77"))="","",TRIM(INDIRECT("Columns!F77")))</f>
        <v/>
      </c>
      <c r="H77" s="161" t="str">
        <f t="array" aca="1" ref="H77" ca="1">IF(TRIM(INDIRECT("Columns!H77"))="","",TRIM(INDIRECT("Columns!H77")))</f>
        <v/>
      </c>
      <c r="I77" s="161" t="str">
        <f t="array" aca="1" ref="I77" ca="1">IF(TRIM(INDIRECT("Columns!I77"))="","",TRIM(INDIRECT("Columns!I77")))</f>
        <v/>
      </c>
      <c r="J77" s="161" t="str">
        <f t="array" aca="1" ref="J77" ca="1">IF(TRIM(INDIRECT("Columns!J77"))="","",TRIM(INDIRECT("Columns!J77")))</f>
        <v/>
      </c>
      <c r="K77" s="161" t="str">
        <f t="array" aca="1" ref="K77" ca="1">IF(TRIM(INDIRECT("Columns!K77"))="","",TRIM(INDIRECT("Columns!K77")))</f>
        <v/>
      </c>
      <c r="L77" s="161" t="str">
        <f t="array" aca="1" ref="L77" ca="1">IF(TRIM(INDIRECT("Columns!L77"))="","",TRIM(INDIRECT("Columns!L77")))</f>
        <v/>
      </c>
      <c r="M77" s="161" t="str">
        <f t="array" aca="1" ref="M77" ca="1">IF(TRIM(INDIRECT("Columns!M77"))="","",TRIM(INDIRECT("Columns!M77")))</f>
        <v/>
      </c>
      <c r="N77" s="161" t="str">
        <f t="array" aca="1" ref="N77" ca="1">IF(TRIM(INDIRECT("Columns!N77"))="","",TRIM(INDIRECT("Columns!N77")))</f>
        <v/>
      </c>
      <c r="O77" s="227" t="str">
        <f t="array" aca="1" ref="O77" ca="1">IF(TRIM(INDIRECT("Columns!B77"))="","",TRIM(INDIRECT("Columns!B77")))</f>
        <v/>
      </c>
      <c r="P77" s="227" t="str">
        <f t="array" aca="1" ref="P77" ca="1">IF(TRIM(INDIRECT("Columns!C77"))="","",TRIM(INDIRECT("Columns!C77")))</f>
        <v/>
      </c>
      <c r="Q77" s="227" t="str">
        <f t="array" aca="1" ref="Q77" ca="1">IF(TRIM(INDIRECT("Columns!D77"))="","",TRIM(INDIRECT("Columns!D77")))</f>
        <v/>
      </c>
      <c r="R77" s="227" t="str">
        <f t="array" aca="1" ref="R77" ca="1">IF(TRIM(INDIRECT("Columns!O77"))="","",TRIM(INDIRECT("Columns!O77")))</f>
        <v/>
      </c>
      <c r="S77" t="str">
        <f t="shared" ca="1" si="99"/>
        <v/>
      </c>
      <c r="T77" t="str">
        <f t="shared" ca="1" si="100"/>
        <v/>
      </c>
      <c r="U77" t="str">
        <f t="shared" ca="1" si="101"/>
        <v/>
      </c>
      <c r="V77" t="str">
        <f t="shared" ca="1" si="102"/>
        <v/>
      </c>
      <c r="W77" t="str">
        <f t="shared" ca="1" si="103"/>
        <v/>
      </c>
      <c r="X77" t="str">
        <f t="shared" ca="1" si="104"/>
        <v/>
      </c>
      <c r="Y77" t="str">
        <f t="shared" ca="1" si="105"/>
        <v/>
      </c>
      <c r="Z77" t="str">
        <f t="shared" ca="1" si="129"/>
        <v/>
      </c>
      <c r="AA77" t="str">
        <f ca="1">IF(E77="1",   IF( A77="","",IF(OR(F77="1",H77="1",I77="1"),"","COALESCE (CAST("&amp;A77&amp;" as varchar(" &amp; Options!$B$49&amp; ")),'')")),"")</f>
        <v/>
      </c>
      <c r="AB77" t="str">
        <f ca="1">IF(E77="1", IF(C77="string",  IF( A77="","",IF(OR(F77="1",H77="1",I77="1"),"","COALESCE (CAST(lower("&amp;A77&amp;") as varchar(" &amp;Options!$B$49 &amp; ")),'')")),AA77),"")</f>
        <v/>
      </c>
      <c r="AC77" t="str">
        <f ca="1">IF(E77="4",   IF( A77="","",IF(OR(F77="1",H77="1",I77="1"),"","COALESCE (CAST("  &amp;A77&amp;" as varchar(" &amp; Options!$B$49&amp; ")),'')")),"")</f>
        <v/>
      </c>
      <c r="AD77" t="str">
        <f ca="1">IF(E77="4",   IF( A77="","",IF(OR(F77="1",H77="1",I77="1"),"","COALESCE (CAST(" &amp; HELPER!$B$94 &amp; "."  &amp;A77&amp;" as varchar(" &amp; Options!$B$49&amp; ")),'')")),"")</f>
        <v/>
      </c>
      <c r="AE77" t="str">
        <f t="shared" ca="1" si="106"/>
        <v/>
      </c>
      <c r="AF77" t="str">
        <f ca="1">IF(AE77&lt;&gt;"", HELPER!$B$93 &amp;  "." &amp; AE77,"")</f>
        <v/>
      </c>
      <c r="AG77" t="str">
        <f ca="1">IF(AE77&lt;&gt;"", HELPER!$B$94 &amp; "." &amp; AE77,"")</f>
        <v/>
      </c>
      <c r="AH77" t="str">
        <f t="shared" ca="1" si="130"/>
        <v/>
      </c>
      <c r="AI77" t="str">
        <f t="shared" ca="1" si="107"/>
        <v/>
      </c>
      <c r="AJ77" t="str">
        <f t="shared" ca="1" si="108"/>
        <v/>
      </c>
      <c r="AK77" t="str">
        <f ca="1">IF(E77="4", HELPER!$B$94 &amp;  "." &amp; A77,"")</f>
        <v/>
      </c>
      <c r="AL77" t="str">
        <f ca="1">IF(E77="4", HELPER!$B$93 &amp;  "." &amp; A77,"")</f>
        <v/>
      </c>
      <c r="AM77" t="str">
        <f t="shared" ca="1" si="109"/>
        <v/>
      </c>
      <c r="AN77" t="str">
        <f t="shared" ca="1" si="110"/>
        <v/>
      </c>
      <c r="AO77" t="str">
        <f ca="1">IF(A77&lt;&gt;"", IF(OR(F77="1",H77="1",I77="1"),""," "&amp; HELPER!$B$94 &amp; "." &amp; A77),"")</f>
        <v/>
      </c>
      <c r="AP77" t="str">
        <f t="shared" ca="1" si="111"/>
        <v/>
      </c>
      <c r="AQ77" t="str">
        <f t="shared" ca="1" si="136"/>
        <v/>
      </c>
      <c r="AS77" t="str">
        <f ca="1">IF(A77="","",  HELPER!$B$94 &amp;  "." &amp; A77)</f>
        <v/>
      </c>
      <c r="AT77" t="str">
        <f t="shared" ca="1" si="112"/>
        <v/>
      </c>
      <c r="AU77" t="str">
        <f t="shared" ca="1" si="113"/>
        <v/>
      </c>
      <c r="AV77" s="190" t="str">
        <f t="shared" ca="1" si="114"/>
        <v/>
      </c>
      <c r="AW77" t="str">
        <f t="shared" ca="1" si="115"/>
        <v/>
      </c>
      <c r="AY77" t="str">
        <f t="shared" ca="1" si="116"/>
        <v/>
      </c>
      <c r="BF77" t="str">
        <f t="shared" ca="1" si="117"/>
        <v/>
      </c>
      <c r="BH77" s="285" t="str">
        <f t="shared" ca="1" si="131"/>
        <v/>
      </c>
      <c r="BI77" t="str">
        <f t="shared" ca="1" si="118"/>
        <v/>
      </c>
      <c r="BJ77" t="str">
        <f t="shared" ca="1" si="119"/>
        <v/>
      </c>
      <c r="BK77" t="str">
        <f t="shared" ca="1" si="132"/>
        <v/>
      </c>
      <c r="BM77" t="str">
        <f t="shared" ca="1" si="133"/>
        <v/>
      </c>
      <c r="BN77" t="str">
        <f t="shared" ca="1" si="134"/>
        <v/>
      </c>
      <c r="BO77" t="str">
        <f t="shared" ca="1" si="120"/>
        <v/>
      </c>
      <c r="BP77" t="b">
        <f ca="1">COUNTIF(COLHELPER!A77:'COLHELPER'!A77,COLHELPER!A77)&gt;1</f>
        <v>0</v>
      </c>
      <c r="BQ77">
        <f t="shared" ca="1" si="121"/>
        <v>0</v>
      </c>
      <c r="BR77" s="290" t="str">
        <f t="shared" ca="1" si="137"/>
        <v/>
      </c>
      <c r="BS77" t="str">
        <f t="shared" ca="1" si="122"/>
        <v/>
      </c>
      <c r="BT77" t="str">
        <f t="shared" ca="1" si="135"/>
        <v/>
      </c>
      <c r="BU77" t="str">
        <f t="shared" ca="1" si="123"/>
        <v/>
      </c>
      <c r="BV77">
        <f t="shared" ca="1" si="124"/>
        <v>0</v>
      </c>
      <c r="BW77" t="str">
        <f t="shared" ca="1" si="125"/>
        <v/>
      </c>
      <c r="BX77" t="str">
        <f t="shared" ca="1" si="126"/>
        <v/>
      </c>
      <c r="BY77" t="str">
        <f ca="1">IF(R77="","",IF(R77&gt;Options!$B$3,"ALTER TABLE "&amp;HELPER!$B$4&amp;" ADD COLUMNS ("&amp;A77&amp;" "&amp;C77&amp;")",""))</f>
        <v/>
      </c>
      <c r="BZ77" t="str">
        <f ca="1">IF(R77="","",IF(R77&gt;Options!$B$3,A77,""))</f>
        <v/>
      </c>
      <c r="CA77" t="str">
        <f ca="1">IF(R77="","",IF(R77&gt;Options!$B$3,B77,""))</f>
        <v/>
      </c>
      <c r="CB77" t="str">
        <f t="shared" ca="1" si="127"/>
        <v/>
      </c>
      <c r="CC77">
        <f t="shared" ca="1" si="128"/>
        <v>0</v>
      </c>
      <c r="CD77" t="str">
        <f ca="1">IF(J77="","",Options!$B$23 &amp; "." &amp; J77)</f>
        <v/>
      </c>
    </row>
    <row r="78" spans="1:82">
      <c r="A78" s="161" t="str">
        <f t="array" aca="1" ref="A78" ca="1">IF(TRIM(INDIRECT("Columns!A78")) ="","",TRIM(INDIRECT("Columns!A78")))</f>
        <v/>
      </c>
      <c r="B78" s="161" t="str">
        <f t="shared" ca="1" si="96"/>
        <v/>
      </c>
      <c r="C78" s="161" t="str">
        <f t="shared" ca="1" si="97"/>
        <v/>
      </c>
      <c r="D78" s="161" t="str">
        <f t="shared" ca="1" si="98"/>
        <v/>
      </c>
      <c r="E78" s="161" t="str">
        <f t="array" aca="1" ref="E78" ca="1">IF(TRIM(INDIRECT("Columns!E78"))="","",TRIM(INDIRECT("Columns!E78")))</f>
        <v/>
      </c>
      <c r="F78" s="161" t="str">
        <f t="array" aca="1" ref="F78" ca="1">IF(TRIM(INDIRECT("Columns!G78"))="","",TRIM(INDIRECT("Columns!G78")))</f>
        <v/>
      </c>
      <c r="G78" s="161" t="str">
        <f t="array" aca="1" ref="G78" ca="1">IF(TRIM(INDIRECT("Columns!F78"))="","",TRIM(INDIRECT("Columns!F78")))</f>
        <v/>
      </c>
      <c r="H78" s="161" t="str">
        <f t="array" aca="1" ref="H78" ca="1">IF(TRIM(INDIRECT("Columns!H78"))="","",TRIM(INDIRECT("Columns!H78")))</f>
        <v/>
      </c>
      <c r="I78" s="161" t="str">
        <f t="array" aca="1" ref="I78" ca="1">IF(TRIM(INDIRECT("Columns!I78"))="","",TRIM(INDIRECT("Columns!I78")))</f>
        <v/>
      </c>
      <c r="J78" s="161" t="str">
        <f t="array" aca="1" ref="J78" ca="1">IF(TRIM(INDIRECT("Columns!J78"))="","",TRIM(INDIRECT("Columns!J78")))</f>
        <v/>
      </c>
      <c r="K78" s="161" t="str">
        <f t="array" aca="1" ref="K78" ca="1">IF(TRIM(INDIRECT("Columns!K78"))="","",TRIM(INDIRECT("Columns!K78")))</f>
        <v/>
      </c>
      <c r="L78" s="161" t="str">
        <f t="array" aca="1" ref="L78" ca="1">IF(TRIM(INDIRECT("Columns!L78"))="","",TRIM(INDIRECT("Columns!L78")))</f>
        <v/>
      </c>
      <c r="M78" s="161" t="str">
        <f t="array" aca="1" ref="M78" ca="1">IF(TRIM(INDIRECT("Columns!M78"))="","",TRIM(INDIRECT("Columns!M78")))</f>
        <v/>
      </c>
      <c r="N78" s="161" t="str">
        <f t="array" aca="1" ref="N78" ca="1">IF(TRIM(INDIRECT("Columns!N78"))="","",TRIM(INDIRECT("Columns!N78")))</f>
        <v/>
      </c>
      <c r="O78" s="227" t="str">
        <f t="array" aca="1" ref="O78" ca="1">IF(TRIM(INDIRECT("Columns!B78"))="","",TRIM(INDIRECT("Columns!B78")))</f>
        <v/>
      </c>
      <c r="P78" s="227" t="str">
        <f t="array" aca="1" ref="P78" ca="1">IF(TRIM(INDIRECT("Columns!C78"))="","",TRIM(INDIRECT("Columns!C78")))</f>
        <v/>
      </c>
      <c r="Q78" s="227" t="str">
        <f t="array" aca="1" ref="Q78" ca="1">IF(TRIM(INDIRECT("Columns!D78"))="","",TRIM(INDIRECT("Columns!D78")))</f>
        <v/>
      </c>
      <c r="R78" s="227" t="str">
        <f t="array" aca="1" ref="R78" ca="1">IF(TRIM(INDIRECT("Columns!O78"))="","",TRIM(INDIRECT("Columns!O78")))</f>
        <v/>
      </c>
      <c r="S78" t="str">
        <f t="shared" ca="1" si="99"/>
        <v/>
      </c>
      <c r="T78" t="str">
        <f t="shared" ca="1" si="100"/>
        <v/>
      </c>
      <c r="U78" t="str">
        <f t="shared" ca="1" si="101"/>
        <v/>
      </c>
      <c r="V78" t="str">
        <f t="shared" ca="1" si="102"/>
        <v/>
      </c>
      <c r="W78" t="str">
        <f t="shared" ca="1" si="103"/>
        <v/>
      </c>
      <c r="X78" t="str">
        <f t="shared" ca="1" si="104"/>
        <v/>
      </c>
      <c r="Y78" t="str">
        <f t="shared" ca="1" si="105"/>
        <v/>
      </c>
      <c r="Z78" t="str">
        <f t="shared" ca="1" si="129"/>
        <v/>
      </c>
      <c r="AA78" t="str">
        <f ca="1">IF(E78="1",   IF( A78="","",IF(OR(F78="1",H78="1",I78="1"),"","COALESCE (CAST("&amp;A78&amp;" as varchar(" &amp; Options!$B$49&amp; ")),'')")),"")</f>
        <v/>
      </c>
      <c r="AB78" t="str">
        <f ca="1">IF(E78="1", IF(C78="string",  IF( A78="","",IF(OR(F78="1",H78="1",I78="1"),"","COALESCE (CAST(lower("&amp;A78&amp;") as varchar(" &amp;Options!$B$49 &amp; ")),'')")),AA78),"")</f>
        <v/>
      </c>
      <c r="AC78" t="str">
        <f ca="1">IF(E78="4",   IF( A78="","",IF(OR(F78="1",H78="1",I78="1"),"","COALESCE (CAST("  &amp;A78&amp;" as varchar(" &amp; Options!$B$49&amp; ")),'')")),"")</f>
        <v/>
      </c>
      <c r="AD78" t="str">
        <f ca="1">IF(E78="4",   IF( A78="","",IF(OR(F78="1",H78="1",I78="1"),"","COALESCE (CAST(" &amp; HELPER!$B$94 &amp; "."  &amp;A78&amp;" as varchar(" &amp; Options!$B$49&amp; ")),'')")),"")</f>
        <v/>
      </c>
      <c r="AE78" t="str">
        <f t="shared" ca="1" si="106"/>
        <v/>
      </c>
      <c r="AF78" t="str">
        <f ca="1">IF(AE78&lt;&gt;"", HELPER!$B$93 &amp;  "." &amp; AE78,"")</f>
        <v/>
      </c>
      <c r="AG78" t="str">
        <f ca="1">IF(AE78&lt;&gt;"", HELPER!$B$94 &amp; "." &amp; AE78,"")</f>
        <v/>
      </c>
      <c r="AH78" t="str">
        <f t="shared" ca="1" si="130"/>
        <v/>
      </c>
      <c r="AI78" t="str">
        <f t="shared" ca="1" si="107"/>
        <v/>
      </c>
      <c r="AJ78" t="str">
        <f t="shared" ca="1" si="108"/>
        <v/>
      </c>
      <c r="AK78" t="str">
        <f ca="1">IF(E78="4", HELPER!$B$94 &amp;  "." &amp; A78,"")</f>
        <v/>
      </c>
      <c r="AL78" t="str">
        <f ca="1">IF(E78="4", HELPER!$B$93 &amp;  "." &amp; A78,"")</f>
        <v/>
      </c>
      <c r="AM78" t="str">
        <f t="shared" ca="1" si="109"/>
        <v/>
      </c>
      <c r="AN78" t="str">
        <f t="shared" ca="1" si="110"/>
        <v/>
      </c>
      <c r="AO78" t="str">
        <f ca="1">IF(A78&lt;&gt;"", IF(OR(F78="1",H78="1",I78="1"),""," "&amp; HELPER!$B$94 &amp; "." &amp; A78),"")</f>
        <v/>
      </c>
      <c r="AP78" t="str">
        <f t="shared" ca="1" si="111"/>
        <v/>
      </c>
      <c r="AQ78" t="str">
        <f t="shared" ca="1" si="136"/>
        <v/>
      </c>
      <c r="AS78" t="str">
        <f ca="1">IF(A78="","",  HELPER!$B$94 &amp;  "." &amp; A78)</f>
        <v/>
      </c>
      <c r="AT78" t="str">
        <f t="shared" ca="1" si="112"/>
        <v/>
      </c>
      <c r="AU78" t="str">
        <f t="shared" ca="1" si="113"/>
        <v/>
      </c>
      <c r="AV78" s="190" t="str">
        <f t="shared" ca="1" si="114"/>
        <v/>
      </c>
      <c r="AW78" t="str">
        <f t="shared" ca="1" si="115"/>
        <v/>
      </c>
      <c r="AY78" t="str">
        <f t="shared" ca="1" si="116"/>
        <v/>
      </c>
      <c r="BF78" t="str">
        <f t="shared" ca="1" si="117"/>
        <v/>
      </c>
      <c r="BH78" s="285" t="str">
        <f t="shared" ca="1" si="131"/>
        <v/>
      </c>
      <c r="BI78" t="str">
        <f t="shared" ca="1" si="118"/>
        <v/>
      </c>
      <c r="BJ78" t="str">
        <f t="shared" ca="1" si="119"/>
        <v/>
      </c>
      <c r="BK78" t="str">
        <f t="shared" ca="1" si="132"/>
        <v/>
      </c>
      <c r="BM78" t="str">
        <f t="shared" ca="1" si="133"/>
        <v/>
      </c>
      <c r="BN78" t="str">
        <f t="shared" ca="1" si="134"/>
        <v/>
      </c>
      <c r="BO78" t="str">
        <f t="shared" ca="1" si="120"/>
        <v/>
      </c>
      <c r="BP78" t="b">
        <f ca="1">COUNTIF(COLHELPER!A78:'COLHELPER'!A78,COLHELPER!A78)&gt;1</f>
        <v>0</v>
      </c>
      <c r="BQ78">
        <f t="shared" ca="1" si="121"/>
        <v>0</v>
      </c>
      <c r="BR78" s="290" t="str">
        <f t="shared" ca="1" si="137"/>
        <v/>
      </c>
      <c r="BS78" t="str">
        <f t="shared" ca="1" si="122"/>
        <v/>
      </c>
      <c r="BT78" t="str">
        <f t="shared" ca="1" si="135"/>
        <v/>
      </c>
      <c r="BU78" t="str">
        <f t="shared" ca="1" si="123"/>
        <v/>
      </c>
      <c r="BV78">
        <f t="shared" ca="1" si="124"/>
        <v>0</v>
      </c>
      <c r="BW78" t="str">
        <f t="shared" ca="1" si="125"/>
        <v/>
      </c>
      <c r="BX78" t="str">
        <f t="shared" ca="1" si="126"/>
        <v/>
      </c>
      <c r="BY78" t="str">
        <f ca="1">IF(R78="","",IF(R78&gt;Options!$B$3,"ALTER TABLE "&amp;HELPER!$B$4&amp;" ADD COLUMNS ("&amp;A78&amp;" "&amp;C78&amp;")",""))</f>
        <v/>
      </c>
      <c r="BZ78" t="str">
        <f ca="1">IF(R78="","",IF(R78&gt;Options!$B$3,A78,""))</f>
        <v/>
      </c>
      <c r="CA78" t="str">
        <f ca="1">IF(R78="","",IF(R78&gt;Options!$B$3,B78,""))</f>
        <v/>
      </c>
      <c r="CB78" t="str">
        <f t="shared" ca="1" si="127"/>
        <v/>
      </c>
      <c r="CC78">
        <f t="shared" ca="1" si="128"/>
        <v>0</v>
      </c>
      <c r="CD78" t="str">
        <f ca="1">IF(J78="","",Options!$B$23 &amp; "." &amp; J78)</f>
        <v/>
      </c>
    </row>
    <row r="79" spans="1:82">
      <c r="A79" s="161" t="str">
        <f t="array" aca="1" ref="A79" ca="1">IF(TRIM(INDIRECT("Columns!A79")) ="","",TRIM(INDIRECT("Columns!A79")))</f>
        <v/>
      </c>
      <c r="B79" s="161" t="str">
        <f t="shared" ca="1" si="96"/>
        <v/>
      </c>
      <c r="C79" s="161" t="str">
        <f t="shared" ca="1" si="97"/>
        <v/>
      </c>
      <c r="D79" s="161" t="str">
        <f t="shared" ca="1" si="98"/>
        <v/>
      </c>
      <c r="E79" s="161" t="str">
        <f t="array" aca="1" ref="E79" ca="1">IF(TRIM(INDIRECT("Columns!E79"))="","",TRIM(INDIRECT("Columns!E79")))</f>
        <v/>
      </c>
      <c r="F79" s="161" t="str">
        <f t="array" aca="1" ref="F79" ca="1">IF(TRIM(INDIRECT("Columns!G79"))="","",TRIM(INDIRECT("Columns!G79")))</f>
        <v/>
      </c>
      <c r="G79" s="161" t="str">
        <f t="array" aca="1" ref="G79" ca="1">IF(TRIM(INDIRECT("Columns!F79"))="","",TRIM(INDIRECT("Columns!F79")))</f>
        <v/>
      </c>
      <c r="H79" s="161" t="str">
        <f t="array" aca="1" ref="H79" ca="1">IF(TRIM(INDIRECT("Columns!H79"))="","",TRIM(INDIRECT("Columns!H79")))</f>
        <v/>
      </c>
      <c r="I79" s="161" t="str">
        <f t="array" aca="1" ref="I79" ca="1">IF(TRIM(INDIRECT("Columns!I79"))="","",TRIM(INDIRECT("Columns!I79")))</f>
        <v/>
      </c>
      <c r="J79" s="161" t="str">
        <f t="array" aca="1" ref="J79" ca="1">IF(TRIM(INDIRECT("Columns!J79"))="","",TRIM(INDIRECT("Columns!J79")))</f>
        <v/>
      </c>
      <c r="K79" s="161" t="str">
        <f t="array" aca="1" ref="K79" ca="1">IF(TRIM(INDIRECT("Columns!K79"))="","",TRIM(INDIRECT("Columns!K79")))</f>
        <v/>
      </c>
      <c r="L79" s="161" t="str">
        <f t="array" aca="1" ref="L79" ca="1">IF(TRIM(INDIRECT("Columns!L79"))="","",TRIM(INDIRECT("Columns!L79")))</f>
        <v/>
      </c>
      <c r="M79" s="161" t="str">
        <f t="array" aca="1" ref="M79" ca="1">IF(TRIM(INDIRECT("Columns!M79"))="","",TRIM(INDIRECT("Columns!M79")))</f>
        <v/>
      </c>
      <c r="N79" s="161" t="str">
        <f t="array" aca="1" ref="N79" ca="1">IF(TRIM(INDIRECT("Columns!N79"))="","",TRIM(INDIRECT("Columns!N79")))</f>
        <v/>
      </c>
      <c r="O79" s="227" t="str">
        <f t="array" aca="1" ref="O79" ca="1">IF(TRIM(INDIRECT("Columns!B79"))="","",TRIM(INDIRECT("Columns!B79")))</f>
        <v/>
      </c>
      <c r="P79" s="227" t="str">
        <f t="array" aca="1" ref="P79" ca="1">IF(TRIM(INDIRECT("Columns!C79"))="","",TRIM(INDIRECT("Columns!C79")))</f>
        <v/>
      </c>
      <c r="Q79" s="227" t="str">
        <f t="array" aca="1" ref="Q79" ca="1">IF(TRIM(INDIRECT("Columns!D79"))="","",TRIM(INDIRECT("Columns!D79")))</f>
        <v/>
      </c>
      <c r="R79" s="227" t="str">
        <f t="array" aca="1" ref="R79" ca="1">IF(TRIM(INDIRECT("Columns!O79"))="","",TRIM(INDIRECT("Columns!O79")))</f>
        <v/>
      </c>
      <c r="S79" t="str">
        <f t="shared" ca="1" si="99"/>
        <v/>
      </c>
      <c r="T79" t="str">
        <f t="shared" ca="1" si="100"/>
        <v/>
      </c>
      <c r="U79" t="str">
        <f t="shared" ca="1" si="101"/>
        <v/>
      </c>
      <c r="V79" t="str">
        <f t="shared" ca="1" si="102"/>
        <v/>
      </c>
      <c r="W79" t="str">
        <f t="shared" ca="1" si="103"/>
        <v/>
      </c>
      <c r="X79" t="str">
        <f t="shared" ca="1" si="104"/>
        <v/>
      </c>
      <c r="Y79" t="str">
        <f t="shared" ca="1" si="105"/>
        <v/>
      </c>
      <c r="Z79" t="str">
        <f t="shared" ca="1" si="129"/>
        <v/>
      </c>
      <c r="AA79" t="str">
        <f ca="1">IF(E79="1",   IF( A79="","",IF(OR(F79="1",H79="1",I79="1"),"","COALESCE (CAST("&amp;A79&amp;" as varchar(" &amp; Options!$B$49&amp; ")),'')")),"")</f>
        <v/>
      </c>
      <c r="AB79" t="str">
        <f ca="1">IF(E79="1", IF(C79="string",  IF( A79="","",IF(OR(F79="1",H79="1",I79="1"),"","COALESCE (CAST(lower("&amp;A79&amp;") as varchar(" &amp;Options!$B$49 &amp; ")),'')")),AA79),"")</f>
        <v/>
      </c>
      <c r="AC79" t="str">
        <f ca="1">IF(E79="4",   IF( A79="","",IF(OR(F79="1",H79="1",I79="1"),"","COALESCE (CAST("  &amp;A79&amp;" as varchar(" &amp; Options!$B$49&amp; ")),'')")),"")</f>
        <v/>
      </c>
      <c r="AD79" t="str">
        <f ca="1">IF(E79="4",   IF( A79="","",IF(OR(F79="1",H79="1",I79="1"),"","COALESCE (CAST(" &amp; HELPER!$B$94 &amp; "."  &amp;A79&amp;" as varchar(" &amp; Options!$B$49&amp; ")),'')")),"")</f>
        <v/>
      </c>
      <c r="AE79" t="str">
        <f t="shared" ca="1" si="106"/>
        <v/>
      </c>
      <c r="AF79" t="str">
        <f ca="1">IF(AE79&lt;&gt;"", HELPER!$B$93 &amp;  "." &amp; AE79,"")</f>
        <v/>
      </c>
      <c r="AG79" t="str">
        <f ca="1">IF(AE79&lt;&gt;"", HELPER!$B$94 &amp; "." &amp; AE79,"")</f>
        <v/>
      </c>
      <c r="AH79" t="str">
        <f t="shared" ca="1" si="130"/>
        <v/>
      </c>
      <c r="AI79" t="str">
        <f t="shared" ca="1" si="107"/>
        <v/>
      </c>
      <c r="AJ79" t="str">
        <f t="shared" ca="1" si="108"/>
        <v/>
      </c>
      <c r="AK79" t="str">
        <f ca="1">IF(E79="4", HELPER!$B$94 &amp;  "." &amp; A79,"")</f>
        <v/>
      </c>
      <c r="AL79" t="str">
        <f ca="1">IF(E79="4", HELPER!$B$93 &amp;  "." &amp; A79,"")</f>
        <v/>
      </c>
      <c r="AM79" t="str">
        <f t="shared" ca="1" si="109"/>
        <v/>
      </c>
      <c r="AN79" t="str">
        <f t="shared" ca="1" si="110"/>
        <v/>
      </c>
      <c r="AO79" t="str">
        <f ca="1">IF(A79&lt;&gt;"", IF(OR(F79="1",H79="1",I79="1"),""," "&amp; HELPER!$B$94 &amp; "." &amp; A79),"")</f>
        <v/>
      </c>
      <c r="AP79" t="str">
        <f t="shared" ca="1" si="111"/>
        <v/>
      </c>
      <c r="AQ79" t="str">
        <f t="shared" ca="1" si="136"/>
        <v/>
      </c>
      <c r="AS79" t="str">
        <f ca="1">IF(A79="","",  HELPER!$B$94 &amp;  "." &amp; A79)</f>
        <v/>
      </c>
      <c r="AT79" t="str">
        <f t="shared" ca="1" si="112"/>
        <v/>
      </c>
      <c r="AU79" t="str">
        <f t="shared" ca="1" si="113"/>
        <v/>
      </c>
      <c r="AV79" s="190" t="str">
        <f t="shared" ca="1" si="114"/>
        <v/>
      </c>
      <c r="AW79" t="str">
        <f t="shared" ca="1" si="115"/>
        <v/>
      </c>
      <c r="AY79" t="str">
        <f t="shared" ca="1" si="116"/>
        <v/>
      </c>
      <c r="BF79" t="str">
        <f t="shared" ca="1" si="117"/>
        <v/>
      </c>
      <c r="BH79" s="285" t="str">
        <f t="shared" ca="1" si="131"/>
        <v/>
      </c>
      <c r="BI79" t="str">
        <f t="shared" ca="1" si="118"/>
        <v/>
      </c>
      <c r="BJ79" t="str">
        <f t="shared" ca="1" si="119"/>
        <v/>
      </c>
      <c r="BK79" t="str">
        <f t="shared" ca="1" si="132"/>
        <v/>
      </c>
      <c r="BM79" t="str">
        <f t="shared" ca="1" si="133"/>
        <v/>
      </c>
      <c r="BN79" t="str">
        <f t="shared" ca="1" si="134"/>
        <v/>
      </c>
      <c r="BO79" t="str">
        <f t="shared" ca="1" si="120"/>
        <v/>
      </c>
      <c r="BP79" t="b">
        <f ca="1">COUNTIF(COLHELPER!A79:'COLHELPER'!A79,COLHELPER!A79)&gt;1</f>
        <v>0</v>
      </c>
      <c r="BQ79">
        <f t="shared" ca="1" si="121"/>
        <v>0</v>
      </c>
      <c r="BR79" s="290" t="str">
        <f t="shared" ca="1" si="137"/>
        <v/>
      </c>
      <c r="BS79" t="str">
        <f t="shared" ca="1" si="122"/>
        <v/>
      </c>
      <c r="BT79" t="str">
        <f t="shared" ca="1" si="135"/>
        <v/>
      </c>
      <c r="BU79" t="str">
        <f t="shared" ca="1" si="123"/>
        <v/>
      </c>
      <c r="BV79">
        <f t="shared" ca="1" si="124"/>
        <v>0</v>
      </c>
      <c r="BW79" t="str">
        <f t="shared" ca="1" si="125"/>
        <v/>
      </c>
      <c r="BX79" t="str">
        <f t="shared" ca="1" si="126"/>
        <v/>
      </c>
      <c r="BY79" t="str">
        <f ca="1">IF(R79="","",IF(R79&gt;Options!$B$3,"ALTER TABLE "&amp;HELPER!$B$4&amp;" ADD COLUMNS ("&amp;A79&amp;" "&amp;C79&amp;")",""))</f>
        <v/>
      </c>
      <c r="BZ79" t="str">
        <f ca="1">IF(R79="","",IF(R79&gt;Options!$B$3,A79,""))</f>
        <v/>
      </c>
      <c r="CA79" t="str">
        <f ca="1">IF(R79="","",IF(R79&gt;Options!$B$3,B79,""))</f>
        <v/>
      </c>
      <c r="CB79" t="str">
        <f t="shared" ca="1" si="127"/>
        <v/>
      </c>
      <c r="CC79">
        <f t="shared" ca="1" si="128"/>
        <v>0</v>
      </c>
      <c r="CD79" t="str">
        <f ca="1">IF(J79="","",Options!$B$23 &amp; "." &amp; J79)</f>
        <v/>
      </c>
    </row>
    <row r="80" spans="1:82">
      <c r="A80" s="161" t="str">
        <f t="array" aca="1" ref="A80" ca="1">IF(TRIM(INDIRECT("Columns!A80")) ="","",TRIM(INDIRECT("Columns!A80")))</f>
        <v/>
      </c>
      <c r="B80" s="161" t="str">
        <f t="shared" ca="1" si="96"/>
        <v/>
      </c>
      <c r="C80" s="161" t="str">
        <f t="shared" ca="1" si="97"/>
        <v/>
      </c>
      <c r="D80" s="161" t="str">
        <f t="shared" ca="1" si="98"/>
        <v/>
      </c>
      <c r="E80" s="161" t="str">
        <f t="array" aca="1" ref="E80" ca="1">IF(TRIM(INDIRECT("Columns!E80"))="","",TRIM(INDIRECT("Columns!E80")))</f>
        <v/>
      </c>
      <c r="F80" s="161" t="str">
        <f t="array" aca="1" ref="F80" ca="1">IF(TRIM(INDIRECT("Columns!G80"))="","",TRIM(INDIRECT("Columns!G80")))</f>
        <v/>
      </c>
      <c r="G80" s="161" t="str">
        <f t="array" aca="1" ref="G80" ca="1">IF(TRIM(INDIRECT("Columns!F80"))="","",TRIM(INDIRECT("Columns!F80")))</f>
        <v/>
      </c>
      <c r="H80" s="161" t="str">
        <f t="array" aca="1" ref="H80" ca="1">IF(TRIM(INDIRECT("Columns!H80"))="","",TRIM(INDIRECT("Columns!H80")))</f>
        <v/>
      </c>
      <c r="I80" s="161" t="str">
        <f t="array" aca="1" ref="I80" ca="1">IF(TRIM(INDIRECT("Columns!I80"))="","",TRIM(INDIRECT("Columns!I80")))</f>
        <v/>
      </c>
      <c r="J80" s="161" t="str">
        <f t="array" aca="1" ref="J80" ca="1">IF(TRIM(INDIRECT("Columns!J80"))="","",TRIM(INDIRECT("Columns!J80")))</f>
        <v/>
      </c>
      <c r="K80" s="161" t="str">
        <f t="array" aca="1" ref="K80" ca="1">IF(TRIM(INDIRECT("Columns!K80"))="","",TRIM(INDIRECT("Columns!K80")))</f>
        <v/>
      </c>
      <c r="L80" s="161" t="str">
        <f t="array" aca="1" ref="L80" ca="1">IF(TRIM(INDIRECT("Columns!L80"))="","",TRIM(INDIRECT("Columns!L80")))</f>
        <v/>
      </c>
      <c r="M80" s="161" t="str">
        <f t="array" aca="1" ref="M80" ca="1">IF(TRIM(INDIRECT("Columns!M80"))="","",TRIM(INDIRECT("Columns!M80")))</f>
        <v/>
      </c>
      <c r="N80" s="161" t="str">
        <f t="array" aca="1" ref="N80" ca="1">IF(TRIM(INDIRECT("Columns!N80"))="","",TRIM(INDIRECT("Columns!N80")))</f>
        <v/>
      </c>
      <c r="O80" s="227" t="str">
        <f t="array" aca="1" ref="O80" ca="1">IF(TRIM(INDIRECT("Columns!B80"))="","",TRIM(INDIRECT("Columns!B80")))</f>
        <v/>
      </c>
      <c r="P80" s="227" t="str">
        <f t="array" aca="1" ref="P80" ca="1">IF(TRIM(INDIRECT("Columns!C80"))="","",TRIM(INDIRECT("Columns!C80")))</f>
        <v/>
      </c>
      <c r="Q80" s="227" t="str">
        <f t="array" aca="1" ref="Q80" ca="1">IF(TRIM(INDIRECT("Columns!D80"))="","",TRIM(INDIRECT("Columns!D80")))</f>
        <v/>
      </c>
      <c r="R80" s="227" t="str">
        <f t="array" aca="1" ref="R80" ca="1">IF(TRIM(INDIRECT("Columns!O80"))="","",TRIM(INDIRECT("Columns!O80")))</f>
        <v/>
      </c>
      <c r="S80" t="str">
        <f t="shared" ca="1" si="99"/>
        <v/>
      </c>
      <c r="T80" t="str">
        <f t="shared" ca="1" si="100"/>
        <v/>
      </c>
      <c r="U80" t="str">
        <f t="shared" ca="1" si="101"/>
        <v/>
      </c>
      <c r="V80" t="str">
        <f t="shared" ca="1" si="102"/>
        <v/>
      </c>
      <c r="W80" t="str">
        <f t="shared" ca="1" si="103"/>
        <v/>
      </c>
      <c r="X80" t="str">
        <f t="shared" ca="1" si="104"/>
        <v/>
      </c>
      <c r="Y80" t="str">
        <f t="shared" ca="1" si="105"/>
        <v/>
      </c>
      <c r="Z80" t="str">
        <f t="shared" ca="1" si="129"/>
        <v/>
      </c>
      <c r="AA80" t="str">
        <f ca="1">IF(E80="1",   IF( A80="","",IF(OR(F80="1",H80="1",I80="1"),"","COALESCE (CAST("&amp;A80&amp;" as varchar(" &amp; Options!$B$49&amp; ")),'')")),"")</f>
        <v/>
      </c>
      <c r="AB80" t="str">
        <f ca="1">IF(E80="1", IF(C80="string",  IF( A80="","",IF(OR(F80="1",H80="1",I80="1"),"","COALESCE (CAST(lower("&amp;A80&amp;") as varchar(" &amp;Options!$B$49 &amp; ")),'')")),AA80),"")</f>
        <v/>
      </c>
      <c r="AC80" t="str">
        <f ca="1">IF(E80="4",   IF( A80="","",IF(OR(F80="1",H80="1",I80="1"),"","COALESCE (CAST("  &amp;A80&amp;" as varchar(" &amp; Options!$B$49&amp; ")),'')")),"")</f>
        <v/>
      </c>
      <c r="AD80" t="str">
        <f ca="1">IF(E80="4",   IF( A80="","",IF(OR(F80="1",H80="1",I80="1"),"","COALESCE (CAST(" &amp; HELPER!$B$94 &amp; "."  &amp;A80&amp;" as varchar(" &amp; Options!$B$49&amp; ")),'')")),"")</f>
        <v/>
      </c>
      <c r="AE80" t="str">
        <f t="shared" ca="1" si="106"/>
        <v/>
      </c>
      <c r="AF80" t="str">
        <f ca="1">IF(AE80&lt;&gt;"", HELPER!$B$93 &amp;  "." &amp; AE80,"")</f>
        <v/>
      </c>
      <c r="AG80" t="str">
        <f ca="1">IF(AE80&lt;&gt;"", HELPER!$B$94 &amp; "." &amp; AE80,"")</f>
        <v/>
      </c>
      <c r="AH80" t="str">
        <f t="shared" ca="1" si="130"/>
        <v/>
      </c>
      <c r="AI80" t="str">
        <f t="shared" ca="1" si="107"/>
        <v/>
      </c>
      <c r="AJ80" t="str">
        <f t="shared" ca="1" si="108"/>
        <v/>
      </c>
      <c r="AK80" t="str">
        <f ca="1">IF(E80="4", HELPER!$B$94 &amp;  "." &amp; A80,"")</f>
        <v/>
      </c>
      <c r="AL80" t="str">
        <f ca="1">IF(E80="4", HELPER!$B$93 &amp;  "." &amp; A80,"")</f>
        <v/>
      </c>
      <c r="AM80" t="str">
        <f t="shared" ca="1" si="109"/>
        <v/>
      </c>
      <c r="AN80" t="str">
        <f t="shared" ca="1" si="110"/>
        <v/>
      </c>
      <c r="AO80" t="str">
        <f ca="1">IF(A80&lt;&gt;"", IF(OR(F80="1",H80="1",I80="1"),""," "&amp; HELPER!$B$94 &amp; "." &amp; A80),"")</f>
        <v/>
      </c>
      <c r="AP80" t="str">
        <f t="shared" ca="1" si="111"/>
        <v/>
      </c>
      <c r="AQ80" t="str">
        <f t="shared" ca="1" si="136"/>
        <v/>
      </c>
      <c r="AS80" t="str">
        <f ca="1">IF(A80="","",  HELPER!$B$94 &amp;  "." &amp; A80)</f>
        <v/>
      </c>
      <c r="AT80" t="str">
        <f t="shared" ca="1" si="112"/>
        <v/>
      </c>
      <c r="AU80" t="str">
        <f t="shared" ca="1" si="113"/>
        <v/>
      </c>
      <c r="AV80" s="190" t="str">
        <f t="shared" ca="1" si="114"/>
        <v/>
      </c>
      <c r="AW80" t="str">
        <f t="shared" ca="1" si="115"/>
        <v/>
      </c>
      <c r="AY80" t="str">
        <f t="shared" ca="1" si="116"/>
        <v/>
      </c>
      <c r="BF80" t="str">
        <f t="shared" ca="1" si="117"/>
        <v/>
      </c>
      <c r="BH80" s="285" t="str">
        <f t="shared" ca="1" si="131"/>
        <v/>
      </c>
      <c r="BI80" t="str">
        <f t="shared" ca="1" si="118"/>
        <v/>
      </c>
      <c r="BJ80" t="str">
        <f t="shared" ca="1" si="119"/>
        <v/>
      </c>
      <c r="BK80" t="str">
        <f t="shared" ca="1" si="132"/>
        <v/>
      </c>
      <c r="BM80" t="str">
        <f t="shared" ca="1" si="133"/>
        <v/>
      </c>
      <c r="BN80" t="str">
        <f t="shared" ca="1" si="134"/>
        <v/>
      </c>
      <c r="BO80" t="str">
        <f t="shared" ca="1" si="120"/>
        <v/>
      </c>
      <c r="BP80" t="b">
        <f ca="1">COUNTIF(COLHELPER!A80:'COLHELPER'!A80,COLHELPER!A80)&gt;1</f>
        <v>0</v>
      </c>
      <c r="BQ80">
        <f t="shared" ca="1" si="121"/>
        <v>0</v>
      </c>
      <c r="BR80" s="290" t="str">
        <f t="shared" ca="1" si="137"/>
        <v/>
      </c>
      <c r="BS80" t="str">
        <f t="shared" ca="1" si="122"/>
        <v/>
      </c>
      <c r="BT80" t="str">
        <f t="shared" ca="1" si="135"/>
        <v/>
      </c>
      <c r="BU80" t="str">
        <f t="shared" ca="1" si="123"/>
        <v/>
      </c>
      <c r="BV80">
        <f t="shared" ca="1" si="124"/>
        <v>0</v>
      </c>
      <c r="BW80" t="str">
        <f t="shared" ca="1" si="125"/>
        <v/>
      </c>
      <c r="BX80" t="str">
        <f t="shared" ca="1" si="126"/>
        <v/>
      </c>
      <c r="BY80" t="str">
        <f ca="1">IF(R80="","",IF(R80&gt;Options!$B$3,"ALTER TABLE "&amp;HELPER!$B$4&amp;" ADD COLUMNS ("&amp;A80&amp;" "&amp;C80&amp;")",""))</f>
        <v/>
      </c>
      <c r="BZ80" t="str">
        <f ca="1">IF(R80="","",IF(R80&gt;Options!$B$3,A80,""))</f>
        <v/>
      </c>
      <c r="CA80" t="str">
        <f ca="1">IF(R80="","",IF(R80&gt;Options!$B$3,B80,""))</f>
        <v/>
      </c>
      <c r="CB80" t="str">
        <f t="shared" ca="1" si="127"/>
        <v/>
      </c>
      <c r="CC80">
        <f t="shared" ca="1" si="128"/>
        <v>0</v>
      </c>
      <c r="CD80" t="str">
        <f ca="1">IF(J80="","",Options!$B$23 &amp; "." &amp; J80)</f>
        <v/>
      </c>
    </row>
    <row r="81" spans="1:82">
      <c r="A81" s="161" t="str">
        <f t="array" aca="1" ref="A81" ca="1">IF(TRIM(INDIRECT("Columns!A81")) ="","",TRIM(INDIRECT("Columns!A81")))</f>
        <v/>
      </c>
      <c r="B81" s="161" t="str">
        <f t="shared" ca="1" si="96"/>
        <v/>
      </c>
      <c r="C81" s="161" t="str">
        <f t="shared" ca="1" si="97"/>
        <v/>
      </c>
      <c r="D81" s="161" t="str">
        <f t="shared" ca="1" si="98"/>
        <v/>
      </c>
      <c r="E81" s="161" t="str">
        <f t="array" aca="1" ref="E81" ca="1">IF(TRIM(INDIRECT("Columns!E81"))="","",TRIM(INDIRECT("Columns!E81")))</f>
        <v/>
      </c>
      <c r="F81" s="161" t="str">
        <f t="array" aca="1" ref="F81" ca="1">IF(TRIM(INDIRECT("Columns!G81"))="","",TRIM(INDIRECT("Columns!G81")))</f>
        <v/>
      </c>
      <c r="G81" s="161" t="str">
        <f t="array" aca="1" ref="G81" ca="1">IF(TRIM(INDIRECT("Columns!F81"))="","",TRIM(INDIRECT("Columns!F81")))</f>
        <v/>
      </c>
      <c r="H81" s="161" t="str">
        <f t="array" aca="1" ref="H81" ca="1">IF(TRIM(INDIRECT("Columns!H81"))="","",TRIM(INDIRECT("Columns!H81")))</f>
        <v/>
      </c>
      <c r="I81" s="161" t="str">
        <f t="array" aca="1" ref="I81" ca="1">IF(TRIM(INDIRECT("Columns!I81"))="","",TRIM(INDIRECT("Columns!I81")))</f>
        <v/>
      </c>
      <c r="J81" s="161" t="str">
        <f t="array" aca="1" ref="J81" ca="1">IF(TRIM(INDIRECT("Columns!J81"))="","",TRIM(INDIRECT("Columns!J81")))</f>
        <v/>
      </c>
      <c r="K81" s="161" t="str">
        <f t="array" aca="1" ref="K81" ca="1">IF(TRIM(INDIRECT("Columns!K81"))="","",TRIM(INDIRECT("Columns!K81")))</f>
        <v/>
      </c>
      <c r="L81" s="161" t="str">
        <f t="array" aca="1" ref="L81" ca="1">IF(TRIM(INDIRECT("Columns!L81"))="","",TRIM(INDIRECT("Columns!L81")))</f>
        <v/>
      </c>
      <c r="M81" s="161" t="str">
        <f t="array" aca="1" ref="M81" ca="1">IF(TRIM(INDIRECT("Columns!M81"))="","",TRIM(INDIRECT("Columns!M81")))</f>
        <v/>
      </c>
      <c r="N81" s="161" t="str">
        <f t="array" aca="1" ref="N81" ca="1">IF(TRIM(INDIRECT("Columns!N81"))="","",TRIM(INDIRECT("Columns!N81")))</f>
        <v/>
      </c>
      <c r="O81" s="227" t="str">
        <f t="array" aca="1" ref="O81" ca="1">IF(TRIM(INDIRECT("Columns!B81"))="","",TRIM(INDIRECT("Columns!B81")))</f>
        <v/>
      </c>
      <c r="P81" s="227" t="str">
        <f t="array" aca="1" ref="P81" ca="1">IF(TRIM(INDIRECT("Columns!C81"))="","",TRIM(INDIRECT("Columns!C81")))</f>
        <v/>
      </c>
      <c r="Q81" s="227" t="str">
        <f t="array" aca="1" ref="Q81" ca="1">IF(TRIM(INDIRECT("Columns!D81"))="","",TRIM(INDIRECT("Columns!D81")))</f>
        <v/>
      </c>
      <c r="R81" s="227" t="str">
        <f t="array" aca="1" ref="R81" ca="1">IF(TRIM(INDIRECT("Columns!O81"))="","",TRIM(INDIRECT("Columns!O81")))</f>
        <v/>
      </c>
      <c r="S81" t="str">
        <f t="shared" ca="1" si="99"/>
        <v/>
      </c>
      <c r="T81" t="str">
        <f t="shared" ca="1" si="100"/>
        <v/>
      </c>
      <c r="U81" t="str">
        <f t="shared" ca="1" si="101"/>
        <v/>
      </c>
      <c r="V81" t="str">
        <f t="shared" ca="1" si="102"/>
        <v/>
      </c>
      <c r="W81" t="str">
        <f t="shared" ca="1" si="103"/>
        <v/>
      </c>
      <c r="X81" t="str">
        <f t="shared" ca="1" si="104"/>
        <v/>
      </c>
      <c r="Y81" t="str">
        <f t="shared" ca="1" si="105"/>
        <v/>
      </c>
      <c r="Z81" t="str">
        <f t="shared" ca="1" si="129"/>
        <v/>
      </c>
      <c r="AA81" t="str">
        <f ca="1">IF(E81="1",   IF( A81="","",IF(OR(F81="1",H81="1",I81="1"),"","COALESCE (CAST("&amp;A81&amp;" as varchar(" &amp; Options!$B$49&amp; ")),'')")),"")</f>
        <v/>
      </c>
      <c r="AB81" t="str">
        <f ca="1">IF(E81="1", IF(C81="string",  IF( A81="","",IF(OR(F81="1",H81="1",I81="1"),"","COALESCE (CAST(lower("&amp;A81&amp;") as varchar(" &amp;Options!$B$49 &amp; ")),'')")),AA81),"")</f>
        <v/>
      </c>
      <c r="AC81" t="str">
        <f ca="1">IF(E81="4",   IF( A81="","",IF(OR(F81="1",H81="1",I81="1"),"","COALESCE (CAST("  &amp;A81&amp;" as varchar(" &amp; Options!$B$49&amp; ")),'')")),"")</f>
        <v/>
      </c>
      <c r="AD81" t="str">
        <f ca="1">IF(E81="4",   IF( A81="","",IF(OR(F81="1",H81="1",I81="1"),"","COALESCE (CAST(" &amp; HELPER!$B$94 &amp; "."  &amp;A81&amp;" as varchar(" &amp; Options!$B$49&amp; ")),'')")),"")</f>
        <v/>
      </c>
      <c r="AE81" t="str">
        <f t="shared" ca="1" si="106"/>
        <v/>
      </c>
      <c r="AF81" t="str">
        <f ca="1">IF(AE81&lt;&gt;"", HELPER!$B$93 &amp;  "." &amp; AE81,"")</f>
        <v/>
      </c>
      <c r="AG81" t="str">
        <f ca="1">IF(AE81&lt;&gt;"", HELPER!$B$94 &amp; "." &amp; AE81,"")</f>
        <v/>
      </c>
      <c r="AH81" t="str">
        <f t="shared" ca="1" si="130"/>
        <v/>
      </c>
      <c r="AI81" t="str">
        <f t="shared" ca="1" si="107"/>
        <v/>
      </c>
      <c r="AJ81" t="str">
        <f t="shared" ca="1" si="108"/>
        <v/>
      </c>
      <c r="AK81" t="str">
        <f ca="1">IF(E81="4", HELPER!$B$94 &amp;  "." &amp; A81,"")</f>
        <v/>
      </c>
      <c r="AL81" t="str">
        <f ca="1">IF(E81="4", HELPER!$B$93 &amp;  "." &amp; A81,"")</f>
        <v/>
      </c>
      <c r="AM81" t="str">
        <f t="shared" ca="1" si="109"/>
        <v/>
      </c>
      <c r="AN81" t="str">
        <f t="shared" ca="1" si="110"/>
        <v/>
      </c>
      <c r="AO81" t="str">
        <f ca="1">IF(A81&lt;&gt;"", IF(OR(F81="1",H81="1",I81="1"),""," "&amp; HELPER!$B$94 &amp; "." &amp; A81),"")</f>
        <v/>
      </c>
      <c r="AP81" t="str">
        <f t="shared" ca="1" si="111"/>
        <v/>
      </c>
      <c r="AQ81" t="str">
        <f t="shared" ca="1" si="136"/>
        <v/>
      </c>
      <c r="AS81" t="str">
        <f ca="1">IF(A81="","",  HELPER!$B$94 &amp;  "." &amp; A81)</f>
        <v/>
      </c>
      <c r="AT81" t="str">
        <f t="shared" ca="1" si="112"/>
        <v/>
      </c>
      <c r="AU81" t="str">
        <f t="shared" ca="1" si="113"/>
        <v/>
      </c>
      <c r="AV81" s="190" t="str">
        <f t="shared" ca="1" si="114"/>
        <v/>
      </c>
      <c r="AW81" t="str">
        <f t="shared" ca="1" si="115"/>
        <v/>
      </c>
      <c r="AY81" t="str">
        <f t="shared" ca="1" si="116"/>
        <v/>
      </c>
      <c r="BF81" t="str">
        <f t="shared" ca="1" si="117"/>
        <v/>
      </c>
      <c r="BH81" s="285" t="str">
        <f t="shared" ca="1" si="131"/>
        <v/>
      </c>
      <c r="BI81" t="str">
        <f t="shared" ca="1" si="118"/>
        <v/>
      </c>
      <c r="BJ81" t="str">
        <f t="shared" ca="1" si="119"/>
        <v/>
      </c>
      <c r="BK81" t="str">
        <f t="shared" ca="1" si="132"/>
        <v/>
      </c>
      <c r="BM81" t="str">
        <f t="shared" ca="1" si="133"/>
        <v/>
      </c>
      <c r="BN81" t="str">
        <f t="shared" ca="1" si="134"/>
        <v/>
      </c>
      <c r="BO81" t="str">
        <f t="shared" ca="1" si="120"/>
        <v/>
      </c>
      <c r="BP81" t="b">
        <f ca="1">COUNTIF(COLHELPER!A81:'COLHELPER'!A81,COLHELPER!A81)&gt;1</f>
        <v>0</v>
      </c>
      <c r="BQ81">
        <f t="shared" ca="1" si="121"/>
        <v>0</v>
      </c>
      <c r="BR81" s="290" t="str">
        <f t="shared" ca="1" si="137"/>
        <v/>
      </c>
      <c r="BS81" t="str">
        <f t="shared" ca="1" si="122"/>
        <v/>
      </c>
      <c r="BT81" t="str">
        <f t="shared" ca="1" si="135"/>
        <v/>
      </c>
      <c r="BU81" t="str">
        <f t="shared" ca="1" si="123"/>
        <v/>
      </c>
      <c r="BV81">
        <f t="shared" ca="1" si="124"/>
        <v>0</v>
      </c>
      <c r="BW81" t="str">
        <f t="shared" ca="1" si="125"/>
        <v/>
      </c>
      <c r="BX81" t="str">
        <f t="shared" ca="1" si="126"/>
        <v/>
      </c>
      <c r="BY81" t="str">
        <f ca="1">IF(R81="","",IF(R81&gt;Options!$B$3,"ALTER TABLE "&amp;HELPER!$B$4&amp;" ADD COLUMNS ("&amp;A81&amp;" "&amp;C81&amp;")",""))</f>
        <v/>
      </c>
      <c r="BZ81" t="str">
        <f ca="1">IF(R81="","",IF(R81&gt;Options!$B$3,A81,""))</f>
        <v/>
      </c>
      <c r="CA81" t="str">
        <f ca="1">IF(R81="","",IF(R81&gt;Options!$B$3,B81,""))</f>
        <v/>
      </c>
      <c r="CB81" t="str">
        <f t="shared" ca="1" si="127"/>
        <v/>
      </c>
      <c r="CC81">
        <f t="shared" ca="1" si="128"/>
        <v>0</v>
      </c>
      <c r="CD81" t="str">
        <f ca="1">IF(J81="","",Options!$B$23 &amp; "." &amp; J81)</f>
        <v/>
      </c>
    </row>
    <row r="82" spans="1:82">
      <c r="A82" s="161" t="str">
        <f t="array" aca="1" ref="A82" ca="1">IF(TRIM(INDIRECT("Columns!A82")) ="","",TRIM(INDIRECT("Columns!A82")))</f>
        <v/>
      </c>
      <c r="B82" s="161" t="str">
        <f t="shared" ca="1" si="96"/>
        <v/>
      </c>
      <c r="C82" s="161" t="str">
        <f t="shared" ca="1" si="97"/>
        <v/>
      </c>
      <c r="D82" s="161" t="str">
        <f t="shared" ca="1" si="98"/>
        <v/>
      </c>
      <c r="E82" s="161" t="str">
        <f t="array" aca="1" ref="E82" ca="1">IF(TRIM(INDIRECT("Columns!E82"))="","",TRIM(INDIRECT("Columns!E82")))</f>
        <v/>
      </c>
      <c r="F82" s="161" t="str">
        <f t="array" aca="1" ref="F82" ca="1">IF(TRIM(INDIRECT("Columns!G82"))="","",TRIM(INDIRECT("Columns!G82")))</f>
        <v/>
      </c>
      <c r="G82" s="161" t="str">
        <f t="array" aca="1" ref="G82" ca="1">IF(TRIM(INDIRECT("Columns!F82"))="","",TRIM(INDIRECT("Columns!F82")))</f>
        <v/>
      </c>
      <c r="H82" s="161" t="str">
        <f t="array" aca="1" ref="H82" ca="1">IF(TRIM(INDIRECT("Columns!H82"))="","",TRIM(INDIRECT("Columns!H82")))</f>
        <v/>
      </c>
      <c r="I82" s="161" t="str">
        <f t="array" aca="1" ref="I82" ca="1">IF(TRIM(INDIRECT("Columns!I82"))="","",TRIM(INDIRECT("Columns!I82")))</f>
        <v/>
      </c>
      <c r="J82" s="161" t="str">
        <f t="array" aca="1" ref="J82" ca="1">IF(TRIM(INDIRECT("Columns!J82"))="","",TRIM(INDIRECT("Columns!J82")))</f>
        <v/>
      </c>
      <c r="K82" s="161" t="str">
        <f t="array" aca="1" ref="K82" ca="1">IF(TRIM(INDIRECT("Columns!K82"))="","",TRIM(INDIRECT("Columns!K82")))</f>
        <v/>
      </c>
      <c r="L82" s="161" t="str">
        <f t="array" aca="1" ref="L82" ca="1">IF(TRIM(INDIRECT("Columns!L82"))="","",TRIM(INDIRECT("Columns!L82")))</f>
        <v/>
      </c>
      <c r="M82" s="161" t="str">
        <f t="array" aca="1" ref="M82" ca="1">IF(TRIM(INDIRECT("Columns!M82"))="","",TRIM(INDIRECT("Columns!M82")))</f>
        <v/>
      </c>
      <c r="N82" s="161" t="str">
        <f t="array" aca="1" ref="N82" ca="1">IF(TRIM(INDIRECT("Columns!N82"))="","",TRIM(INDIRECT("Columns!N82")))</f>
        <v/>
      </c>
      <c r="O82" s="227" t="str">
        <f t="array" aca="1" ref="O82" ca="1">IF(TRIM(INDIRECT("Columns!B82"))="","",TRIM(INDIRECT("Columns!B82")))</f>
        <v/>
      </c>
      <c r="P82" s="227" t="str">
        <f t="array" aca="1" ref="P82" ca="1">IF(TRIM(INDIRECT("Columns!C82"))="","",TRIM(INDIRECT("Columns!C82")))</f>
        <v/>
      </c>
      <c r="Q82" s="227" t="str">
        <f t="array" aca="1" ref="Q82" ca="1">IF(TRIM(INDIRECT("Columns!D82"))="","",TRIM(INDIRECT("Columns!D82")))</f>
        <v/>
      </c>
      <c r="R82" s="227" t="str">
        <f t="array" aca="1" ref="R82" ca="1">IF(TRIM(INDIRECT("Columns!O82"))="","",TRIM(INDIRECT("Columns!O82")))</f>
        <v/>
      </c>
      <c r="S82" t="str">
        <f t="shared" ca="1" si="99"/>
        <v/>
      </c>
      <c r="T82" t="str">
        <f t="shared" ca="1" si="100"/>
        <v/>
      </c>
      <c r="U82" t="str">
        <f t="shared" ca="1" si="101"/>
        <v/>
      </c>
      <c r="V82" t="str">
        <f t="shared" ca="1" si="102"/>
        <v/>
      </c>
      <c r="W82" t="str">
        <f t="shared" ca="1" si="103"/>
        <v/>
      </c>
      <c r="X82" t="str">
        <f t="shared" ca="1" si="104"/>
        <v/>
      </c>
      <c r="Y82" t="str">
        <f t="shared" ca="1" si="105"/>
        <v/>
      </c>
      <c r="Z82" t="str">
        <f t="shared" ca="1" si="129"/>
        <v/>
      </c>
      <c r="AA82" t="str">
        <f ca="1">IF(E82="1",   IF( A82="","",IF(OR(F82="1",H82="1",I82="1"),"","COALESCE (CAST("&amp;A82&amp;" as varchar(" &amp; Options!$B$49&amp; ")),'')")),"")</f>
        <v/>
      </c>
      <c r="AB82" t="str">
        <f ca="1">IF(E82="1", IF(C82="string",  IF( A82="","",IF(OR(F82="1",H82="1",I82="1"),"","COALESCE (CAST(lower("&amp;A82&amp;") as varchar(" &amp;Options!$B$49 &amp; ")),'')")),AA82),"")</f>
        <v/>
      </c>
      <c r="AC82" t="str">
        <f ca="1">IF(E82="4",   IF( A82="","",IF(OR(F82="1",H82="1",I82="1"),"","COALESCE (CAST("  &amp;A82&amp;" as varchar(" &amp; Options!$B$49&amp; ")),'')")),"")</f>
        <v/>
      </c>
      <c r="AD82" t="str">
        <f ca="1">IF(E82="4",   IF( A82="","",IF(OR(F82="1",H82="1",I82="1"),"","COALESCE (CAST(" &amp; HELPER!$B$94 &amp; "."  &amp;A82&amp;" as varchar(" &amp; Options!$B$49&amp; ")),'')")),"")</f>
        <v/>
      </c>
      <c r="AE82" t="str">
        <f t="shared" ca="1" si="106"/>
        <v/>
      </c>
      <c r="AF82" t="str">
        <f ca="1">IF(AE82&lt;&gt;"", HELPER!$B$93 &amp;  "." &amp; AE82,"")</f>
        <v/>
      </c>
      <c r="AG82" t="str">
        <f ca="1">IF(AE82&lt;&gt;"", HELPER!$B$94 &amp; "." &amp; AE82,"")</f>
        <v/>
      </c>
      <c r="AH82" t="str">
        <f t="shared" ca="1" si="130"/>
        <v/>
      </c>
      <c r="AI82" t="str">
        <f t="shared" ca="1" si="107"/>
        <v/>
      </c>
      <c r="AJ82" t="str">
        <f t="shared" ca="1" si="108"/>
        <v/>
      </c>
      <c r="AK82" t="str">
        <f ca="1">IF(E82="4", HELPER!$B$94 &amp;  "." &amp; A82,"")</f>
        <v/>
      </c>
      <c r="AL82" t="str">
        <f ca="1">IF(E82="4", HELPER!$B$93 &amp;  "." &amp; A82,"")</f>
        <v/>
      </c>
      <c r="AM82" t="str">
        <f t="shared" ca="1" si="109"/>
        <v/>
      </c>
      <c r="AN82" t="str">
        <f t="shared" ca="1" si="110"/>
        <v/>
      </c>
      <c r="AO82" t="str">
        <f ca="1">IF(A82&lt;&gt;"", IF(OR(F82="1",H82="1",I82="1"),""," "&amp; HELPER!$B$94 &amp; "." &amp; A82),"")</f>
        <v/>
      </c>
      <c r="AP82" t="str">
        <f t="shared" ca="1" si="111"/>
        <v/>
      </c>
      <c r="AQ82" t="str">
        <f t="shared" ca="1" si="136"/>
        <v/>
      </c>
      <c r="AS82" t="str">
        <f ca="1">IF(A82="","",  HELPER!$B$94 &amp;  "." &amp; A82)</f>
        <v/>
      </c>
      <c r="AT82" t="str">
        <f t="shared" ca="1" si="112"/>
        <v/>
      </c>
      <c r="AU82" t="str">
        <f t="shared" ca="1" si="113"/>
        <v/>
      </c>
      <c r="AV82" s="190" t="str">
        <f t="shared" ca="1" si="114"/>
        <v/>
      </c>
      <c r="AW82" t="str">
        <f t="shared" ca="1" si="115"/>
        <v/>
      </c>
      <c r="AY82" t="str">
        <f t="shared" ca="1" si="116"/>
        <v/>
      </c>
      <c r="BF82" t="str">
        <f t="shared" ca="1" si="117"/>
        <v/>
      </c>
      <c r="BH82" s="285" t="str">
        <f t="shared" ca="1" si="131"/>
        <v/>
      </c>
      <c r="BI82" t="str">
        <f t="shared" ca="1" si="118"/>
        <v/>
      </c>
      <c r="BJ82" t="str">
        <f t="shared" ca="1" si="119"/>
        <v/>
      </c>
      <c r="BK82" t="str">
        <f t="shared" ca="1" si="132"/>
        <v/>
      </c>
      <c r="BM82" t="str">
        <f t="shared" ca="1" si="133"/>
        <v/>
      </c>
      <c r="BN82" t="str">
        <f t="shared" ca="1" si="134"/>
        <v/>
      </c>
      <c r="BO82" t="str">
        <f t="shared" ca="1" si="120"/>
        <v/>
      </c>
      <c r="BP82" t="b">
        <f ca="1">COUNTIF(COLHELPER!A82:'COLHELPER'!A82,COLHELPER!A82)&gt;1</f>
        <v>0</v>
      </c>
      <c r="BQ82">
        <f t="shared" ca="1" si="121"/>
        <v>0</v>
      </c>
      <c r="BR82" s="290" t="str">
        <f t="shared" ca="1" si="137"/>
        <v/>
      </c>
      <c r="BS82" t="str">
        <f t="shared" ca="1" si="122"/>
        <v/>
      </c>
      <c r="BT82" t="str">
        <f t="shared" ca="1" si="135"/>
        <v/>
      </c>
      <c r="BU82" t="str">
        <f t="shared" ca="1" si="123"/>
        <v/>
      </c>
      <c r="BV82">
        <f t="shared" ca="1" si="124"/>
        <v>0</v>
      </c>
      <c r="BW82" t="str">
        <f t="shared" ca="1" si="125"/>
        <v/>
      </c>
      <c r="BX82" t="str">
        <f t="shared" ca="1" si="126"/>
        <v/>
      </c>
      <c r="BY82" t="str">
        <f ca="1">IF(R82="","",IF(R82&gt;Options!$B$3,"ALTER TABLE "&amp;HELPER!$B$4&amp;" ADD COLUMNS ("&amp;A82&amp;" "&amp;C82&amp;")",""))</f>
        <v/>
      </c>
      <c r="BZ82" t="str">
        <f ca="1">IF(R82="","",IF(R82&gt;Options!$B$3,A82,""))</f>
        <v/>
      </c>
      <c r="CA82" t="str">
        <f ca="1">IF(R82="","",IF(R82&gt;Options!$B$3,B82,""))</f>
        <v/>
      </c>
      <c r="CB82" t="str">
        <f t="shared" ca="1" si="127"/>
        <v/>
      </c>
      <c r="CC82">
        <f t="shared" ca="1" si="128"/>
        <v>0</v>
      </c>
      <c r="CD82" t="str">
        <f ca="1">IF(J82="","",Options!$B$23 &amp; "." &amp; J82)</f>
        <v/>
      </c>
    </row>
    <row r="83" spans="1:82">
      <c r="A83" s="161" t="str">
        <f t="array" aca="1" ref="A83" ca="1">IF(TRIM(INDIRECT("Columns!A83")) ="","",TRIM(INDIRECT("Columns!A83")))</f>
        <v/>
      </c>
      <c r="B83" s="161" t="str">
        <f t="shared" ca="1" si="96"/>
        <v/>
      </c>
      <c r="C83" s="161" t="str">
        <f t="shared" ca="1" si="97"/>
        <v/>
      </c>
      <c r="D83" s="161" t="str">
        <f t="shared" ca="1" si="98"/>
        <v/>
      </c>
      <c r="E83" s="161" t="str">
        <f t="array" aca="1" ref="E83" ca="1">IF(TRIM(INDIRECT("Columns!E83"))="","",TRIM(INDIRECT("Columns!E83")))</f>
        <v/>
      </c>
      <c r="F83" s="161" t="str">
        <f t="array" aca="1" ref="F83" ca="1">IF(TRIM(INDIRECT("Columns!G83"))="","",TRIM(INDIRECT("Columns!G83")))</f>
        <v/>
      </c>
      <c r="G83" s="161" t="str">
        <f t="array" aca="1" ref="G83" ca="1">IF(TRIM(INDIRECT("Columns!F83"))="","",TRIM(INDIRECT("Columns!F83")))</f>
        <v/>
      </c>
      <c r="H83" s="161" t="str">
        <f t="array" aca="1" ref="H83" ca="1">IF(TRIM(INDIRECT("Columns!H83"))="","",TRIM(INDIRECT("Columns!H83")))</f>
        <v/>
      </c>
      <c r="I83" s="161" t="str">
        <f t="array" aca="1" ref="I83" ca="1">IF(TRIM(INDIRECT("Columns!I83"))="","",TRIM(INDIRECT("Columns!I83")))</f>
        <v/>
      </c>
      <c r="J83" s="161" t="str">
        <f t="array" aca="1" ref="J83" ca="1">IF(TRIM(INDIRECT("Columns!J83"))="","",TRIM(INDIRECT("Columns!J83")))</f>
        <v/>
      </c>
      <c r="K83" s="161" t="str">
        <f t="array" aca="1" ref="K83" ca="1">IF(TRIM(INDIRECT("Columns!K83"))="","",TRIM(INDIRECT("Columns!K83")))</f>
        <v/>
      </c>
      <c r="L83" s="161" t="str">
        <f t="array" aca="1" ref="L83" ca="1">IF(TRIM(INDIRECT("Columns!L83"))="","",TRIM(INDIRECT("Columns!L83")))</f>
        <v/>
      </c>
      <c r="M83" s="161" t="str">
        <f t="array" aca="1" ref="M83" ca="1">IF(TRIM(INDIRECT("Columns!M83"))="","",TRIM(INDIRECT("Columns!M83")))</f>
        <v/>
      </c>
      <c r="N83" s="161" t="str">
        <f t="array" aca="1" ref="N83" ca="1">IF(TRIM(INDIRECT("Columns!N83"))="","",TRIM(INDIRECT("Columns!N83")))</f>
        <v/>
      </c>
      <c r="O83" s="227" t="str">
        <f t="array" aca="1" ref="O83" ca="1">IF(TRIM(INDIRECT("Columns!B83"))="","",TRIM(INDIRECT("Columns!B83")))</f>
        <v/>
      </c>
      <c r="P83" s="227" t="str">
        <f t="array" aca="1" ref="P83" ca="1">IF(TRIM(INDIRECT("Columns!C83"))="","",TRIM(INDIRECT("Columns!C83")))</f>
        <v/>
      </c>
      <c r="Q83" s="227" t="str">
        <f t="array" aca="1" ref="Q83" ca="1">IF(TRIM(INDIRECT("Columns!D83"))="","",TRIM(INDIRECT("Columns!D83")))</f>
        <v/>
      </c>
      <c r="R83" s="227" t="str">
        <f t="array" aca="1" ref="R83" ca="1">IF(TRIM(INDIRECT("Columns!O83"))="","",TRIM(INDIRECT("Columns!O83")))</f>
        <v/>
      </c>
      <c r="S83" t="str">
        <f t="shared" ca="1" si="99"/>
        <v/>
      </c>
      <c r="T83" t="str">
        <f t="shared" ca="1" si="100"/>
        <v/>
      </c>
      <c r="U83" t="str">
        <f t="shared" ca="1" si="101"/>
        <v/>
      </c>
      <c r="V83" t="str">
        <f t="shared" ca="1" si="102"/>
        <v/>
      </c>
      <c r="W83" t="str">
        <f t="shared" ca="1" si="103"/>
        <v/>
      </c>
      <c r="X83" t="str">
        <f t="shared" ca="1" si="104"/>
        <v/>
      </c>
      <c r="Y83" t="str">
        <f t="shared" ca="1" si="105"/>
        <v/>
      </c>
      <c r="Z83" t="str">
        <f t="shared" ca="1" si="129"/>
        <v/>
      </c>
      <c r="AA83" t="str">
        <f ca="1">IF(E83="1",   IF( A83="","",IF(OR(F83="1",H83="1",I83="1"),"","COALESCE (CAST("&amp;A83&amp;" as varchar(" &amp; Options!$B$49&amp; ")),'')")),"")</f>
        <v/>
      </c>
      <c r="AB83" t="str">
        <f ca="1">IF(E83="1", IF(C83="string",  IF( A83="","",IF(OR(F83="1",H83="1",I83="1"),"","COALESCE (CAST(lower("&amp;A83&amp;") as varchar(" &amp;Options!$B$49 &amp; ")),'')")),AA83),"")</f>
        <v/>
      </c>
      <c r="AC83" t="str">
        <f ca="1">IF(E83="4",   IF( A83="","",IF(OR(F83="1",H83="1",I83="1"),"","COALESCE (CAST("  &amp;A83&amp;" as varchar(" &amp; Options!$B$49&amp; ")),'')")),"")</f>
        <v/>
      </c>
      <c r="AD83" t="str">
        <f ca="1">IF(E83="4",   IF( A83="","",IF(OR(F83="1",H83="1",I83="1"),"","COALESCE (CAST(" &amp; HELPER!$B$94 &amp; "."  &amp;A83&amp;" as varchar(" &amp; Options!$B$49&amp; ")),'')")),"")</f>
        <v/>
      </c>
      <c r="AE83" t="str">
        <f t="shared" ca="1" si="106"/>
        <v/>
      </c>
      <c r="AF83" t="str">
        <f ca="1">IF(AE83&lt;&gt;"", HELPER!$B$93 &amp;  "." &amp; AE83,"")</f>
        <v/>
      </c>
      <c r="AG83" t="str">
        <f ca="1">IF(AE83&lt;&gt;"", HELPER!$B$94 &amp; "." &amp; AE83,"")</f>
        <v/>
      </c>
      <c r="AH83" t="str">
        <f t="shared" ca="1" si="130"/>
        <v/>
      </c>
      <c r="AI83" t="str">
        <f t="shared" ca="1" si="107"/>
        <v/>
      </c>
      <c r="AJ83" t="str">
        <f t="shared" ca="1" si="108"/>
        <v/>
      </c>
      <c r="AK83" t="str">
        <f ca="1">IF(E83="4", HELPER!$B$94 &amp;  "." &amp; A83,"")</f>
        <v/>
      </c>
      <c r="AL83" t="str">
        <f ca="1">IF(E83="4", HELPER!$B$93 &amp;  "." &amp; A83,"")</f>
        <v/>
      </c>
      <c r="AM83" t="str">
        <f t="shared" ca="1" si="109"/>
        <v/>
      </c>
      <c r="AN83" t="str">
        <f t="shared" ca="1" si="110"/>
        <v/>
      </c>
      <c r="AO83" t="str">
        <f ca="1">IF(A83&lt;&gt;"", IF(OR(F83="1",H83="1",I83="1"),""," "&amp; HELPER!$B$94 &amp; "." &amp; A83),"")</f>
        <v/>
      </c>
      <c r="AP83" t="str">
        <f t="shared" ca="1" si="111"/>
        <v/>
      </c>
      <c r="AQ83" t="str">
        <f t="shared" ca="1" si="136"/>
        <v/>
      </c>
      <c r="AS83" t="str">
        <f ca="1">IF(A83="","",  HELPER!$B$94 &amp;  "." &amp; A83)</f>
        <v/>
      </c>
      <c r="AT83" t="str">
        <f t="shared" ca="1" si="112"/>
        <v/>
      </c>
      <c r="AU83" t="str">
        <f t="shared" ca="1" si="113"/>
        <v/>
      </c>
      <c r="AV83" s="190" t="str">
        <f t="shared" ca="1" si="114"/>
        <v/>
      </c>
      <c r="AW83" t="str">
        <f t="shared" ca="1" si="115"/>
        <v/>
      </c>
      <c r="AY83" t="str">
        <f t="shared" ca="1" si="116"/>
        <v/>
      </c>
      <c r="BF83" t="str">
        <f t="shared" ca="1" si="117"/>
        <v/>
      </c>
      <c r="BH83" s="285" t="str">
        <f t="shared" ca="1" si="131"/>
        <v/>
      </c>
      <c r="BI83" t="str">
        <f t="shared" ca="1" si="118"/>
        <v/>
      </c>
      <c r="BJ83" t="str">
        <f t="shared" ca="1" si="119"/>
        <v/>
      </c>
      <c r="BK83" t="str">
        <f t="shared" ca="1" si="132"/>
        <v/>
      </c>
      <c r="BM83" t="str">
        <f t="shared" ca="1" si="133"/>
        <v/>
      </c>
      <c r="BN83" t="str">
        <f t="shared" ca="1" si="134"/>
        <v/>
      </c>
      <c r="BO83" t="str">
        <f t="shared" ca="1" si="120"/>
        <v/>
      </c>
      <c r="BP83" t="b">
        <f ca="1">COUNTIF(COLHELPER!A83:'COLHELPER'!A83,COLHELPER!A83)&gt;1</f>
        <v>0</v>
      </c>
      <c r="BQ83">
        <f t="shared" ca="1" si="121"/>
        <v>0</v>
      </c>
      <c r="BR83" s="290" t="str">
        <f t="shared" ca="1" si="137"/>
        <v/>
      </c>
      <c r="BS83" t="str">
        <f t="shared" ca="1" si="122"/>
        <v/>
      </c>
      <c r="BT83" t="str">
        <f t="shared" ca="1" si="135"/>
        <v/>
      </c>
      <c r="BU83" t="str">
        <f t="shared" ca="1" si="123"/>
        <v/>
      </c>
      <c r="BV83">
        <f t="shared" ca="1" si="124"/>
        <v>0</v>
      </c>
      <c r="BW83" t="str">
        <f t="shared" ca="1" si="125"/>
        <v/>
      </c>
      <c r="BX83" t="str">
        <f t="shared" ca="1" si="126"/>
        <v/>
      </c>
      <c r="BY83" t="str">
        <f ca="1">IF(R83="","",IF(R83&gt;Options!$B$3,"ALTER TABLE "&amp;HELPER!$B$4&amp;" ADD COLUMNS ("&amp;A83&amp;" "&amp;C83&amp;")",""))</f>
        <v/>
      </c>
      <c r="BZ83" t="str">
        <f ca="1">IF(R83="","",IF(R83&gt;Options!$B$3,A83,""))</f>
        <v/>
      </c>
      <c r="CA83" t="str">
        <f ca="1">IF(R83="","",IF(R83&gt;Options!$B$3,B83,""))</f>
        <v/>
      </c>
      <c r="CB83" t="str">
        <f t="shared" ca="1" si="127"/>
        <v/>
      </c>
      <c r="CC83">
        <f t="shared" ca="1" si="128"/>
        <v>0</v>
      </c>
      <c r="CD83" t="str">
        <f ca="1">IF(J83="","",Options!$B$23 &amp; "." &amp; J83)</f>
        <v/>
      </c>
    </row>
    <row r="84" spans="1:82">
      <c r="A84" s="161" t="str">
        <f t="array" aca="1" ref="A84" ca="1">IF(TRIM(INDIRECT("Columns!A84")) ="","",TRIM(INDIRECT("Columns!A84")))</f>
        <v/>
      </c>
      <c r="B84" s="161" t="str">
        <f t="shared" ca="1" si="96"/>
        <v/>
      </c>
      <c r="C84" s="161" t="str">
        <f t="shared" ca="1" si="97"/>
        <v/>
      </c>
      <c r="D84" s="161" t="str">
        <f t="shared" ca="1" si="98"/>
        <v/>
      </c>
      <c r="E84" s="161" t="str">
        <f t="array" aca="1" ref="E84" ca="1">IF(TRIM(INDIRECT("Columns!E84"))="","",TRIM(INDIRECT("Columns!E84")))</f>
        <v/>
      </c>
      <c r="F84" s="161" t="str">
        <f t="array" aca="1" ref="F84" ca="1">IF(TRIM(INDIRECT("Columns!G84"))="","",TRIM(INDIRECT("Columns!G84")))</f>
        <v/>
      </c>
      <c r="G84" s="161" t="str">
        <f t="array" aca="1" ref="G84" ca="1">IF(TRIM(INDIRECT("Columns!F84"))="","",TRIM(INDIRECT("Columns!F84")))</f>
        <v/>
      </c>
      <c r="H84" s="161" t="str">
        <f t="array" aca="1" ref="H84" ca="1">IF(TRIM(INDIRECT("Columns!H84"))="","",TRIM(INDIRECT("Columns!H84")))</f>
        <v/>
      </c>
      <c r="I84" s="161" t="str">
        <f t="array" aca="1" ref="I84" ca="1">IF(TRIM(INDIRECT("Columns!I84"))="","",TRIM(INDIRECT("Columns!I84")))</f>
        <v/>
      </c>
      <c r="J84" s="161" t="str">
        <f t="array" aca="1" ref="J84" ca="1">IF(TRIM(INDIRECT("Columns!J84"))="","",TRIM(INDIRECT("Columns!J84")))</f>
        <v/>
      </c>
      <c r="K84" s="161" t="str">
        <f t="array" aca="1" ref="K84" ca="1">IF(TRIM(INDIRECT("Columns!K84"))="","",TRIM(INDIRECT("Columns!K84")))</f>
        <v/>
      </c>
      <c r="L84" s="161" t="str">
        <f t="array" aca="1" ref="L84" ca="1">IF(TRIM(INDIRECT("Columns!L84"))="","",TRIM(INDIRECT("Columns!L84")))</f>
        <v/>
      </c>
      <c r="M84" s="161" t="str">
        <f t="array" aca="1" ref="M84" ca="1">IF(TRIM(INDIRECT("Columns!M84"))="","",TRIM(INDIRECT("Columns!M84")))</f>
        <v/>
      </c>
      <c r="N84" s="161" t="str">
        <f t="array" aca="1" ref="N84" ca="1">IF(TRIM(INDIRECT("Columns!N84"))="","",TRIM(INDIRECT("Columns!N84")))</f>
        <v/>
      </c>
      <c r="O84" s="227" t="str">
        <f t="array" aca="1" ref="O84" ca="1">IF(TRIM(INDIRECT("Columns!B84"))="","",TRIM(INDIRECT("Columns!B84")))</f>
        <v/>
      </c>
      <c r="P84" s="227" t="str">
        <f t="array" aca="1" ref="P84" ca="1">IF(TRIM(INDIRECT("Columns!C84"))="","",TRIM(INDIRECT("Columns!C84")))</f>
        <v/>
      </c>
      <c r="Q84" s="227" t="str">
        <f t="array" aca="1" ref="Q84" ca="1">IF(TRIM(INDIRECT("Columns!D84"))="","",TRIM(INDIRECT("Columns!D84")))</f>
        <v/>
      </c>
      <c r="R84" s="227" t="str">
        <f t="array" aca="1" ref="R84" ca="1">IF(TRIM(INDIRECT("Columns!O84"))="","",TRIM(INDIRECT("Columns!O84")))</f>
        <v/>
      </c>
      <c r="S84" t="str">
        <f t="shared" ca="1" si="99"/>
        <v/>
      </c>
      <c r="T84" t="str">
        <f t="shared" ca="1" si="100"/>
        <v/>
      </c>
      <c r="U84" t="str">
        <f t="shared" ca="1" si="101"/>
        <v/>
      </c>
      <c r="V84" t="str">
        <f t="shared" ca="1" si="102"/>
        <v/>
      </c>
      <c r="W84" t="str">
        <f t="shared" ca="1" si="103"/>
        <v/>
      </c>
      <c r="X84" t="str">
        <f t="shared" ca="1" si="104"/>
        <v/>
      </c>
      <c r="Y84" t="str">
        <f t="shared" ca="1" si="105"/>
        <v/>
      </c>
      <c r="Z84" t="str">
        <f t="shared" ca="1" si="129"/>
        <v/>
      </c>
      <c r="AA84" t="str">
        <f ca="1">IF(E84="1",   IF( A84="","",IF(OR(F84="1",H84="1",I84="1"),"","COALESCE (CAST("&amp;A84&amp;" as varchar(" &amp; Options!$B$49&amp; ")),'')")),"")</f>
        <v/>
      </c>
      <c r="AB84" t="str">
        <f ca="1">IF(E84="1", IF(C84="string",  IF( A84="","",IF(OR(F84="1",H84="1",I84="1"),"","COALESCE (CAST(lower("&amp;A84&amp;") as varchar(" &amp;Options!$B$49 &amp; ")),'')")),AA84),"")</f>
        <v/>
      </c>
      <c r="AC84" t="str">
        <f ca="1">IF(E84="4",   IF( A84="","",IF(OR(F84="1",H84="1",I84="1"),"","COALESCE (CAST("  &amp;A84&amp;" as varchar(" &amp; Options!$B$49&amp; ")),'')")),"")</f>
        <v/>
      </c>
      <c r="AD84" t="str">
        <f ca="1">IF(E84="4",   IF( A84="","",IF(OR(F84="1",H84="1",I84="1"),"","COALESCE (CAST(" &amp; HELPER!$B$94 &amp; "."  &amp;A84&amp;" as varchar(" &amp; Options!$B$49&amp; ")),'')")),"")</f>
        <v/>
      </c>
      <c r="AE84" t="str">
        <f t="shared" ca="1" si="106"/>
        <v/>
      </c>
      <c r="AF84" t="str">
        <f ca="1">IF(AE84&lt;&gt;"", HELPER!$B$93 &amp;  "." &amp; AE84,"")</f>
        <v/>
      </c>
      <c r="AG84" t="str">
        <f ca="1">IF(AE84&lt;&gt;"", HELPER!$B$94 &amp; "." &amp; AE84,"")</f>
        <v/>
      </c>
      <c r="AH84" t="str">
        <f t="shared" ca="1" si="130"/>
        <v/>
      </c>
      <c r="AI84" t="str">
        <f t="shared" ca="1" si="107"/>
        <v/>
      </c>
      <c r="AJ84" t="str">
        <f t="shared" ca="1" si="108"/>
        <v/>
      </c>
      <c r="AK84" t="str">
        <f ca="1">IF(E84="4", HELPER!$B$94 &amp;  "." &amp; A84,"")</f>
        <v/>
      </c>
      <c r="AL84" t="str">
        <f ca="1">IF(E84="4", HELPER!$B$93 &amp;  "." &amp; A84,"")</f>
        <v/>
      </c>
      <c r="AM84" t="str">
        <f t="shared" ca="1" si="109"/>
        <v/>
      </c>
      <c r="AN84" t="str">
        <f t="shared" ca="1" si="110"/>
        <v/>
      </c>
      <c r="AO84" t="str">
        <f ca="1">IF(A84&lt;&gt;"", IF(OR(F84="1",H84="1",I84="1"),""," "&amp; HELPER!$B$94 &amp; "." &amp; A84),"")</f>
        <v/>
      </c>
      <c r="AP84" t="str">
        <f t="shared" ca="1" si="111"/>
        <v/>
      </c>
      <c r="AQ84" t="str">
        <f t="shared" ca="1" si="136"/>
        <v/>
      </c>
      <c r="AS84" t="str">
        <f ca="1">IF(A84="","",  HELPER!$B$94 &amp;  "." &amp; A84)</f>
        <v/>
      </c>
      <c r="AT84" t="str">
        <f t="shared" ca="1" si="112"/>
        <v/>
      </c>
      <c r="AU84" t="str">
        <f t="shared" ca="1" si="113"/>
        <v/>
      </c>
      <c r="AV84" s="190" t="str">
        <f t="shared" ca="1" si="114"/>
        <v/>
      </c>
      <c r="AW84" t="str">
        <f t="shared" ca="1" si="115"/>
        <v/>
      </c>
      <c r="AY84" t="str">
        <f t="shared" ca="1" si="116"/>
        <v/>
      </c>
      <c r="BF84" t="str">
        <f t="shared" ca="1" si="117"/>
        <v/>
      </c>
      <c r="BH84" s="285" t="str">
        <f t="shared" ca="1" si="131"/>
        <v/>
      </c>
      <c r="BI84" t="str">
        <f t="shared" ca="1" si="118"/>
        <v/>
      </c>
      <c r="BJ84" t="str">
        <f t="shared" ca="1" si="119"/>
        <v/>
      </c>
      <c r="BK84" t="str">
        <f t="shared" ca="1" si="132"/>
        <v/>
      </c>
      <c r="BM84" t="str">
        <f t="shared" ca="1" si="133"/>
        <v/>
      </c>
      <c r="BN84" t="str">
        <f t="shared" ca="1" si="134"/>
        <v/>
      </c>
      <c r="BO84" t="str">
        <f t="shared" ca="1" si="120"/>
        <v/>
      </c>
      <c r="BP84" t="b">
        <f ca="1">COUNTIF(COLHELPER!A84:'COLHELPER'!A84,COLHELPER!A84)&gt;1</f>
        <v>0</v>
      </c>
      <c r="BQ84">
        <f t="shared" ca="1" si="121"/>
        <v>0</v>
      </c>
      <c r="BR84" s="290" t="str">
        <f t="shared" ca="1" si="137"/>
        <v/>
      </c>
      <c r="BS84" t="str">
        <f t="shared" ca="1" si="122"/>
        <v/>
      </c>
      <c r="BT84" t="str">
        <f t="shared" ca="1" si="135"/>
        <v/>
      </c>
      <c r="BU84" t="str">
        <f t="shared" ca="1" si="123"/>
        <v/>
      </c>
      <c r="BV84">
        <f t="shared" ca="1" si="124"/>
        <v>0</v>
      </c>
      <c r="BW84" t="str">
        <f t="shared" ca="1" si="125"/>
        <v/>
      </c>
      <c r="BX84" t="str">
        <f t="shared" ca="1" si="126"/>
        <v/>
      </c>
      <c r="BY84" t="str">
        <f ca="1">IF(R84="","",IF(R84&gt;Options!$B$3,"ALTER TABLE "&amp;HELPER!$B$4&amp;" ADD COLUMNS ("&amp;A84&amp;" "&amp;C84&amp;")",""))</f>
        <v/>
      </c>
      <c r="BZ84" t="str">
        <f ca="1">IF(R84="","",IF(R84&gt;Options!$B$3,A84,""))</f>
        <v/>
      </c>
      <c r="CA84" t="str">
        <f ca="1">IF(R84="","",IF(R84&gt;Options!$B$3,B84,""))</f>
        <v/>
      </c>
      <c r="CB84" t="str">
        <f t="shared" ca="1" si="127"/>
        <v/>
      </c>
      <c r="CC84">
        <f t="shared" ca="1" si="128"/>
        <v>0</v>
      </c>
      <c r="CD84" t="str">
        <f ca="1">IF(J84="","",Options!$B$23 &amp; "." &amp; J84)</f>
        <v/>
      </c>
    </row>
    <row r="85" spans="1:82">
      <c r="A85" s="161" t="str">
        <f t="array" aca="1" ref="A85" ca="1">IF(TRIM(INDIRECT("Columns!A85")) ="","",TRIM(INDIRECT("Columns!A85")))</f>
        <v/>
      </c>
      <c r="B85" s="161" t="str">
        <f t="shared" ca="1" si="96"/>
        <v/>
      </c>
      <c r="C85" s="161" t="str">
        <f t="shared" ca="1" si="97"/>
        <v/>
      </c>
      <c r="D85" s="161" t="str">
        <f t="shared" ca="1" si="98"/>
        <v/>
      </c>
      <c r="E85" s="161" t="str">
        <f t="array" aca="1" ref="E85" ca="1">IF(TRIM(INDIRECT("Columns!E85"))="","",TRIM(INDIRECT("Columns!E85")))</f>
        <v/>
      </c>
      <c r="F85" s="161" t="str">
        <f t="array" aca="1" ref="F85" ca="1">IF(TRIM(INDIRECT("Columns!G85"))="","",TRIM(INDIRECT("Columns!G85")))</f>
        <v/>
      </c>
      <c r="G85" s="161" t="str">
        <f t="array" aca="1" ref="G85" ca="1">IF(TRIM(INDIRECT("Columns!F85"))="","",TRIM(INDIRECT("Columns!F85")))</f>
        <v/>
      </c>
      <c r="H85" s="161" t="str">
        <f t="array" aca="1" ref="H85" ca="1">IF(TRIM(INDIRECT("Columns!H85"))="","",TRIM(INDIRECT("Columns!H85")))</f>
        <v/>
      </c>
      <c r="I85" s="161" t="str">
        <f t="array" aca="1" ref="I85" ca="1">IF(TRIM(INDIRECT("Columns!I85"))="","",TRIM(INDIRECT("Columns!I85")))</f>
        <v/>
      </c>
      <c r="J85" s="161" t="str">
        <f t="array" aca="1" ref="J85" ca="1">IF(TRIM(INDIRECT("Columns!J85"))="","",TRIM(INDIRECT("Columns!J85")))</f>
        <v/>
      </c>
      <c r="K85" s="161" t="str">
        <f t="array" aca="1" ref="K85" ca="1">IF(TRIM(INDIRECT("Columns!K85"))="","",TRIM(INDIRECT("Columns!K85")))</f>
        <v/>
      </c>
      <c r="L85" s="161" t="str">
        <f t="array" aca="1" ref="L85" ca="1">IF(TRIM(INDIRECT("Columns!L85"))="","",TRIM(INDIRECT("Columns!L85")))</f>
        <v/>
      </c>
      <c r="M85" s="161" t="str">
        <f t="array" aca="1" ref="M85" ca="1">IF(TRIM(INDIRECT("Columns!M85"))="","",TRIM(INDIRECT("Columns!M85")))</f>
        <v/>
      </c>
      <c r="N85" s="161" t="str">
        <f t="array" aca="1" ref="N85" ca="1">IF(TRIM(INDIRECT("Columns!N85"))="","",TRIM(INDIRECT("Columns!N85")))</f>
        <v/>
      </c>
      <c r="O85" s="227" t="str">
        <f t="array" aca="1" ref="O85" ca="1">IF(TRIM(INDIRECT("Columns!B85"))="","",TRIM(INDIRECT("Columns!B85")))</f>
        <v/>
      </c>
      <c r="P85" s="227" t="str">
        <f t="array" aca="1" ref="P85" ca="1">IF(TRIM(INDIRECT("Columns!C85"))="","",TRIM(INDIRECT("Columns!C85")))</f>
        <v/>
      </c>
      <c r="Q85" s="227" t="str">
        <f t="array" aca="1" ref="Q85" ca="1">IF(TRIM(INDIRECT("Columns!D85"))="","",TRIM(INDIRECT("Columns!D85")))</f>
        <v/>
      </c>
      <c r="R85" s="227" t="str">
        <f t="array" aca="1" ref="R85" ca="1">IF(TRIM(INDIRECT("Columns!O85"))="","",TRIM(INDIRECT("Columns!O85")))</f>
        <v/>
      </c>
      <c r="S85" t="str">
        <f t="shared" ca="1" si="99"/>
        <v/>
      </c>
      <c r="T85" t="str">
        <f t="shared" ca="1" si="100"/>
        <v/>
      </c>
      <c r="U85" t="str">
        <f t="shared" ca="1" si="101"/>
        <v/>
      </c>
      <c r="V85" t="str">
        <f t="shared" ca="1" si="102"/>
        <v/>
      </c>
      <c r="W85" t="str">
        <f t="shared" ca="1" si="103"/>
        <v/>
      </c>
      <c r="X85" t="str">
        <f t="shared" ca="1" si="104"/>
        <v/>
      </c>
      <c r="Y85" t="str">
        <f t="shared" ca="1" si="105"/>
        <v/>
      </c>
      <c r="Z85" t="str">
        <f t="shared" ca="1" si="129"/>
        <v/>
      </c>
      <c r="AA85" t="str">
        <f ca="1">IF(E85="1",   IF( A85="","",IF(OR(F85="1",H85="1",I85="1"),"","COALESCE (CAST("&amp;A85&amp;" as varchar(" &amp; Options!$B$49&amp; ")),'')")),"")</f>
        <v/>
      </c>
      <c r="AB85" t="str">
        <f ca="1">IF(E85="1", IF(C85="string",  IF( A85="","",IF(OR(F85="1",H85="1",I85="1"),"","COALESCE (CAST(lower("&amp;A85&amp;") as varchar(" &amp;Options!$B$49 &amp; ")),'')")),AA85),"")</f>
        <v/>
      </c>
      <c r="AC85" t="str">
        <f ca="1">IF(E85="4",   IF( A85="","",IF(OR(F85="1",H85="1",I85="1"),"","COALESCE (CAST("  &amp;A85&amp;" as varchar(" &amp; Options!$B$49&amp; ")),'')")),"")</f>
        <v/>
      </c>
      <c r="AD85" t="str">
        <f ca="1">IF(E85="4",   IF( A85="","",IF(OR(F85="1",H85="1",I85="1"),"","COALESCE (CAST(" &amp; HELPER!$B$94 &amp; "."  &amp;A85&amp;" as varchar(" &amp; Options!$B$49&amp; ")),'')")),"")</f>
        <v/>
      </c>
      <c r="AE85" t="str">
        <f t="shared" ca="1" si="106"/>
        <v/>
      </c>
      <c r="AF85" t="str">
        <f ca="1">IF(AE85&lt;&gt;"", HELPER!$B$93 &amp;  "." &amp; AE85,"")</f>
        <v/>
      </c>
      <c r="AG85" t="str">
        <f ca="1">IF(AE85&lt;&gt;"", HELPER!$B$94 &amp; "." &amp; AE85,"")</f>
        <v/>
      </c>
      <c r="AH85" t="str">
        <f t="shared" ca="1" si="130"/>
        <v/>
      </c>
      <c r="AI85" t="str">
        <f t="shared" ca="1" si="107"/>
        <v/>
      </c>
      <c r="AJ85" t="str">
        <f t="shared" ca="1" si="108"/>
        <v/>
      </c>
      <c r="AK85" t="str">
        <f ca="1">IF(E85="4", HELPER!$B$94 &amp;  "." &amp; A85,"")</f>
        <v/>
      </c>
      <c r="AL85" t="str">
        <f ca="1">IF(E85="4", HELPER!$B$93 &amp;  "." &amp; A85,"")</f>
        <v/>
      </c>
      <c r="AM85" t="str">
        <f t="shared" ca="1" si="109"/>
        <v/>
      </c>
      <c r="AN85" t="str">
        <f t="shared" ca="1" si="110"/>
        <v/>
      </c>
      <c r="AO85" t="str">
        <f ca="1">IF(A85&lt;&gt;"", IF(OR(F85="1",H85="1",I85="1"),""," "&amp; HELPER!$B$94 &amp; "." &amp; A85),"")</f>
        <v/>
      </c>
      <c r="AP85" t="str">
        <f t="shared" ca="1" si="111"/>
        <v/>
      </c>
      <c r="AQ85" t="str">
        <f t="shared" ca="1" si="136"/>
        <v/>
      </c>
      <c r="AS85" t="str">
        <f ca="1">IF(A85="","",  HELPER!$B$94 &amp;  "." &amp; A85)</f>
        <v/>
      </c>
      <c r="AT85" t="str">
        <f t="shared" ca="1" si="112"/>
        <v/>
      </c>
      <c r="AU85" t="str">
        <f t="shared" ca="1" si="113"/>
        <v/>
      </c>
      <c r="AV85" s="190" t="str">
        <f t="shared" ca="1" si="114"/>
        <v/>
      </c>
      <c r="AW85" t="str">
        <f t="shared" ca="1" si="115"/>
        <v/>
      </c>
      <c r="AY85" t="str">
        <f t="shared" ca="1" si="116"/>
        <v/>
      </c>
      <c r="BF85" t="str">
        <f t="shared" ca="1" si="117"/>
        <v/>
      </c>
      <c r="BH85" s="285" t="str">
        <f t="shared" ca="1" si="131"/>
        <v/>
      </c>
      <c r="BI85" t="str">
        <f t="shared" ca="1" si="118"/>
        <v/>
      </c>
      <c r="BJ85" t="str">
        <f t="shared" ca="1" si="119"/>
        <v/>
      </c>
      <c r="BK85" t="str">
        <f t="shared" ca="1" si="132"/>
        <v/>
      </c>
      <c r="BM85" t="str">
        <f t="shared" ca="1" si="133"/>
        <v/>
      </c>
      <c r="BN85" t="str">
        <f t="shared" ca="1" si="134"/>
        <v/>
      </c>
      <c r="BO85" t="str">
        <f t="shared" ca="1" si="120"/>
        <v/>
      </c>
      <c r="BP85" t="b">
        <f ca="1">COUNTIF(COLHELPER!A85:'COLHELPER'!A85,COLHELPER!A85)&gt;1</f>
        <v>0</v>
      </c>
      <c r="BQ85">
        <f t="shared" ca="1" si="121"/>
        <v>0</v>
      </c>
      <c r="BR85" s="290" t="str">
        <f t="shared" ca="1" si="137"/>
        <v/>
      </c>
      <c r="BS85" t="str">
        <f t="shared" ca="1" si="122"/>
        <v/>
      </c>
      <c r="BT85" t="str">
        <f t="shared" ca="1" si="135"/>
        <v/>
      </c>
      <c r="BU85" t="str">
        <f t="shared" ca="1" si="123"/>
        <v/>
      </c>
      <c r="BV85">
        <f t="shared" ca="1" si="124"/>
        <v>0</v>
      </c>
      <c r="BW85" t="str">
        <f t="shared" ca="1" si="125"/>
        <v/>
      </c>
      <c r="BX85" t="str">
        <f t="shared" ca="1" si="126"/>
        <v/>
      </c>
      <c r="BY85" t="str">
        <f ca="1">IF(R85="","",IF(R85&gt;Options!$B$3,"ALTER TABLE "&amp;HELPER!$B$4&amp;" ADD COLUMNS ("&amp;A85&amp;" "&amp;C85&amp;")",""))</f>
        <v/>
      </c>
      <c r="BZ85" t="str">
        <f ca="1">IF(R85="","",IF(R85&gt;Options!$B$3,A85,""))</f>
        <v/>
      </c>
      <c r="CA85" t="str">
        <f ca="1">IF(R85="","",IF(R85&gt;Options!$B$3,B85,""))</f>
        <v/>
      </c>
      <c r="CB85" t="str">
        <f t="shared" ca="1" si="127"/>
        <v/>
      </c>
      <c r="CC85">
        <f t="shared" ca="1" si="128"/>
        <v>0</v>
      </c>
      <c r="CD85" t="str">
        <f ca="1">IF(J85="","",Options!$B$23 &amp; "." &amp; J85)</f>
        <v/>
      </c>
    </row>
    <row r="86" spans="1:82">
      <c r="A86" s="161" t="str">
        <f t="array" aca="1" ref="A86" ca="1">IF(TRIM(INDIRECT("Columns!A86")) ="","",TRIM(INDIRECT("Columns!A86")))</f>
        <v/>
      </c>
      <c r="B86" s="161" t="str">
        <f t="shared" ca="1" si="96"/>
        <v/>
      </c>
      <c r="C86" s="161" t="str">
        <f t="shared" ca="1" si="97"/>
        <v/>
      </c>
      <c r="D86" s="161" t="str">
        <f t="shared" ca="1" si="98"/>
        <v/>
      </c>
      <c r="E86" s="161" t="str">
        <f t="array" aca="1" ref="E86" ca="1">IF(TRIM(INDIRECT("Columns!E86"))="","",TRIM(INDIRECT("Columns!E86")))</f>
        <v/>
      </c>
      <c r="F86" s="161" t="str">
        <f t="array" aca="1" ref="F86" ca="1">IF(TRIM(INDIRECT("Columns!G86"))="","",TRIM(INDIRECT("Columns!G86")))</f>
        <v/>
      </c>
      <c r="G86" s="161" t="str">
        <f t="array" aca="1" ref="G86" ca="1">IF(TRIM(INDIRECT("Columns!F86"))="","",TRIM(INDIRECT("Columns!F86")))</f>
        <v/>
      </c>
      <c r="H86" s="161" t="str">
        <f t="array" aca="1" ref="H86" ca="1">IF(TRIM(INDIRECT("Columns!H86"))="","",TRIM(INDIRECT("Columns!H86")))</f>
        <v/>
      </c>
      <c r="I86" s="161" t="str">
        <f t="array" aca="1" ref="I86" ca="1">IF(TRIM(INDIRECT("Columns!I86"))="","",TRIM(INDIRECT("Columns!I86")))</f>
        <v/>
      </c>
      <c r="J86" s="161" t="str">
        <f t="array" aca="1" ref="J86" ca="1">IF(TRIM(INDIRECT("Columns!J86"))="","",TRIM(INDIRECT("Columns!J86")))</f>
        <v/>
      </c>
      <c r="K86" s="161" t="str">
        <f t="array" aca="1" ref="K86" ca="1">IF(TRIM(INDIRECT("Columns!K86"))="","",TRIM(INDIRECT("Columns!K86")))</f>
        <v/>
      </c>
      <c r="L86" s="161" t="str">
        <f t="array" aca="1" ref="L86" ca="1">IF(TRIM(INDIRECT("Columns!L86"))="","",TRIM(INDIRECT("Columns!L86")))</f>
        <v/>
      </c>
      <c r="M86" s="161" t="str">
        <f t="array" aca="1" ref="M86" ca="1">IF(TRIM(INDIRECT("Columns!M86"))="","",TRIM(INDIRECT("Columns!M86")))</f>
        <v/>
      </c>
      <c r="N86" s="161" t="str">
        <f t="array" aca="1" ref="N86" ca="1">IF(TRIM(INDIRECT("Columns!N86"))="","",TRIM(INDIRECT("Columns!N86")))</f>
        <v/>
      </c>
      <c r="O86" s="227" t="str">
        <f t="array" aca="1" ref="O86" ca="1">IF(TRIM(INDIRECT("Columns!B86"))="","",TRIM(INDIRECT("Columns!B86")))</f>
        <v/>
      </c>
      <c r="P86" s="227" t="str">
        <f t="array" aca="1" ref="P86" ca="1">IF(TRIM(INDIRECT("Columns!C86"))="","",TRIM(INDIRECT("Columns!C86")))</f>
        <v/>
      </c>
      <c r="Q86" s="227" t="str">
        <f t="array" aca="1" ref="Q86" ca="1">IF(TRIM(INDIRECT("Columns!D86"))="","",TRIM(INDIRECT("Columns!D86")))</f>
        <v/>
      </c>
      <c r="R86" s="227" t="str">
        <f t="array" aca="1" ref="R86" ca="1">IF(TRIM(INDIRECT("Columns!O86"))="","",TRIM(INDIRECT("Columns!O86")))</f>
        <v/>
      </c>
      <c r="S86" t="str">
        <f t="shared" ca="1" si="99"/>
        <v/>
      </c>
      <c r="T86" t="str">
        <f t="shared" ca="1" si="100"/>
        <v/>
      </c>
      <c r="U86" t="str">
        <f t="shared" ca="1" si="101"/>
        <v/>
      </c>
      <c r="V86" t="str">
        <f t="shared" ca="1" si="102"/>
        <v/>
      </c>
      <c r="W86" t="str">
        <f t="shared" ca="1" si="103"/>
        <v/>
      </c>
      <c r="X86" t="str">
        <f t="shared" ca="1" si="104"/>
        <v/>
      </c>
      <c r="Y86" t="str">
        <f t="shared" ca="1" si="105"/>
        <v/>
      </c>
      <c r="Z86" t="str">
        <f t="shared" ca="1" si="129"/>
        <v/>
      </c>
      <c r="AA86" t="str">
        <f ca="1">IF(E86="1",   IF( A86="","",IF(OR(F86="1",H86="1",I86="1"),"","COALESCE (CAST("&amp;A86&amp;" as varchar(" &amp; Options!$B$49&amp; ")),'')")),"")</f>
        <v/>
      </c>
      <c r="AB86" t="str">
        <f ca="1">IF(E86="1", IF(C86="string",  IF( A86="","",IF(OR(F86="1",H86="1",I86="1"),"","COALESCE (CAST(lower("&amp;A86&amp;") as varchar(" &amp;Options!$B$49 &amp; ")),'')")),AA86),"")</f>
        <v/>
      </c>
      <c r="AC86" t="str">
        <f ca="1">IF(E86="4",   IF( A86="","",IF(OR(F86="1",H86="1",I86="1"),"","COALESCE (CAST("  &amp;A86&amp;" as varchar(" &amp; Options!$B$49&amp; ")),'')")),"")</f>
        <v/>
      </c>
      <c r="AD86" t="str">
        <f ca="1">IF(E86="4",   IF( A86="","",IF(OR(F86="1",H86="1",I86="1"),"","COALESCE (CAST(" &amp; HELPER!$B$94 &amp; "."  &amp;A86&amp;" as varchar(" &amp; Options!$B$49&amp; ")),'')")),"")</f>
        <v/>
      </c>
      <c r="AE86" t="str">
        <f t="shared" ca="1" si="106"/>
        <v/>
      </c>
      <c r="AF86" t="str">
        <f ca="1">IF(AE86&lt;&gt;"", HELPER!$B$93 &amp;  "." &amp; AE86,"")</f>
        <v/>
      </c>
      <c r="AG86" t="str">
        <f ca="1">IF(AE86&lt;&gt;"", HELPER!$B$94 &amp; "." &amp; AE86,"")</f>
        <v/>
      </c>
      <c r="AH86" t="str">
        <f t="shared" ca="1" si="130"/>
        <v/>
      </c>
      <c r="AI86" t="str">
        <f t="shared" ca="1" si="107"/>
        <v/>
      </c>
      <c r="AJ86" t="str">
        <f t="shared" ca="1" si="108"/>
        <v/>
      </c>
      <c r="AK86" t="str">
        <f ca="1">IF(E86="4", HELPER!$B$94 &amp;  "." &amp; A86,"")</f>
        <v/>
      </c>
      <c r="AL86" t="str">
        <f ca="1">IF(E86="4", HELPER!$B$93 &amp;  "." &amp; A86,"")</f>
        <v/>
      </c>
      <c r="AM86" t="str">
        <f t="shared" ca="1" si="109"/>
        <v/>
      </c>
      <c r="AN86" t="str">
        <f t="shared" ca="1" si="110"/>
        <v/>
      </c>
      <c r="AO86" t="str">
        <f ca="1">IF(A86&lt;&gt;"", IF(OR(F86="1",H86="1",I86="1"),""," "&amp; HELPER!$B$94 &amp; "." &amp; A86),"")</f>
        <v/>
      </c>
      <c r="AP86" t="str">
        <f t="shared" ca="1" si="111"/>
        <v/>
      </c>
      <c r="AQ86" t="str">
        <f t="shared" ca="1" si="136"/>
        <v/>
      </c>
      <c r="AS86" t="str">
        <f ca="1">IF(A86="","",  HELPER!$B$94 &amp;  "." &amp; A86)</f>
        <v/>
      </c>
      <c r="AT86" t="str">
        <f t="shared" ca="1" si="112"/>
        <v/>
      </c>
      <c r="AU86" t="str">
        <f t="shared" ca="1" si="113"/>
        <v/>
      </c>
      <c r="AV86" s="190" t="str">
        <f t="shared" ca="1" si="114"/>
        <v/>
      </c>
      <c r="AW86" t="str">
        <f t="shared" ca="1" si="115"/>
        <v/>
      </c>
      <c r="AY86" t="str">
        <f t="shared" ca="1" si="116"/>
        <v/>
      </c>
      <c r="BF86" t="str">
        <f t="shared" ca="1" si="117"/>
        <v/>
      </c>
      <c r="BH86" s="285" t="str">
        <f t="shared" ca="1" si="131"/>
        <v/>
      </c>
      <c r="BI86" t="str">
        <f t="shared" ca="1" si="118"/>
        <v/>
      </c>
      <c r="BJ86" t="str">
        <f t="shared" ca="1" si="119"/>
        <v/>
      </c>
      <c r="BK86" t="str">
        <f t="shared" ca="1" si="132"/>
        <v/>
      </c>
      <c r="BM86" t="str">
        <f t="shared" ca="1" si="133"/>
        <v/>
      </c>
      <c r="BN86" t="str">
        <f t="shared" ca="1" si="134"/>
        <v/>
      </c>
      <c r="BO86" t="str">
        <f t="shared" ca="1" si="120"/>
        <v/>
      </c>
      <c r="BP86" t="b">
        <f ca="1">COUNTIF(COLHELPER!A86:'COLHELPER'!A86,COLHELPER!A86)&gt;1</f>
        <v>0</v>
      </c>
      <c r="BQ86">
        <f t="shared" ca="1" si="121"/>
        <v>0</v>
      </c>
      <c r="BR86" s="290" t="str">
        <f t="shared" ca="1" si="137"/>
        <v/>
      </c>
      <c r="BS86" t="str">
        <f t="shared" ca="1" si="122"/>
        <v/>
      </c>
      <c r="BT86" t="str">
        <f t="shared" ca="1" si="135"/>
        <v/>
      </c>
      <c r="BU86" t="str">
        <f t="shared" ca="1" si="123"/>
        <v/>
      </c>
      <c r="BV86">
        <f t="shared" ca="1" si="124"/>
        <v>0</v>
      </c>
      <c r="BW86" t="str">
        <f t="shared" ca="1" si="125"/>
        <v/>
      </c>
      <c r="BX86" t="str">
        <f t="shared" ca="1" si="126"/>
        <v/>
      </c>
      <c r="BY86" t="str">
        <f ca="1">IF(R86="","",IF(R86&gt;Options!$B$3,"ALTER TABLE "&amp;HELPER!$B$4&amp;" ADD COLUMNS ("&amp;A86&amp;" "&amp;C86&amp;")",""))</f>
        <v/>
      </c>
      <c r="BZ86" t="str">
        <f ca="1">IF(R86="","",IF(R86&gt;Options!$B$3,A86,""))</f>
        <v/>
      </c>
      <c r="CA86" t="str">
        <f ca="1">IF(R86="","",IF(R86&gt;Options!$B$3,B86,""))</f>
        <v/>
      </c>
      <c r="CB86" t="str">
        <f t="shared" ca="1" si="127"/>
        <v/>
      </c>
      <c r="CC86">
        <f t="shared" ca="1" si="128"/>
        <v>0</v>
      </c>
      <c r="CD86" t="str">
        <f ca="1">IF(J86="","",Options!$B$23 &amp; "." &amp; J86)</f>
        <v/>
      </c>
    </row>
    <row r="87" spans="1:82">
      <c r="A87" s="161" t="str">
        <f t="array" aca="1" ref="A87" ca="1">IF(TRIM(INDIRECT("Columns!A87")) ="","",TRIM(INDIRECT("Columns!A87")))</f>
        <v/>
      </c>
      <c r="B87" s="161" t="str">
        <f t="shared" ca="1" si="96"/>
        <v/>
      </c>
      <c r="C87" s="161" t="str">
        <f t="shared" ca="1" si="97"/>
        <v/>
      </c>
      <c r="D87" s="161" t="str">
        <f t="shared" ca="1" si="98"/>
        <v/>
      </c>
      <c r="E87" s="161" t="str">
        <f t="array" aca="1" ref="E87" ca="1">IF(TRIM(INDIRECT("Columns!E87"))="","",TRIM(INDIRECT("Columns!E87")))</f>
        <v/>
      </c>
      <c r="F87" s="161" t="str">
        <f t="array" aca="1" ref="F87" ca="1">IF(TRIM(INDIRECT("Columns!G87"))="","",TRIM(INDIRECT("Columns!G87")))</f>
        <v/>
      </c>
      <c r="G87" s="161" t="str">
        <f t="array" aca="1" ref="G87" ca="1">IF(TRIM(INDIRECT("Columns!F87"))="","",TRIM(INDIRECT("Columns!F87")))</f>
        <v/>
      </c>
      <c r="H87" s="161" t="str">
        <f t="array" aca="1" ref="H87" ca="1">IF(TRIM(INDIRECT("Columns!H87"))="","",TRIM(INDIRECT("Columns!H87")))</f>
        <v/>
      </c>
      <c r="I87" s="161" t="str">
        <f t="array" aca="1" ref="I87" ca="1">IF(TRIM(INDIRECT("Columns!I87"))="","",TRIM(INDIRECT("Columns!I87")))</f>
        <v/>
      </c>
      <c r="J87" s="161" t="str">
        <f t="array" aca="1" ref="J87" ca="1">IF(TRIM(INDIRECT("Columns!J87"))="","",TRIM(INDIRECT("Columns!J87")))</f>
        <v/>
      </c>
      <c r="K87" s="161" t="str">
        <f t="array" aca="1" ref="K87" ca="1">IF(TRIM(INDIRECT("Columns!K87"))="","",TRIM(INDIRECT("Columns!K87")))</f>
        <v/>
      </c>
      <c r="L87" s="161" t="str">
        <f t="array" aca="1" ref="L87" ca="1">IF(TRIM(INDIRECT("Columns!L87"))="","",TRIM(INDIRECT("Columns!L87")))</f>
        <v/>
      </c>
      <c r="M87" s="161" t="str">
        <f t="array" aca="1" ref="M87" ca="1">IF(TRIM(INDIRECT("Columns!M87"))="","",TRIM(INDIRECT("Columns!M87")))</f>
        <v/>
      </c>
      <c r="N87" s="161" t="str">
        <f t="array" aca="1" ref="N87" ca="1">IF(TRIM(INDIRECT("Columns!N87"))="","",TRIM(INDIRECT("Columns!N87")))</f>
        <v/>
      </c>
      <c r="O87" s="227" t="str">
        <f t="array" aca="1" ref="O87" ca="1">IF(TRIM(INDIRECT("Columns!B87"))="","",TRIM(INDIRECT("Columns!B87")))</f>
        <v/>
      </c>
      <c r="P87" s="227" t="str">
        <f t="array" aca="1" ref="P87" ca="1">IF(TRIM(INDIRECT("Columns!C87"))="","",TRIM(INDIRECT("Columns!C87")))</f>
        <v/>
      </c>
      <c r="Q87" s="227" t="str">
        <f t="array" aca="1" ref="Q87" ca="1">IF(TRIM(INDIRECT("Columns!D87"))="","",TRIM(INDIRECT("Columns!D87")))</f>
        <v/>
      </c>
      <c r="R87" s="227" t="str">
        <f t="array" aca="1" ref="R87" ca="1">IF(TRIM(INDIRECT("Columns!O87"))="","",TRIM(INDIRECT("Columns!O87")))</f>
        <v/>
      </c>
      <c r="S87" t="str">
        <f t="shared" ca="1" si="99"/>
        <v/>
      </c>
      <c r="T87" t="str">
        <f t="shared" ca="1" si="100"/>
        <v/>
      </c>
      <c r="U87" t="str">
        <f t="shared" ca="1" si="101"/>
        <v/>
      </c>
      <c r="V87" t="str">
        <f t="shared" ca="1" si="102"/>
        <v/>
      </c>
      <c r="W87" t="str">
        <f t="shared" ca="1" si="103"/>
        <v/>
      </c>
      <c r="X87" t="str">
        <f t="shared" ca="1" si="104"/>
        <v/>
      </c>
      <c r="Y87" t="str">
        <f t="shared" ca="1" si="105"/>
        <v/>
      </c>
      <c r="Z87" t="str">
        <f t="shared" ca="1" si="129"/>
        <v/>
      </c>
      <c r="AA87" t="str">
        <f ca="1">IF(E87="1",   IF( A87="","",IF(OR(F87="1",H87="1",I87="1"),"","COALESCE (CAST("&amp;A87&amp;" as varchar(" &amp; Options!$B$49&amp; ")),'')")),"")</f>
        <v/>
      </c>
      <c r="AB87" t="str">
        <f ca="1">IF(E87="1", IF(C87="string",  IF( A87="","",IF(OR(F87="1",H87="1",I87="1"),"","COALESCE (CAST(lower("&amp;A87&amp;") as varchar(" &amp;Options!$B$49 &amp; ")),'')")),AA87),"")</f>
        <v/>
      </c>
      <c r="AC87" t="str">
        <f ca="1">IF(E87="4",   IF( A87="","",IF(OR(F87="1",H87="1",I87="1"),"","COALESCE (CAST("  &amp;A87&amp;" as varchar(" &amp; Options!$B$49&amp; ")),'')")),"")</f>
        <v/>
      </c>
      <c r="AD87" t="str">
        <f ca="1">IF(E87="4",   IF( A87="","",IF(OR(F87="1",H87="1",I87="1"),"","COALESCE (CAST(" &amp; HELPER!$B$94 &amp; "."  &amp;A87&amp;" as varchar(" &amp; Options!$B$49&amp; ")),'')")),"")</f>
        <v/>
      </c>
      <c r="AE87" t="str">
        <f t="shared" ca="1" si="106"/>
        <v/>
      </c>
      <c r="AF87" t="str">
        <f ca="1">IF(AE87&lt;&gt;"", HELPER!$B$93 &amp;  "." &amp; AE87,"")</f>
        <v/>
      </c>
      <c r="AG87" t="str">
        <f ca="1">IF(AE87&lt;&gt;"", HELPER!$B$94 &amp; "." &amp; AE87,"")</f>
        <v/>
      </c>
      <c r="AH87" t="str">
        <f t="shared" ca="1" si="130"/>
        <v/>
      </c>
      <c r="AI87" t="str">
        <f t="shared" ca="1" si="107"/>
        <v/>
      </c>
      <c r="AJ87" t="str">
        <f t="shared" ca="1" si="108"/>
        <v/>
      </c>
      <c r="AK87" t="str">
        <f ca="1">IF(E87="4", HELPER!$B$94 &amp;  "." &amp; A87,"")</f>
        <v/>
      </c>
      <c r="AL87" t="str">
        <f ca="1">IF(E87="4", HELPER!$B$93 &amp;  "." &amp; A87,"")</f>
        <v/>
      </c>
      <c r="AM87" t="str">
        <f t="shared" ca="1" si="109"/>
        <v/>
      </c>
      <c r="AN87" t="str">
        <f t="shared" ca="1" si="110"/>
        <v/>
      </c>
      <c r="AO87" t="str">
        <f ca="1">IF(A87&lt;&gt;"", IF(OR(F87="1",H87="1",I87="1"),""," "&amp; HELPER!$B$94 &amp; "." &amp; A87),"")</f>
        <v/>
      </c>
      <c r="AP87" t="str">
        <f t="shared" ca="1" si="111"/>
        <v/>
      </c>
      <c r="AQ87" t="str">
        <f t="shared" ca="1" si="136"/>
        <v/>
      </c>
      <c r="AS87" t="str">
        <f ca="1">IF(A87="","",  HELPER!$B$94 &amp;  "." &amp; A87)</f>
        <v/>
      </c>
      <c r="AT87" t="str">
        <f t="shared" ca="1" si="112"/>
        <v/>
      </c>
      <c r="AU87" t="str">
        <f t="shared" ca="1" si="113"/>
        <v/>
      </c>
      <c r="AV87" s="190" t="str">
        <f t="shared" ca="1" si="114"/>
        <v/>
      </c>
      <c r="AW87" t="str">
        <f t="shared" ca="1" si="115"/>
        <v/>
      </c>
      <c r="AY87" t="str">
        <f t="shared" ca="1" si="116"/>
        <v/>
      </c>
      <c r="BF87" t="str">
        <f t="shared" ca="1" si="117"/>
        <v/>
      </c>
      <c r="BH87" s="285" t="str">
        <f t="shared" ca="1" si="131"/>
        <v/>
      </c>
      <c r="BI87" t="str">
        <f t="shared" ca="1" si="118"/>
        <v/>
      </c>
      <c r="BJ87" t="str">
        <f t="shared" ca="1" si="119"/>
        <v/>
      </c>
      <c r="BK87" t="str">
        <f t="shared" ca="1" si="132"/>
        <v/>
      </c>
      <c r="BM87" t="str">
        <f t="shared" ca="1" si="133"/>
        <v/>
      </c>
      <c r="BN87" t="str">
        <f t="shared" ca="1" si="134"/>
        <v/>
      </c>
      <c r="BO87" t="str">
        <f t="shared" ca="1" si="120"/>
        <v/>
      </c>
      <c r="BP87" t="b">
        <f ca="1">COUNTIF(COLHELPER!A87:'COLHELPER'!A87,COLHELPER!A87)&gt;1</f>
        <v>0</v>
      </c>
      <c r="BQ87">
        <f t="shared" ca="1" si="121"/>
        <v>0</v>
      </c>
      <c r="BR87" s="290" t="str">
        <f t="shared" ca="1" si="137"/>
        <v/>
      </c>
      <c r="BS87" t="str">
        <f t="shared" ca="1" si="122"/>
        <v/>
      </c>
      <c r="BT87" t="str">
        <f t="shared" ca="1" si="135"/>
        <v/>
      </c>
      <c r="BU87" t="str">
        <f t="shared" ca="1" si="123"/>
        <v/>
      </c>
      <c r="BV87">
        <f t="shared" ca="1" si="124"/>
        <v>0</v>
      </c>
      <c r="BW87" t="str">
        <f t="shared" ca="1" si="125"/>
        <v/>
      </c>
      <c r="BX87" t="str">
        <f t="shared" ca="1" si="126"/>
        <v/>
      </c>
      <c r="BY87" t="str">
        <f ca="1">IF(R87="","",IF(R87&gt;Options!$B$3,"ALTER TABLE "&amp;HELPER!$B$4&amp;" ADD COLUMNS ("&amp;A87&amp;" "&amp;C87&amp;")",""))</f>
        <v/>
      </c>
      <c r="BZ87" t="str">
        <f ca="1">IF(R87="","",IF(R87&gt;Options!$B$3,A87,""))</f>
        <v/>
      </c>
      <c r="CA87" t="str">
        <f ca="1">IF(R87="","",IF(R87&gt;Options!$B$3,B87,""))</f>
        <v/>
      </c>
      <c r="CB87" t="str">
        <f t="shared" ca="1" si="127"/>
        <v/>
      </c>
      <c r="CC87">
        <f t="shared" ca="1" si="128"/>
        <v>0</v>
      </c>
      <c r="CD87" t="str">
        <f ca="1">IF(J87="","",Options!$B$23 &amp; "." &amp; J87)</f>
        <v/>
      </c>
    </row>
    <row r="88" spans="1:82">
      <c r="A88" s="161" t="str">
        <f t="array" aca="1" ref="A88" ca="1">IF(TRIM(INDIRECT("Columns!A88")) ="","",TRIM(INDIRECT("Columns!A88")))</f>
        <v/>
      </c>
      <c r="B88" s="161" t="str">
        <f t="shared" ca="1" si="96"/>
        <v/>
      </c>
      <c r="C88" s="161" t="str">
        <f t="shared" ca="1" si="97"/>
        <v/>
      </c>
      <c r="D88" s="161" t="str">
        <f t="shared" ca="1" si="98"/>
        <v/>
      </c>
      <c r="E88" s="161" t="str">
        <f t="array" aca="1" ref="E88" ca="1">IF(TRIM(INDIRECT("Columns!E88"))="","",TRIM(INDIRECT("Columns!E88")))</f>
        <v/>
      </c>
      <c r="F88" s="161" t="str">
        <f t="array" aca="1" ref="F88" ca="1">IF(TRIM(INDIRECT("Columns!G88"))="","",TRIM(INDIRECT("Columns!G88")))</f>
        <v/>
      </c>
      <c r="G88" s="161" t="str">
        <f t="array" aca="1" ref="G88" ca="1">IF(TRIM(INDIRECT("Columns!F88"))="","",TRIM(INDIRECT("Columns!F88")))</f>
        <v/>
      </c>
      <c r="H88" s="161" t="str">
        <f t="array" aca="1" ref="H88" ca="1">IF(TRIM(INDIRECT("Columns!H88"))="","",TRIM(INDIRECT("Columns!H88")))</f>
        <v/>
      </c>
      <c r="I88" s="161" t="str">
        <f t="array" aca="1" ref="I88" ca="1">IF(TRIM(INDIRECT("Columns!I88"))="","",TRIM(INDIRECT("Columns!I88")))</f>
        <v/>
      </c>
      <c r="J88" s="161" t="str">
        <f t="array" aca="1" ref="J88" ca="1">IF(TRIM(INDIRECT("Columns!J88"))="","",TRIM(INDIRECT("Columns!J88")))</f>
        <v/>
      </c>
      <c r="K88" s="161" t="str">
        <f t="array" aca="1" ref="K88" ca="1">IF(TRIM(INDIRECT("Columns!K88"))="","",TRIM(INDIRECT("Columns!K88")))</f>
        <v/>
      </c>
      <c r="L88" s="161" t="str">
        <f t="array" aca="1" ref="L88" ca="1">IF(TRIM(INDIRECT("Columns!L88"))="","",TRIM(INDIRECT("Columns!L88")))</f>
        <v/>
      </c>
      <c r="M88" s="161" t="str">
        <f t="array" aca="1" ref="M88" ca="1">IF(TRIM(INDIRECT("Columns!M88"))="","",TRIM(INDIRECT("Columns!M88")))</f>
        <v/>
      </c>
      <c r="N88" s="161" t="str">
        <f t="array" aca="1" ref="N88" ca="1">IF(TRIM(INDIRECT("Columns!N88"))="","",TRIM(INDIRECT("Columns!N88")))</f>
        <v/>
      </c>
      <c r="O88" s="227" t="str">
        <f t="array" aca="1" ref="O88" ca="1">IF(TRIM(INDIRECT("Columns!B88"))="","",TRIM(INDIRECT("Columns!B88")))</f>
        <v/>
      </c>
      <c r="P88" s="227" t="str">
        <f t="array" aca="1" ref="P88" ca="1">IF(TRIM(INDIRECT("Columns!C88"))="","",TRIM(INDIRECT("Columns!C88")))</f>
        <v/>
      </c>
      <c r="Q88" s="227" t="str">
        <f t="array" aca="1" ref="Q88" ca="1">IF(TRIM(INDIRECT("Columns!D88"))="","",TRIM(INDIRECT("Columns!D88")))</f>
        <v/>
      </c>
      <c r="R88" s="227" t="str">
        <f t="array" aca="1" ref="R88" ca="1">IF(TRIM(INDIRECT("Columns!O88"))="","",TRIM(INDIRECT("Columns!O88")))</f>
        <v/>
      </c>
      <c r="S88" t="str">
        <f t="shared" ca="1" si="99"/>
        <v/>
      </c>
      <c r="T88" t="str">
        <f t="shared" ca="1" si="100"/>
        <v/>
      </c>
      <c r="U88" t="str">
        <f t="shared" ca="1" si="101"/>
        <v/>
      </c>
      <c r="V88" t="str">
        <f t="shared" ca="1" si="102"/>
        <v/>
      </c>
      <c r="W88" t="str">
        <f t="shared" ca="1" si="103"/>
        <v/>
      </c>
      <c r="X88" t="str">
        <f t="shared" ca="1" si="104"/>
        <v/>
      </c>
      <c r="Y88" t="str">
        <f t="shared" ca="1" si="105"/>
        <v/>
      </c>
      <c r="Z88" t="str">
        <f t="shared" ca="1" si="129"/>
        <v/>
      </c>
      <c r="AA88" t="str">
        <f ca="1">IF(E88="1",   IF( A88="","",IF(OR(F88="1",H88="1",I88="1"),"","COALESCE (CAST("&amp;A88&amp;" as varchar(" &amp; Options!$B$49&amp; ")),'')")),"")</f>
        <v/>
      </c>
      <c r="AB88" t="str">
        <f ca="1">IF(E88="1", IF(C88="string",  IF( A88="","",IF(OR(F88="1",H88="1",I88="1"),"","COALESCE (CAST(lower("&amp;A88&amp;") as varchar(" &amp;Options!$B$49 &amp; ")),'')")),AA88),"")</f>
        <v/>
      </c>
      <c r="AC88" t="str">
        <f ca="1">IF(E88="4",   IF( A88="","",IF(OR(F88="1",H88="1",I88="1"),"","COALESCE (CAST("  &amp;A88&amp;" as varchar(" &amp; Options!$B$49&amp; ")),'')")),"")</f>
        <v/>
      </c>
      <c r="AD88" t="str">
        <f ca="1">IF(E88="4",   IF( A88="","",IF(OR(F88="1",H88="1",I88="1"),"","COALESCE (CAST(" &amp; HELPER!$B$94 &amp; "."  &amp;A88&amp;" as varchar(" &amp; Options!$B$49&amp; ")),'')")),"")</f>
        <v/>
      </c>
      <c r="AE88" t="str">
        <f t="shared" ca="1" si="106"/>
        <v/>
      </c>
      <c r="AF88" t="str">
        <f ca="1">IF(AE88&lt;&gt;"", HELPER!$B$93 &amp;  "." &amp; AE88,"")</f>
        <v/>
      </c>
      <c r="AG88" t="str">
        <f ca="1">IF(AE88&lt;&gt;"", HELPER!$B$94 &amp; "." &amp; AE88,"")</f>
        <v/>
      </c>
      <c r="AH88" t="str">
        <f t="shared" ca="1" si="130"/>
        <v/>
      </c>
      <c r="AI88" t="str">
        <f t="shared" ca="1" si="107"/>
        <v/>
      </c>
      <c r="AJ88" t="str">
        <f t="shared" ca="1" si="108"/>
        <v/>
      </c>
      <c r="AK88" t="str">
        <f ca="1">IF(E88="4", HELPER!$B$94 &amp;  "." &amp; A88,"")</f>
        <v/>
      </c>
      <c r="AL88" t="str">
        <f ca="1">IF(E88="4", HELPER!$B$93 &amp;  "." &amp; A88,"")</f>
        <v/>
      </c>
      <c r="AM88" t="str">
        <f t="shared" ca="1" si="109"/>
        <v/>
      </c>
      <c r="AN88" t="str">
        <f t="shared" ca="1" si="110"/>
        <v/>
      </c>
      <c r="AO88" t="str">
        <f ca="1">IF(A88&lt;&gt;"", IF(OR(F88="1",H88="1",I88="1"),""," "&amp; HELPER!$B$94 &amp; "." &amp; A88),"")</f>
        <v/>
      </c>
      <c r="AP88" t="str">
        <f t="shared" ca="1" si="111"/>
        <v/>
      </c>
      <c r="AQ88" t="str">
        <f t="shared" ca="1" si="136"/>
        <v/>
      </c>
      <c r="AS88" t="str">
        <f ca="1">IF(A88="","",  HELPER!$B$94 &amp;  "." &amp; A88)</f>
        <v/>
      </c>
      <c r="AT88" t="str">
        <f t="shared" ca="1" si="112"/>
        <v/>
      </c>
      <c r="AU88" t="str">
        <f t="shared" ca="1" si="113"/>
        <v/>
      </c>
      <c r="AV88" s="190" t="str">
        <f t="shared" ca="1" si="114"/>
        <v/>
      </c>
      <c r="AW88" t="str">
        <f t="shared" ca="1" si="115"/>
        <v/>
      </c>
      <c r="AY88" t="str">
        <f t="shared" ca="1" si="116"/>
        <v/>
      </c>
      <c r="BF88" t="str">
        <f t="shared" ca="1" si="117"/>
        <v/>
      </c>
      <c r="BH88" s="285" t="str">
        <f t="shared" ca="1" si="131"/>
        <v/>
      </c>
      <c r="BI88" t="str">
        <f t="shared" ca="1" si="118"/>
        <v/>
      </c>
      <c r="BJ88" t="str">
        <f t="shared" ca="1" si="119"/>
        <v/>
      </c>
      <c r="BK88" t="str">
        <f t="shared" ca="1" si="132"/>
        <v/>
      </c>
      <c r="BM88" t="str">
        <f t="shared" ca="1" si="133"/>
        <v/>
      </c>
      <c r="BN88" t="str">
        <f t="shared" ca="1" si="134"/>
        <v/>
      </c>
      <c r="BO88" t="str">
        <f t="shared" ca="1" si="120"/>
        <v/>
      </c>
      <c r="BP88" t="b">
        <f ca="1">COUNTIF(COLHELPER!A88:'COLHELPER'!A88,COLHELPER!A88)&gt;1</f>
        <v>0</v>
      </c>
      <c r="BQ88">
        <f t="shared" ca="1" si="121"/>
        <v>0</v>
      </c>
      <c r="BR88" s="290" t="str">
        <f t="shared" ca="1" si="137"/>
        <v/>
      </c>
      <c r="BS88" t="str">
        <f t="shared" ca="1" si="122"/>
        <v/>
      </c>
      <c r="BT88" t="str">
        <f t="shared" ca="1" si="135"/>
        <v/>
      </c>
      <c r="BU88" t="str">
        <f t="shared" ca="1" si="123"/>
        <v/>
      </c>
      <c r="BV88">
        <f t="shared" ca="1" si="124"/>
        <v>0</v>
      </c>
      <c r="BW88" t="str">
        <f t="shared" ca="1" si="125"/>
        <v/>
      </c>
      <c r="BX88" t="str">
        <f t="shared" ca="1" si="126"/>
        <v/>
      </c>
      <c r="BY88" t="str">
        <f ca="1">IF(R88="","",IF(R88&gt;Options!$B$3,"ALTER TABLE "&amp;HELPER!$B$4&amp;" ADD COLUMNS ("&amp;A88&amp;" "&amp;C88&amp;")",""))</f>
        <v/>
      </c>
      <c r="BZ88" t="str">
        <f ca="1">IF(R88="","",IF(R88&gt;Options!$B$3,A88,""))</f>
        <v/>
      </c>
      <c r="CA88" t="str">
        <f ca="1">IF(R88="","",IF(R88&gt;Options!$B$3,B88,""))</f>
        <v/>
      </c>
      <c r="CB88" t="str">
        <f t="shared" ca="1" si="127"/>
        <v/>
      </c>
      <c r="CC88">
        <f t="shared" ca="1" si="128"/>
        <v>0</v>
      </c>
      <c r="CD88" t="str">
        <f ca="1">IF(J88="","",Options!$B$23 &amp; "." &amp; J88)</f>
        <v/>
      </c>
    </row>
    <row r="89" spans="1:82">
      <c r="A89" s="161" t="str">
        <f t="array" aca="1" ref="A89" ca="1">IF(TRIM(INDIRECT("Columns!A89")) ="","",TRIM(INDIRECT("Columns!A89")))</f>
        <v/>
      </c>
      <c r="B89" s="161" t="str">
        <f t="shared" ca="1" si="96"/>
        <v/>
      </c>
      <c r="C89" s="161" t="str">
        <f t="shared" ca="1" si="97"/>
        <v/>
      </c>
      <c r="D89" s="161" t="str">
        <f t="shared" ca="1" si="98"/>
        <v/>
      </c>
      <c r="E89" s="161" t="str">
        <f t="array" aca="1" ref="E89" ca="1">IF(TRIM(INDIRECT("Columns!E89"))="","",TRIM(INDIRECT("Columns!E89")))</f>
        <v/>
      </c>
      <c r="F89" s="161" t="str">
        <f t="array" aca="1" ref="F89" ca="1">IF(TRIM(INDIRECT("Columns!G89"))="","",TRIM(INDIRECT("Columns!G89")))</f>
        <v/>
      </c>
      <c r="G89" s="161" t="str">
        <f t="array" aca="1" ref="G89" ca="1">IF(TRIM(INDIRECT("Columns!F89"))="","",TRIM(INDIRECT("Columns!F89")))</f>
        <v/>
      </c>
      <c r="H89" s="161" t="str">
        <f t="array" aca="1" ref="H89" ca="1">IF(TRIM(INDIRECT("Columns!H89"))="","",TRIM(INDIRECT("Columns!H89")))</f>
        <v/>
      </c>
      <c r="I89" s="161" t="str">
        <f t="array" aca="1" ref="I89" ca="1">IF(TRIM(INDIRECT("Columns!I89"))="","",TRIM(INDIRECT("Columns!I89")))</f>
        <v/>
      </c>
      <c r="J89" s="161" t="str">
        <f t="array" aca="1" ref="J89" ca="1">IF(TRIM(INDIRECT("Columns!J89"))="","",TRIM(INDIRECT("Columns!J89")))</f>
        <v/>
      </c>
      <c r="K89" s="161" t="str">
        <f t="array" aca="1" ref="K89" ca="1">IF(TRIM(INDIRECT("Columns!K89"))="","",TRIM(INDIRECT("Columns!K89")))</f>
        <v/>
      </c>
      <c r="L89" s="161" t="str">
        <f t="array" aca="1" ref="L89" ca="1">IF(TRIM(INDIRECT("Columns!L89"))="","",TRIM(INDIRECT("Columns!L89")))</f>
        <v/>
      </c>
      <c r="M89" s="161" t="str">
        <f t="array" aca="1" ref="M89" ca="1">IF(TRIM(INDIRECT("Columns!M89"))="","",TRIM(INDIRECT("Columns!M89")))</f>
        <v/>
      </c>
      <c r="N89" s="161" t="str">
        <f t="array" aca="1" ref="N89" ca="1">IF(TRIM(INDIRECT("Columns!N89"))="","",TRIM(INDIRECT("Columns!N89")))</f>
        <v/>
      </c>
      <c r="O89" s="227" t="str">
        <f t="array" aca="1" ref="O89" ca="1">IF(TRIM(INDIRECT("Columns!B89"))="","",TRIM(INDIRECT("Columns!B89")))</f>
        <v/>
      </c>
      <c r="P89" s="227" t="str">
        <f t="array" aca="1" ref="P89" ca="1">IF(TRIM(INDIRECT("Columns!C89"))="","",TRIM(INDIRECT("Columns!C89")))</f>
        <v/>
      </c>
      <c r="Q89" s="227" t="str">
        <f t="array" aca="1" ref="Q89" ca="1">IF(TRIM(INDIRECT("Columns!D89"))="","",TRIM(INDIRECT("Columns!D89")))</f>
        <v/>
      </c>
      <c r="R89" s="227" t="str">
        <f t="array" aca="1" ref="R89" ca="1">IF(TRIM(INDIRECT("Columns!O89"))="","",TRIM(INDIRECT("Columns!O89")))</f>
        <v/>
      </c>
      <c r="S89" t="str">
        <f t="shared" ca="1" si="99"/>
        <v/>
      </c>
      <c r="T89" t="str">
        <f t="shared" ca="1" si="100"/>
        <v/>
      </c>
      <c r="U89" t="str">
        <f t="shared" ca="1" si="101"/>
        <v/>
      </c>
      <c r="V89" t="str">
        <f t="shared" ca="1" si="102"/>
        <v/>
      </c>
      <c r="W89" t="str">
        <f t="shared" ca="1" si="103"/>
        <v/>
      </c>
      <c r="X89" t="str">
        <f t="shared" ca="1" si="104"/>
        <v/>
      </c>
      <c r="Y89" t="str">
        <f t="shared" ca="1" si="105"/>
        <v/>
      </c>
      <c r="Z89" t="str">
        <f t="shared" ca="1" si="129"/>
        <v/>
      </c>
      <c r="AA89" t="str">
        <f ca="1">IF(E89="1",   IF( A89="","",IF(OR(F89="1",H89="1",I89="1"),"","COALESCE (CAST("&amp;A89&amp;" as varchar(" &amp; Options!$B$49&amp; ")),'')")),"")</f>
        <v/>
      </c>
      <c r="AB89" t="str">
        <f ca="1">IF(E89="1", IF(C89="string",  IF( A89="","",IF(OR(F89="1",H89="1",I89="1"),"","COALESCE (CAST(lower("&amp;A89&amp;") as varchar(" &amp;Options!$B$49 &amp; ")),'')")),AA89),"")</f>
        <v/>
      </c>
      <c r="AC89" t="str">
        <f ca="1">IF(E89="4",   IF( A89="","",IF(OR(F89="1",H89="1",I89="1"),"","COALESCE (CAST("  &amp;A89&amp;" as varchar(" &amp; Options!$B$49&amp; ")),'')")),"")</f>
        <v/>
      </c>
      <c r="AD89" t="str">
        <f ca="1">IF(E89="4",   IF( A89="","",IF(OR(F89="1",H89="1",I89="1"),"","COALESCE (CAST(" &amp; HELPER!$B$94 &amp; "."  &amp;A89&amp;" as varchar(" &amp; Options!$B$49&amp; ")),'')")),"")</f>
        <v/>
      </c>
      <c r="AE89" t="str">
        <f t="shared" ca="1" si="106"/>
        <v/>
      </c>
      <c r="AF89" t="str">
        <f ca="1">IF(AE89&lt;&gt;"", HELPER!$B$93 &amp;  "." &amp; AE89,"")</f>
        <v/>
      </c>
      <c r="AG89" t="str">
        <f ca="1">IF(AE89&lt;&gt;"", HELPER!$B$94 &amp; "." &amp; AE89,"")</f>
        <v/>
      </c>
      <c r="AH89" t="str">
        <f t="shared" ca="1" si="130"/>
        <v/>
      </c>
      <c r="AI89" t="str">
        <f t="shared" ca="1" si="107"/>
        <v/>
      </c>
      <c r="AJ89" t="str">
        <f t="shared" ca="1" si="108"/>
        <v/>
      </c>
      <c r="AK89" t="str">
        <f ca="1">IF(E89="4", HELPER!$B$94 &amp;  "." &amp; A89,"")</f>
        <v/>
      </c>
      <c r="AL89" t="str">
        <f ca="1">IF(E89="4", HELPER!$B$93 &amp;  "." &amp; A89,"")</f>
        <v/>
      </c>
      <c r="AM89" t="str">
        <f t="shared" ca="1" si="109"/>
        <v/>
      </c>
      <c r="AN89" t="str">
        <f t="shared" ca="1" si="110"/>
        <v/>
      </c>
      <c r="AO89" t="str">
        <f ca="1">IF(A89&lt;&gt;"", IF(OR(F89="1",H89="1",I89="1"),""," "&amp; HELPER!$B$94 &amp; "." &amp; A89),"")</f>
        <v/>
      </c>
      <c r="AP89" t="str">
        <f t="shared" ca="1" si="111"/>
        <v/>
      </c>
      <c r="AQ89" t="str">
        <f t="shared" ca="1" si="136"/>
        <v/>
      </c>
      <c r="AS89" t="str">
        <f ca="1">IF(A89="","",  HELPER!$B$94 &amp;  "." &amp; A89)</f>
        <v/>
      </c>
      <c r="AT89" t="str">
        <f t="shared" ca="1" si="112"/>
        <v/>
      </c>
      <c r="AU89" t="str">
        <f t="shared" ca="1" si="113"/>
        <v/>
      </c>
      <c r="AV89" s="190" t="str">
        <f t="shared" ca="1" si="114"/>
        <v/>
      </c>
      <c r="AW89" t="str">
        <f t="shared" ca="1" si="115"/>
        <v/>
      </c>
      <c r="AY89" t="str">
        <f t="shared" ca="1" si="116"/>
        <v/>
      </c>
      <c r="BF89" t="str">
        <f t="shared" ca="1" si="117"/>
        <v/>
      </c>
      <c r="BH89" s="285" t="str">
        <f t="shared" ca="1" si="131"/>
        <v/>
      </c>
      <c r="BI89" t="str">
        <f t="shared" ca="1" si="118"/>
        <v/>
      </c>
      <c r="BJ89" t="str">
        <f t="shared" ca="1" si="119"/>
        <v/>
      </c>
      <c r="BK89" t="str">
        <f t="shared" ca="1" si="132"/>
        <v/>
      </c>
      <c r="BM89" t="str">
        <f t="shared" ca="1" si="133"/>
        <v/>
      </c>
      <c r="BN89" t="str">
        <f t="shared" ca="1" si="134"/>
        <v/>
      </c>
      <c r="BO89" t="str">
        <f t="shared" ca="1" si="120"/>
        <v/>
      </c>
      <c r="BP89" t="b">
        <f ca="1">COUNTIF(COLHELPER!A89:'COLHELPER'!A89,COLHELPER!A89)&gt;1</f>
        <v>0</v>
      </c>
      <c r="BQ89">
        <f t="shared" ca="1" si="121"/>
        <v>0</v>
      </c>
      <c r="BR89" s="290" t="str">
        <f t="shared" ca="1" si="137"/>
        <v/>
      </c>
      <c r="BS89" t="str">
        <f t="shared" ca="1" si="122"/>
        <v/>
      </c>
      <c r="BT89" t="str">
        <f t="shared" ca="1" si="135"/>
        <v/>
      </c>
      <c r="BU89" t="str">
        <f t="shared" ca="1" si="123"/>
        <v/>
      </c>
      <c r="BV89">
        <f t="shared" ca="1" si="124"/>
        <v>0</v>
      </c>
      <c r="BW89" t="str">
        <f t="shared" ca="1" si="125"/>
        <v/>
      </c>
      <c r="BX89" t="str">
        <f t="shared" ca="1" si="126"/>
        <v/>
      </c>
      <c r="BY89" t="str">
        <f ca="1">IF(R89="","",IF(R89&gt;Options!$B$3,"ALTER TABLE "&amp;HELPER!$B$4&amp;" ADD COLUMNS ("&amp;A89&amp;" "&amp;C89&amp;")",""))</f>
        <v/>
      </c>
      <c r="BZ89" t="str">
        <f ca="1">IF(R89="","",IF(R89&gt;Options!$B$3,A89,""))</f>
        <v/>
      </c>
      <c r="CA89" t="str">
        <f ca="1">IF(R89="","",IF(R89&gt;Options!$B$3,B89,""))</f>
        <v/>
      </c>
      <c r="CB89" t="str">
        <f t="shared" ca="1" si="127"/>
        <v/>
      </c>
      <c r="CC89">
        <f t="shared" ca="1" si="128"/>
        <v>0</v>
      </c>
      <c r="CD89" t="str">
        <f ca="1">IF(J89="","",Options!$B$23 &amp; "." &amp; J89)</f>
        <v/>
      </c>
    </row>
    <row r="90" spans="1:82">
      <c r="A90" s="161" t="str">
        <f t="array" aca="1" ref="A90" ca="1">IF(TRIM(INDIRECT("Columns!A90")) ="","",TRIM(INDIRECT("Columns!A90")))</f>
        <v/>
      </c>
      <c r="B90" s="161" t="str">
        <f t="shared" ca="1" si="96"/>
        <v/>
      </c>
      <c r="C90" s="161" t="str">
        <f t="shared" ca="1" si="97"/>
        <v/>
      </c>
      <c r="D90" s="161" t="str">
        <f t="shared" ca="1" si="98"/>
        <v/>
      </c>
      <c r="E90" s="161" t="str">
        <f t="array" aca="1" ref="E90" ca="1">IF(TRIM(INDIRECT("Columns!E90"))="","",TRIM(INDIRECT("Columns!E90")))</f>
        <v/>
      </c>
      <c r="F90" s="161" t="str">
        <f t="array" aca="1" ref="F90" ca="1">IF(TRIM(INDIRECT("Columns!G90"))="","",TRIM(INDIRECT("Columns!G90")))</f>
        <v/>
      </c>
      <c r="G90" s="161" t="str">
        <f t="array" aca="1" ref="G90" ca="1">IF(TRIM(INDIRECT("Columns!F90"))="","",TRIM(INDIRECT("Columns!F90")))</f>
        <v/>
      </c>
      <c r="H90" s="161" t="str">
        <f t="array" aca="1" ref="H90" ca="1">IF(TRIM(INDIRECT("Columns!H90"))="","",TRIM(INDIRECT("Columns!H90")))</f>
        <v/>
      </c>
      <c r="I90" s="161" t="str">
        <f t="array" aca="1" ref="I90" ca="1">IF(TRIM(INDIRECT("Columns!I90"))="","",TRIM(INDIRECT("Columns!I90")))</f>
        <v/>
      </c>
      <c r="J90" s="161" t="str">
        <f t="array" aca="1" ref="J90" ca="1">IF(TRIM(INDIRECT("Columns!J90"))="","",TRIM(INDIRECT("Columns!J90")))</f>
        <v/>
      </c>
      <c r="K90" s="161" t="str">
        <f t="array" aca="1" ref="K90" ca="1">IF(TRIM(INDIRECT("Columns!K90"))="","",TRIM(INDIRECT("Columns!K90")))</f>
        <v/>
      </c>
      <c r="L90" s="161" t="str">
        <f t="array" aca="1" ref="L90" ca="1">IF(TRIM(INDIRECT("Columns!L90"))="","",TRIM(INDIRECT("Columns!L90")))</f>
        <v/>
      </c>
      <c r="M90" s="161" t="str">
        <f t="array" aca="1" ref="M90" ca="1">IF(TRIM(INDIRECT("Columns!M90"))="","",TRIM(INDIRECT("Columns!M90")))</f>
        <v/>
      </c>
      <c r="N90" s="161" t="str">
        <f t="array" aca="1" ref="N90" ca="1">IF(TRIM(INDIRECT("Columns!N90"))="","",TRIM(INDIRECT("Columns!N90")))</f>
        <v/>
      </c>
      <c r="O90" s="227" t="str">
        <f t="array" aca="1" ref="O90" ca="1">IF(TRIM(INDIRECT("Columns!B90"))="","",TRIM(INDIRECT("Columns!B90")))</f>
        <v/>
      </c>
      <c r="P90" s="227" t="str">
        <f t="array" aca="1" ref="P90" ca="1">IF(TRIM(INDIRECT("Columns!C90"))="","",TRIM(INDIRECT("Columns!C90")))</f>
        <v/>
      </c>
      <c r="Q90" s="227" t="str">
        <f t="array" aca="1" ref="Q90" ca="1">IF(TRIM(INDIRECT("Columns!D90"))="","",TRIM(INDIRECT("Columns!D90")))</f>
        <v/>
      </c>
      <c r="R90" s="227" t="str">
        <f t="array" aca="1" ref="R90" ca="1">IF(TRIM(INDIRECT("Columns!O90"))="","",TRIM(INDIRECT("Columns!O90")))</f>
        <v/>
      </c>
      <c r="S90" t="str">
        <f t="shared" ca="1" si="99"/>
        <v/>
      </c>
      <c r="T90" t="str">
        <f t="shared" ca="1" si="100"/>
        <v/>
      </c>
      <c r="U90" t="str">
        <f t="shared" ca="1" si="101"/>
        <v/>
      </c>
      <c r="V90" t="str">
        <f t="shared" ca="1" si="102"/>
        <v/>
      </c>
      <c r="W90" t="str">
        <f t="shared" ca="1" si="103"/>
        <v/>
      </c>
      <c r="X90" t="str">
        <f t="shared" ca="1" si="104"/>
        <v/>
      </c>
      <c r="Y90" t="str">
        <f t="shared" ca="1" si="105"/>
        <v/>
      </c>
      <c r="Z90" t="str">
        <f t="shared" ca="1" si="129"/>
        <v/>
      </c>
      <c r="AA90" t="str">
        <f ca="1">IF(E90="1",   IF( A90="","",IF(OR(F90="1",H90="1",I90="1"),"","COALESCE (CAST("&amp;A90&amp;" as varchar(" &amp; Options!$B$49&amp; ")),'')")),"")</f>
        <v/>
      </c>
      <c r="AB90" t="str">
        <f ca="1">IF(E90="1", IF(C90="string",  IF( A90="","",IF(OR(F90="1",H90="1",I90="1"),"","COALESCE (CAST(lower("&amp;A90&amp;") as varchar(" &amp;Options!$B$49 &amp; ")),'')")),AA90),"")</f>
        <v/>
      </c>
      <c r="AC90" t="str">
        <f ca="1">IF(E90="4",   IF( A90="","",IF(OR(F90="1",H90="1",I90="1"),"","COALESCE (CAST("  &amp;A90&amp;" as varchar(" &amp; Options!$B$49&amp; ")),'')")),"")</f>
        <v/>
      </c>
      <c r="AD90" t="str">
        <f ca="1">IF(E90="4",   IF( A90="","",IF(OR(F90="1",H90="1",I90="1"),"","COALESCE (CAST(" &amp; HELPER!$B$94 &amp; "."  &amp;A90&amp;" as varchar(" &amp; Options!$B$49&amp; ")),'')")),"")</f>
        <v/>
      </c>
      <c r="AE90" t="str">
        <f t="shared" ca="1" si="106"/>
        <v/>
      </c>
      <c r="AF90" t="str">
        <f ca="1">IF(AE90&lt;&gt;"", HELPER!$B$93 &amp;  "." &amp; AE90,"")</f>
        <v/>
      </c>
      <c r="AG90" t="str">
        <f ca="1">IF(AE90&lt;&gt;"", HELPER!$B$94 &amp; "." &amp; AE90,"")</f>
        <v/>
      </c>
      <c r="AH90" t="str">
        <f t="shared" ca="1" si="130"/>
        <v/>
      </c>
      <c r="AI90" t="str">
        <f t="shared" ca="1" si="107"/>
        <v/>
      </c>
      <c r="AJ90" t="str">
        <f t="shared" ca="1" si="108"/>
        <v/>
      </c>
      <c r="AK90" t="str">
        <f ca="1">IF(E90="4", HELPER!$B$94 &amp;  "." &amp; A90,"")</f>
        <v/>
      </c>
      <c r="AL90" t="str">
        <f ca="1">IF(E90="4", HELPER!$B$93 &amp;  "." &amp; A90,"")</f>
        <v/>
      </c>
      <c r="AM90" t="str">
        <f t="shared" ca="1" si="109"/>
        <v/>
      </c>
      <c r="AN90" t="str">
        <f t="shared" ca="1" si="110"/>
        <v/>
      </c>
      <c r="AO90" t="str">
        <f ca="1">IF(A90&lt;&gt;"", IF(OR(F90="1",H90="1",I90="1"),""," "&amp; HELPER!$B$94 &amp; "." &amp; A90),"")</f>
        <v/>
      </c>
      <c r="AP90" t="str">
        <f t="shared" ca="1" si="111"/>
        <v/>
      </c>
      <c r="AQ90" t="str">
        <f t="shared" ca="1" si="136"/>
        <v/>
      </c>
      <c r="AS90" t="str">
        <f ca="1">IF(A90="","",  HELPER!$B$94 &amp;  "." &amp; A90)</f>
        <v/>
      </c>
      <c r="AT90" t="str">
        <f t="shared" ca="1" si="112"/>
        <v/>
      </c>
      <c r="AU90" t="str">
        <f t="shared" ca="1" si="113"/>
        <v/>
      </c>
      <c r="AV90" s="190" t="str">
        <f t="shared" ca="1" si="114"/>
        <v/>
      </c>
      <c r="AW90" t="str">
        <f t="shared" ca="1" si="115"/>
        <v/>
      </c>
      <c r="AY90" t="str">
        <f t="shared" ca="1" si="116"/>
        <v/>
      </c>
      <c r="BF90" t="str">
        <f t="shared" ca="1" si="117"/>
        <v/>
      </c>
      <c r="BH90" s="285" t="str">
        <f t="shared" ca="1" si="131"/>
        <v/>
      </c>
      <c r="BI90" t="str">
        <f t="shared" ca="1" si="118"/>
        <v/>
      </c>
      <c r="BJ90" t="str">
        <f t="shared" ca="1" si="119"/>
        <v/>
      </c>
      <c r="BK90" t="str">
        <f t="shared" ca="1" si="132"/>
        <v/>
      </c>
      <c r="BM90" t="str">
        <f t="shared" ca="1" si="133"/>
        <v/>
      </c>
      <c r="BN90" t="str">
        <f t="shared" ca="1" si="134"/>
        <v/>
      </c>
      <c r="BO90" t="str">
        <f t="shared" ca="1" si="120"/>
        <v/>
      </c>
      <c r="BP90" t="b">
        <f ca="1">COUNTIF(COLHELPER!A90:'COLHELPER'!A90,COLHELPER!A90)&gt;1</f>
        <v>0</v>
      </c>
      <c r="BQ90">
        <f t="shared" ca="1" si="121"/>
        <v>0</v>
      </c>
      <c r="BR90" s="290" t="str">
        <f t="shared" ca="1" si="137"/>
        <v/>
      </c>
      <c r="BS90" t="str">
        <f t="shared" ca="1" si="122"/>
        <v/>
      </c>
      <c r="BT90" t="str">
        <f t="shared" ca="1" si="135"/>
        <v/>
      </c>
      <c r="BU90" t="str">
        <f t="shared" ca="1" si="123"/>
        <v/>
      </c>
      <c r="BV90">
        <f t="shared" ca="1" si="124"/>
        <v>0</v>
      </c>
      <c r="BW90" t="str">
        <f t="shared" ca="1" si="125"/>
        <v/>
      </c>
      <c r="BX90" t="str">
        <f t="shared" ca="1" si="126"/>
        <v/>
      </c>
      <c r="BY90" t="str">
        <f ca="1">IF(R90="","",IF(R90&gt;Options!$B$3,"ALTER TABLE "&amp;HELPER!$B$4&amp;" ADD COLUMNS ("&amp;A90&amp;" "&amp;C90&amp;")",""))</f>
        <v/>
      </c>
      <c r="BZ90" t="str">
        <f ca="1">IF(R90="","",IF(R90&gt;Options!$B$3,A90,""))</f>
        <v/>
      </c>
      <c r="CA90" t="str">
        <f ca="1">IF(R90="","",IF(R90&gt;Options!$B$3,B90,""))</f>
        <v/>
      </c>
      <c r="CB90" t="str">
        <f t="shared" ca="1" si="127"/>
        <v/>
      </c>
      <c r="CC90">
        <f t="shared" ca="1" si="128"/>
        <v>0</v>
      </c>
      <c r="CD90" t="str">
        <f ca="1">IF(J90="","",Options!$B$23 &amp; "." &amp; J90)</f>
        <v/>
      </c>
    </row>
    <row r="91" spans="1:82">
      <c r="A91" s="161" t="str">
        <f t="array" aca="1" ref="A91" ca="1">IF(TRIM(INDIRECT("Columns!A91")) ="","",TRIM(INDIRECT("Columns!A91")))</f>
        <v/>
      </c>
      <c r="B91" s="161" t="str">
        <f t="shared" ca="1" si="96"/>
        <v/>
      </c>
      <c r="C91" s="161" t="str">
        <f t="shared" ca="1" si="97"/>
        <v/>
      </c>
      <c r="D91" s="161" t="str">
        <f t="shared" ca="1" si="98"/>
        <v/>
      </c>
      <c r="E91" s="161" t="str">
        <f t="array" aca="1" ref="E91" ca="1">IF(TRIM(INDIRECT("Columns!E91"))="","",TRIM(INDIRECT("Columns!E91")))</f>
        <v/>
      </c>
      <c r="F91" s="161" t="str">
        <f t="array" aca="1" ref="F91" ca="1">IF(TRIM(INDIRECT("Columns!G91"))="","",TRIM(INDIRECT("Columns!G91")))</f>
        <v/>
      </c>
      <c r="G91" s="161" t="str">
        <f t="array" aca="1" ref="G91" ca="1">IF(TRIM(INDIRECT("Columns!F91"))="","",TRIM(INDIRECT("Columns!F91")))</f>
        <v/>
      </c>
      <c r="H91" s="161" t="str">
        <f t="array" aca="1" ref="H91" ca="1">IF(TRIM(INDIRECT("Columns!H91"))="","",TRIM(INDIRECT("Columns!H91")))</f>
        <v/>
      </c>
      <c r="I91" s="161" t="str">
        <f t="array" aca="1" ref="I91" ca="1">IF(TRIM(INDIRECT("Columns!I91"))="","",TRIM(INDIRECT("Columns!I91")))</f>
        <v/>
      </c>
      <c r="J91" s="161" t="str">
        <f t="array" aca="1" ref="J91" ca="1">IF(TRIM(INDIRECT("Columns!J91"))="","",TRIM(INDIRECT("Columns!J91")))</f>
        <v/>
      </c>
      <c r="K91" s="161" t="str">
        <f t="array" aca="1" ref="K91" ca="1">IF(TRIM(INDIRECT("Columns!K91"))="","",TRIM(INDIRECT("Columns!K91")))</f>
        <v/>
      </c>
      <c r="L91" s="161" t="str">
        <f t="array" aca="1" ref="L91" ca="1">IF(TRIM(INDIRECT("Columns!L91"))="","",TRIM(INDIRECT("Columns!L91")))</f>
        <v/>
      </c>
      <c r="M91" s="161" t="str">
        <f t="array" aca="1" ref="M91" ca="1">IF(TRIM(INDIRECT("Columns!M91"))="","",TRIM(INDIRECT("Columns!M91")))</f>
        <v/>
      </c>
      <c r="N91" s="161" t="str">
        <f t="array" aca="1" ref="N91" ca="1">IF(TRIM(INDIRECT("Columns!N91"))="","",TRIM(INDIRECT("Columns!N91")))</f>
        <v/>
      </c>
      <c r="O91" s="227" t="str">
        <f t="array" aca="1" ref="O91" ca="1">IF(TRIM(INDIRECT("Columns!B91"))="","",TRIM(INDIRECT("Columns!B91")))</f>
        <v/>
      </c>
      <c r="P91" s="227" t="str">
        <f t="array" aca="1" ref="P91" ca="1">IF(TRIM(INDIRECT("Columns!C91"))="","",TRIM(INDIRECT("Columns!C91")))</f>
        <v/>
      </c>
      <c r="Q91" s="227" t="str">
        <f t="array" aca="1" ref="Q91" ca="1">IF(TRIM(INDIRECT("Columns!D91"))="","",TRIM(INDIRECT("Columns!D91")))</f>
        <v/>
      </c>
      <c r="R91" s="227" t="str">
        <f t="array" aca="1" ref="R91" ca="1">IF(TRIM(INDIRECT("Columns!O91"))="","",TRIM(INDIRECT("Columns!O91")))</f>
        <v/>
      </c>
      <c r="S91" t="str">
        <f t="shared" ca="1" si="99"/>
        <v/>
      </c>
      <c r="T91" t="str">
        <f t="shared" ca="1" si="100"/>
        <v/>
      </c>
      <c r="U91" t="str">
        <f t="shared" ca="1" si="101"/>
        <v/>
      </c>
      <c r="V91" t="str">
        <f t="shared" ca="1" si="102"/>
        <v/>
      </c>
      <c r="W91" t="str">
        <f t="shared" ca="1" si="103"/>
        <v/>
      </c>
      <c r="X91" t="str">
        <f t="shared" ca="1" si="104"/>
        <v/>
      </c>
      <c r="Y91" t="str">
        <f t="shared" ca="1" si="105"/>
        <v/>
      </c>
      <c r="Z91" t="str">
        <f t="shared" ca="1" si="129"/>
        <v/>
      </c>
      <c r="AA91" t="str">
        <f ca="1">IF(E91="1",   IF( A91="","",IF(OR(F91="1",H91="1",I91="1"),"","COALESCE (CAST("&amp;A91&amp;" as varchar(" &amp; Options!$B$49&amp; ")),'')")),"")</f>
        <v/>
      </c>
      <c r="AB91" t="str">
        <f ca="1">IF(E91="1", IF(C91="string",  IF( A91="","",IF(OR(F91="1",H91="1",I91="1"),"","COALESCE (CAST(lower("&amp;A91&amp;") as varchar(" &amp;Options!$B$49 &amp; ")),'')")),AA91),"")</f>
        <v/>
      </c>
      <c r="AC91" t="str">
        <f ca="1">IF(E91="4",   IF( A91="","",IF(OR(F91="1",H91="1",I91="1"),"","COALESCE (CAST("  &amp;A91&amp;" as varchar(" &amp; Options!$B$49&amp; ")),'')")),"")</f>
        <v/>
      </c>
      <c r="AD91" t="str">
        <f ca="1">IF(E91="4",   IF( A91="","",IF(OR(F91="1",H91="1",I91="1"),"","COALESCE (CAST(" &amp; HELPER!$B$94 &amp; "."  &amp;A91&amp;" as varchar(" &amp; Options!$B$49&amp; ")),'')")),"")</f>
        <v/>
      </c>
      <c r="AE91" t="str">
        <f t="shared" ca="1" si="106"/>
        <v/>
      </c>
      <c r="AF91" t="str">
        <f ca="1">IF(AE91&lt;&gt;"", HELPER!$B$93 &amp;  "." &amp; AE91,"")</f>
        <v/>
      </c>
      <c r="AG91" t="str">
        <f ca="1">IF(AE91&lt;&gt;"", HELPER!$B$94 &amp; "." &amp; AE91,"")</f>
        <v/>
      </c>
      <c r="AH91" t="str">
        <f t="shared" ca="1" si="130"/>
        <v/>
      </c>
      <c r="AI91" t="str">
        <f t="shared" ca="1" si="107"/>
        <v/>
      </c>
      <c r="AJ91" t="str">
        <f t="shared" ca="1" si="108"/>
        <v/>
      </c>
      <c r="AK91" t="str">
        <f ca="1">IF(E91="4", HELPER!$B$94 &amp;  "." &amp; A91,"")</f>
        <v/>
      </c>
      <c r="AL91" t="str">
        <f ca="1">IF(E91="4", HELPER!$B$93 &amp;  "." &amp; A91,"")</f>
        <v/>
      </c>
      <c r="AM91" t="str">
        <f t="shared" ca="1" si="109"/>
        <v/>
      </c>
      <c r="AN91" t="str">
        <f t="shared" ca="1" si="110"/>
        <v/>
      </c>
      <c r="AO91" t="str">
        <f ca="1">IF(A91&lt;&gt;"", IF(OR(F91="1",H91="1",I91="1"),""," "&amp; HELPER!$B$94 &amp; "." &amp; A91),"")</f>
        <v/>
      </c>
      <c r="AP91" t="str">
        <f t="shared" ca="1" si="111"/>
        <v/>
      </c>
      <c r="AQ91" t="str">
        <f t="shared" ca="1" si="136"/>
        <v/>
      </c>
      <c r="AS91" t="str">
        <f ca="1">IF(A91="","",  HELPER!$B$94 &amp;  "." &amp; A91)</f>
        <v/>
      </c>
      <c r="AT91" t="str">
        <f t="shared" ca="1" si="112"/>
        <v/>
      </c>
      <c r="AU91" t="str">
        <f t="shared" ca="1" si="113"/>
        <v/>
      </c>
      <c r="AV91" s="190" t="str">
        <f t="shared" ca="1" si="114"/>
        <v/>
      </c>
      <c r="AW91" t="str">
        <f t="shared" ca="1" si="115"/>
        <v/>
      </c>
      <c r="AY91" t="str">
        <f t="shared" ca="1" si="116"/>
        <v/>
      </c>
      <c r="BF91" t="str">
        <f t="shared" ca="1" si="117"/>
        <v/>
      </c>
      <c r="BH91" s="285" t="str">
        <f t="shared" ca="1" si="131"/>
        <v/>
      </c>
      <c r="BI91" t="str">
        <f t="shared" ca="1" si="118"/>
        <v/>
      </c>
      <c r="BJ91" t="str">
        <f t="shared" ca="1" si="119"/>
        <v/>
      </c>
      <c r="BK91" t="str">
        <f t="shared" ca="1" si="132"/>
        <v/>
      </c>
      <c r="BM91" t="str">
        <f t="shared" ca="1" si="133"/>
        <v/>
      </c>
      <c r="BN91" t="str">
        <f t="shared" ca="1" si="134"/>
        <v/>
      </c>
      <c r="BO91" t="str">
        <f t="shared" ca="1" si="120"/>
        <v/>
      </c>
      <c r="BP91" t="b">
        <f ca="1">COUNTIF(COLHELPER!A91:'COLHELPER'!A91,COLHELPER!A91)&gt;1</f>
        <v>0</v>
      </c>
      <c r="BQ91">
        <f t="shared" ca="1" si="121"/>
        <v>0</v>
      </c>
      <c r="BR91" s="290" t="str">
        <f t="shared" ca="1" si="137"/>
        <v/>
      </c>
      <c r="BS91" t="str">
        <f t="shared" ca="1" si="122"/>
        <v/>
      </c>
      <c r="BT91" t="str">
        <f t="shared" ca="1" si="135"/>
        <v/>
      </c>
      <c r="BU91" t="str">
        <f t="shared" ca="1" si="123"/>
        <v/>
      </c>
      <c r="BV91">
        <f t="shared" ca="1" si="124"/>
        <v>0</v>
      </c>
      <c r="BW91" t="str">
        <f t="shared" ca="1" si="125"/>
        <v/>
      </c>
      <c r="BX91" t="str">
        <f t="shared" ca="1" si="126"/>
        <v/>
      </c>
      <c r="BY91" t="str">
        <f ca="1">IF(R91="","",IF(R91&gt;Options!$B$3,"ALTER TABLE "&amp;HELPER!$B$4&amp;" ADD COLUMNS ("&amp;A91&amp;" "&amp;C91&amp;")",""))</f>
        <v/>
      </c>
      <c r="BZ91" t="str">
        <f ca="1">IF(R91="","",IF(R91&gt;Options!$B$3,A91,""))</f>
        <v/>
      </c>
      <c r="CA91" t="str">
        <f ca="1">IF(R91="","",IF(R91&gt;Options!$B$3,B91,""))</f>
        <v/>
      </c>
      <c r="CB91" t="str">
        <f t="shared" ca="1" si="127"/>
        <v/>
      </c>
      <c r="CC91">
        <f t="shared" ca="1" si="128"/>
        <v>0</v>
      </c>
      <c r="CD91" t="str">
        <f ca="1">IF(J91="","",Options!$B$23 &amp; "." &amp; J91)</f>
        <v/>
      </c>
    </row>
    <row r="92" spans="1:82">
      <c r="A92" s="161" t="str">
        <f t="array" aca="1" ref="A92" ca="1">IF(TRIM(INDIRECT("Columns!A92")) ="","",TRIM(INDIRECT("Columns!A92")))</f>
        <v/>
      </c>
      <c r="B92" s="161" t="str">
        <f t="shared" ca="1" si="96"/>
        <v/>
      </c>
      <c r="C92" s="161" t="str">
        <f t="shared" ca="1" si="97"/>
        <v/>
      </c>
      <c r="D92" s="161" t="str">
        <f t="shared" ca="1" si="98"/>
        <v/>
      </c>
      <c r="E92" s="161" t="str">
        <f t="array" aca="1" ref="E92" ca="1">IF(TRIM(INDIRECT("Columns!E92"))="","",TRIM(INDIRECT("Columns!E92")))</f>
        <v/>
      </c>
      <c r="F92" s="161" t="str">
        <f t="array" aca="1" ref="F92" ca="1">IF(TRIM(INDIRECT("Columns!G92"))="","",TRIM(INDIRECT("Columns!G92")))</f>
        <v/>
      </c>
      <c r="G92" s="161" t="str">
        <f t="array" aca="1" ref="G92" ca="1">IF(TRIM(INDIRECT("Columns!F92"))="","",TRIM(INDIRECT("Columns!F92")))</f>
        <v/>
      </c>
      <c r="H92" s="161" t="str">
        <f t="array" aca="1" ref="H92" ca="1">IF(TRIM(INDIRECT("Columns!H92"))="","",TRIM(INDIRECT("Columns!H92")))</f>
        <v/>
      </c>
      <c r="I92" s="161" t="str">
        <f t="array" aca="1" ref="I92" ca="1">IF(TRIM(INDIRECT("Columns!I92"))="","",TRIM(INDIRECT("Columns!I92")))</f>
        <v/>
      </c>
      <c r="J92" s="161" t="str">
        <f t="array" aca="1" ref="J92" ca="1">IF(TRIM(INDIRECT("Columns!J92"))="","",TRIM(INDIRECT("Columns!J92")))</f>
        <v/>
      </c>
      <c r="K92" s="161" t="str">
        <f t="array" aca="1" ref="K92" ca="1">IF(TRIM(INDIRECT("Columns!K92"))="","",TRIM(INDIRECT("Columns!K92")))</f>
        <v/>
      </c>
      <c r="L92" s="161" t="str">
        <f t="array" aca="1" ref="L92" ca="1">IF(TRIM(INDIRECT("Columns!L92"))="","",TRIM(INDIRECT("Columns!L92")))</f>
        <v/>
      </c>
      <c r="M92" s="161" t="str">
        <f t="array" aca="1" ref="M92" ca="1">IF(TRIM(INDIRECT("Columns!M92"))="","",TRIM(INDIRECT("Columns!M92")))</f>
        <v/>
      </c>
      <c r="N92" s="161" t="str">
        <f t="array" aca="1" ref="N92" ca="1">IF(TRIM(INDIRECT("Columns!N92"))="","",TRIM(INDIRECT("Columns!N92")))</f>
        <v/>
      </c>
      <c r="O92" s="227" t="str">
        <f t="array" aca="1" ref="O92" ca="1">IF(TRIM(INDIRECT("Columns!B92"))="","",TRIM(INDIRECT("Columns!B92")))</f>
        <v/>
      </c>
      <c r="P92" s="227" t="str">
        <f t="array" aca="1" ref="P92" ca="1">IF(TRIM(INDIRECT("Columns!C92"))="","",TRIM(INDIRECT("Columns!C92")))</f>
        <v/>
      </c>
      <c r="Q92" s="227" t="str">
        <f t="array" aca="1" ref="Q92" ca="1">IF(TRIM(INDIRECT("Columns!D92"))="","",TRIM(INDIRECT("Columns!D92")))</f>
        <v/>
      </c>
      <c r="R92" s="227" t="str">
        <f t="array" aca="1" ref="R92" ca="1">IF(TRIM(INDIRECT("Columns!O92"))="","",TRIM(INDIRECT("Columns!O92")))</f>
        <v/>
      </c>
      <c r="S92" t="str">
        <f t="shared" ca="1" si="99"/>
        <v/>
      </c>
      <c r="T92" t="str">
        <f t="shared" ca="1" si="100"/>
        <v/>
      </c>
      <c r="U92" t="str">
        <f t="shared" ca="1" si="101"/>
        <v/>
      </c>
      <c r="V92" t="str">
        <f t="shared" ca="1" si="102"/>
        <v/>
      </c>
      <c r="W92" t="str">
        <f t="shared" ca="1" si="103"/>
        <v/>
      </c>
      <c r="X92" t="str">
        <f t="shared" ca="1" si="104"/>
        <v/>
      </c>
      <c r="Y92" t="str">
        <f t="shared" ca="1" si="105"/>
        <v/>
      </c>
      <c r="Z92" t="str">
        <f t="shared" ca="1" si="129"/>
        <v/>
      </c>
      <c r="AA92" t="str">
        <f ca="1">IF(E92="1",   IF( A92="","",IF(OR(F92="1",H92="1",I92="1"),"","COALESCE (CAST("&amp;A92&amp;" as varchar(" &amp; Options!$B$49&amp; ")),'')")),"")</f>
        <v/>
      </c>
      <c r="AB92" t="str">
        <f ca="1">IF(E92="1", IF(C92="string",  IF( A92="","",IF(OR(F92="1",H92="1",I92="1"),"","COALESCE (CAST(lower("&amp;A92&amp;") as varchar(" &amp;Options!$B$49 &amp; ")),'')")),AA92),"")</f>
        <v/>
      </c>
      <c r="AC92" t="str">
        <f ca="1">IF(E92="4",   IF( A92="","",IF(OR(F92="1",H92="1",I92="1"),"","COALESCE (CAST("  &amp;A92&amp;" as varchar(" &amp; Options!$B$49&amp; ")),'')")),"")</f>
        <v/>
      </c>
      <c r="AD92" t="str">
        <f ca="1">IF(E92="4",   IF( A92="","",IF(OR(F92="1",H92="1",I92="1"),"","COALESCE (CAST(" &amp; HELPER!$B$94 &amp; "."  &amp;A92&amp;" as varchar(" &amp; Options!$B$49&amp; ")),'')")),"")</f>
        <v/>
      </c>
      <c r="AE92" t="str">
        <f t="shared" ca="1" si="106"/>
        <v/>
      </c>
      <c r="AF92" t="str">
        <f ca="1">IF(AE92&lt;&gt;"", HELPER!$B$93 &amp;  "." &amp; AE92,"")</f>
        <v/>
      </c>
      <c r="AG92" t="str">
        <f ca="1">IF(AE92&lt;&gt;"", HELPER!$B$94 &amp; "." &amp; AE92,"")</f>
        <v/>
      </c>
      <c r="AH92" t="str">
        <f t="shared" ca="1" si="130"/>
        <v/>
      </c>
      <c r="AI92" t="str">
        <f t="shared" ca="1" si="107"/>
        <v/>
      </c>
      <c r="AJ92" t="str">
        <f t="shared" ca="1" si="108"/>
        <v/>
      </c>
      <c r="AK92" t="str">
        <f ca="1">IF(E92="4", HELPER!$B$94 &amp;  "." &amp; A92,"")</f>
        <v/>
      </c>
      <c r="AL92" t="str">
        <f ca="1">IF(E92="4", HELPER!$B$93 &amp;  "." &amp; A92,"")</f>
        <v/>
      </c>
      <c r="AM92" t="str">
        <f t="shared" ca="1" si="109"/>
        <v/>
      </c>
      <c r="AN92" t="str">
        <f t="shared" ca="1" si="110"/>
        <v/>
      </c>
      <c r="AO92" t="str">
        <f ca="1">IF(A92&lt;&gt;"", IF(OR(F92="1",H92="1",I92="1"),""," "&amp; HELPER!$B$94 &amp; "." &amp; A92),"")</f>
        <v/>
      </c>
      <c r="AP92" t="str">
        <f t="shared" ca="1" si="111"/>
        <v/>
      </c>
      <c r="AQ92" t="str">
        <f t="shared" ca="1" si="136"/>
        <v/>
      </c>
      <c r="AS92" t="str">
        <f ca="1">IF(A92="","",  HELPER!$B$94 &amp;  "." &amp; A92)</f>
        <v/>
      </c>
      <c r="AT92" t="str">
        <f t="shared" ca="1" si="112"/>
        <v/>
      </c>
      <c r="AU92" t="str">
        <f t="shared" ca="1" si="113"/>
        <v/>
      </c>
      <c r="AV92" s="190" t="str">
        <f t="shared" ca="1" si="114"/>
        <v/>
      </c>
      <c r="AW92" t="str">
        <f t="shared" ca="1" si="115"/>
        <v/>
      </c>
      <c r="AY92" t="str">
        <f t="shared" ca="1" si="116"/>
        <v/>
      </c>
      <c r="BF92" t="str">
        <f t="shared" ca="1" si="117"/>
        <v/>
      </c>
      <c r="BH92" s="285" t="str">
        <f t="shared" ca="1" si="131"/>
        <v/>
      </c>
      <c r="BI92" t="str">
        <f t="shared" ca="1" si="118"/>
        <v/>
      </c>
      <c r="BJ92" t="str">
        <f t="shared" ca="1" si="119"/>
        <v/>
      </c>
      <c r="BK92" t="str">
        <f t="shared" ca="1" si="132"/>
        <v/>
      </c>
      <c r="BM92" t="str">
        <f t="shared" ca="1" si="133"/>
        <v/>
      </c>
      <c r="BN92" t="str">
        <f t="shared" ca="1" si="134"/>
        <v/>
      </c>
      <c r="BO92" t="str">
        <f t="shared" ca="1" si="120"/>
        <v/>
      </c>
      <c r="BP92" t="b">
        <f ca="1">COUNTIF(COLHELPER!A92:'COLHELPER'!A92,COLHELPER!A92)&gt;1</f>
        <v>0</v>
      </c>
      <c r="BQ92">
        <f t="shared" ca="1" si="121"/>
        <v>0</v>
      </c>
      <c r="BR92" s="290" t="str">
        <f t="shared" ca="1" si="137"/>
        <v/>
      </c>
      <c r="BS92" t="str">
        <f t="shared" ca="1" si="122"/>
        <v/>
      </c>
      <c r="BT92" t="str">
        <f t="shared" ca="1" si="135"/>
        <v/>
      </c>
      <c r="BU92" t="str">
        <f t="shared" ca="1" si="123"/>
        <v/>
      </c>
      <c r="BV92">
        <f t="shared" ca="1" si="124"/>
        <v>0</v>
      </c>
      <c r="BW92" t="str">
        <f t="shared" ca="1" si="125"/>
        <v/>
      </c>
      <c r="BX92" t="str">
        <f t="shared" ca="1" si="126"/>
        <v/>
      </c>
      <c r="BY92" t="str">
        <f ca="1">IF(R92="","",IF(R92&gt;Options!$B$3,"ALTER TABLE "&amp;HELPER!$B$4&amp;" ADD COLUMNS ("&amp;A92&amp;" "&amp;C92&amp;")",""))</f>
        <v/>
      </c>
      <c r="BZ92" t="str">
        <f ca="1">IF(R92="","",IF(R92&gt;Options!$B$3,A92,""))</f>
        <v/>
      </c>
      <c r="CA92" t="str">
        <f ca="1">IF(R92="","",IF(R92&gt;Options!$B$3,B92,""))</f>
        <v/>
      </c>
      <c r="CB92" t="str">
        <f t="shared" ca="1" si="127"/>
        <v/>
      </c>
      <c r="CC92">
        <f t="shared" ca="1" si="128"/>
        <v>0</v>
      </c>
      <c r="CD92" t="str">
        <f ca="1">IF(J92="","",Options!$B$23 &amp; "." &amp; J92)</f>
        <v/>
      </c>
    </row>
    <row r="93" spans="1:82">
      <c r="A93" s="161" t="str">
        <f t="array" aca="1" ref="A93" ca="1">IF(TRIM(INDIRECT("Columns!A93")) ="","",TRIM(INDIRECT("Columns!A93")))</f>
        <v/>
      </c>
      <c r="B93" s="161" t="str">
        <f t="shared" ca="1" si="96"/>
        <v/>
      </c>
      <c r="C93" s="161" t="str">
        <f t="shared" ca="1" si="97"/>
        <v/>
      </c>
      <c r="D93" s="161" t="str">
        <f t="shared" ca="1" si="98"/>
        <v/>
      </c>
      <c r="E93" s="161" t="str">
        <f t="array" aca="1" ref="E93" ca="1">IF(TRIM(INDIRECT("Columns!E93"))="","",TRIM(INDIRECT("Columns!E93")))</f>
        <v/>
      </c>
      <c r="F93" s="161" t="str">
        <f t="array" aca="1" ref="F93" ca="1">IF(TRIM(INDIRECT("Columns!G93"))="","",TRIM(INDIRECT("Columns!G93")))</f>
        <v/>
      </c>
      <c r="G93" s="161" t="str">
        <f t="array" aca="1" ref="G93" ca="1">IF(TRIM(INDIRECT("Columns!F93"))="","",TRIM(INDIRECT("Columns!F93")))</f>
        <v/>
      </c>
      <c r="H93" s="161" t="str">
        <f t="array" aca="1" ref="H93" ca="1">IF(TRIM(INDIRECT("Columns!H93"))="","",TRIM(INDIRECT("Columns!H93")))</f>
        <v/>
      </c>
      <c r="I93" s="161" t="str">
        <f t="array" aca="1" ref="I93" ca="1">IF(TRIM(INDIRECT("Columns!I93"))="","",TRIM(INDIRECT("Columns!I93")))</f>
        <v/>
      </c>
      <c r="J93" s="161" t="str">
        <f t="array" aca="1" ref="J93" ca="1">IF(TRIM(INDIRECT("Columns!J93"))="","",TRIM(INDIRECT("Columns!J93")))</f>
        <v/>
      </c>
      <c r="K93" s="161" t="str">
        <f t="array" aca="1" ref="K93" ca="1">IF(TRIM(INDIRECT("Columns!K93"))="","",TRIM(INDIRECT("Columns!K93")))</f>
        <v/>
      </c>
      <c r="L93" s="161" t="str">
        <f t="array" aca="1" ref="L93" ca="1">IF(TRIM(INDIRECT("Columns!L93"))="","",TRIM(INDIRECT("Columns!L93")))</f>
        <v/>
      </c>
      <c r="M93" s="161" t="str">
        <f t="array" aca="1" ref="M93" ca="1">IF(TRIM(INDIRECT("Columns!M93"))="","",TRIM(INDIRECT("Columns!M93")))</f>
        <v/>
      </c>
      <c r="N93" s="161" t="str">
        <f t="array" aca="1" ref="N93" ca="1">IF(TRIM(INDIRECT("Columns!N93"))="","",TRIM(INDIRECT("Columns!N93")))</f>
        <v/>
      </c>
      <c r="O93" s="227" t="str">
        <f t="array" aca="1" ref="O93" ca="1">IF(TRIM(INDIRECT("Columns!B93"))="","",TRIM(INDIRECT("Columns!B93")))</f>
        <v/>
      </c>
      <c r="P93" s="227" t="str">
        <f t="array" aca="1" ref="P93" ca="1">IF(TRIM(INDIRECT("Columns!C93"))="","",TRIM(INDIRECT("Columns!C93")))</f>
        <v/>
      </c>
      <c r="Q93" s="227" t="str">
        <f t="array" aca="1" ref="Q93" ca="1">IF(TRIM(INDIRECT("Columns!D93"))="","",TRIM(INDIRECT("Columns!D93")))</f>
        <v/>
      </c>
      <c r="R93" s="227" t="str">
        <f t="array" aca="1" ref="R93" ca="1">IF(TRIM(INDIRECT("Columns!O93"))="","",TRIM(INDIRECT("Columns!O93")))</f>
        <v/>
      </c>
      <c r="S93" t="str">
        <f t="shared" ca="1" si="99"/>
        <v/>
      </c>
      <c r="T93" t="str">
        <f t="shared" ca="1" si="100"/>
        <v/>
      </c>
      <c r="U93" t="str">
        <f t="shared" ca="1" si="101"/>
        <v/>
      </c>
      <c r="V93" t="str">
        <f t="shared" ca="1" si="102"/>
        <v/>
      </c>
      <c r="W93" t="str">
        <f t="shared" ca="1" si="103"/>
        <v/>
      </c>
      <c r="X93" t="str">
        <f t="shared" ca="1" si="104"/>
        <v/>
      </c>
      <c r="Y93" t="str">
        <f t="shared" ca="1" si="105"/>
        <v/>
      </c>
      <c r="Z93" t="str">
        <f t="shared" ca="1" si="129"/>
        <v/>
      </c>
      <c r="AA93" t="str">
        <f ca="1">IF(E93="1",   IF( A93="","",IF(OR(F93="1",H93="1",I93="1"),"","COALESCE (CAST("&amp;A93&amp;" as varchar(" &amp; Options!$B$49&amp; ")),'')")),"")</f>
        <v/>
      </c>
      <c r="AB93" t="str">
        <f ca="1">IF(E93="1", IF(C93="string",  IF( A93="","",IF(OR(F93="1",H93="1",I93="1"),"","COALESCE (CAST(lower("&amp;A93&amp;") as varchar(" &amp;Options!$B$49 &amp; ")),'')")),AA93),"")</f>
        <v/>
      </c>
      <c r="AC93" t="str">
        <f ca="1">IF(E93="4",   IF( A93="","",IF(OR(F93="1",H93="1",I93="1"),"","COALESCE (CAST("  &amp;A93&amp;" as varchar(" &amp; Options!$B$49&amp; ")),'')")),"")</f>
        <v/>
      </c>
      <c r="AD93" t="str">
        <f ca="1">IF(E93="4",   IF( A93="","",IF(OR(F93="1",H93="1",I93="1"),"","COALESCE (CAST(" &amp; HELPER!$B$94 &amp; "."  &amp;A93&amp;" as varchar(" &amp; Options!$B$49&amp; ")),'')")),"")</f>
        <v/>
      </c>
      <c r="AE93" t="str">
        <f t="shared" ca="1" si="106"/>
        <v/>
      </c>
      <c r="AF93" t="str">
        <f ca="1">IF(AE93&lt;&gt;"", HELPER!$B$93 &amp;  "." &amp; AE93,"")</f>
        <v/>
      </c>
      <c r="AG93" t="str">
        <f ca="1">IF(AE93&lt;&gt;"", HELPER!$B$94 &amp; "." &amp; AE93,"")</f>
        <v/>
      </c>
      <c r="AH93" t="str">
        <f t="shared" ca="1" si="130"/>
        <v/>
      </c>
      <c r="AI93" t="str">
        <f t="shared" ca="1" si="107"/>
        <v/>
      </c>
      <c r="AJ93" t="str">
        <f t="shared" ca="1" si="108"/>
        <v/>
      </c>
      <c r="AK93" t="str">
        <f ca="1">IF(E93="4", HELPER!$B$94 &amp;  "." &amp; A93,"")</f>
        <v/>
      </c>
      <c r="AL93" t="str">
        <f ca="1">IF(E93="4", HELPER!$B$93 &amp;  "." &amp; A93,"")</f>
        <v/>
      </c>
      <c r="AM93" t="str">
        <f t="shared" ca="1" si="109"/>
        <v/>
      </c>
      <c r="AN93" t="str">
        <f t="shared" ca="1" si="110"/>
        <v/>
      </c>
      <c r="AO93" t="str">
        <f ca="1">IF(A93&lt;&gt;"", IF(OR(F93="1",H93="1",I93="1"),""," "&amp; HELPER!$B$94 &amp; "." &amp; A93),"")</f>
        <v/>
      </c>
      <c r="AP93" t="str">
        <f t="shared" ca="1" si="111"/>
        <v/>
      </c>
      <c r="AQ93" t="str">
        <f t="shared" ca="1" si="136"/>
        <v/>
      </c>
      <c r="AS93" t="str">
        <f ca="1">IF(A93="","",  HELPER!$B$94 &amp;  "." &amp; A93)</f>
        <v/>
      </c>
      <c r="AT93" t="str">
        <f t="shared" ca="1" si="112"/>
        <v/>
      </c>
      <c r="AU93" t="str">
        <f t="shared" ca="1" si="113"/>
        <v/>
      </c>
      <c r="AV93" s="190" t="str">
        <f t="shared" ca="1" si="114"/>
        <v/>
      </c>
      <c r="AW93" t="str">
        <f t="shared" ca="1" si="115"/>
        <v/>
      </c>
      <c r="AY93" t="str">
        <f t="shared" ca="1" si="116"/>
        <v/>
      </c>
      <c r="BF93" t="str">
        <f t="shared" ca="1" si="117"/>
        <v/>
      </c>
      <c r="BH93" s="285" t="str">
        <f t="shared" ca="1" si="131"/>
        <v/>
      </c>
      <c r="BI93" t="str">
        <f t="shared" ca="1" si="118"/>
        <v/>
      </c>
      <c r="BJ93" t="str">
        <f t="shared" ca="1" si="119"/>
        <v/>
      </c>
      <c r="BK93" t="str">
        <f t="shared" ca="1" si="132"/>
        <v/>
      </c>
      <c r="BM93" t="str">
        <f t="shared" ca="1" si="133"/>
        <v/>
      </c>
      <c r="BN93" t="str">
        <f t="shared" ca="1" si="134"/>
        <v/>
      </c>
      <c r="BO93" t="str">
        <f t="shared" ca="1" si="120"/>
        <v/>
      </c>
      <c r="BP93" t="b">
        <f ca="1">COUNTIF(COLHELPER!A93:'COLHELPER'!A93,COLHELPER!A93)&gt;1</f>
        <v>0</v>
      </c>
      <c r="BQ93">
        <f t="shared" ca="1" si="121"/>
        <v>0</v>
      </c>
      <c r="BR93" s="290" t="str">
        <f t="shared" ca="1" si="137"/>
        <v/>
      </c>
      <c r="BS93" t="str">
        <f t="shared" ca="1" si="122"/>
        <v/>
      </c>
      <c r="BT93" t="str">
        <f t="shared" ca="1" si="135"/>
        <v/>
      </c>
      <c r="BU93" t="str">
        <f t="shared" ca="1" si="123"/>
        <v/>
      </c>
      <c r="BV93">
        <f t="shared" ca="1" si="124"/>
        <v>0</v>
      </c>
      <c r="BW93" t="str">
        <f t="shared" ca="1" si="125"/>
        <v/>
      </c>
      <c r="BX93" t="str">
        <f t="shared" ca="1" si="126"/>
        <v/>
      </c>
      <c r="BY93" t="str">
        <f ca="1">IF(R93="","",IF(R93&gt;Options!$B$3,"ALTER TABLE "&amp;HELPER!$B$4&amp;" ADD COLUMNS ("&amp;A93&amp;" "&amp;C93&amp;")",""))</f>
        <v/>
      </c>
      <c r="BZ93" t="str">
        <f ca="1">IF(R93="","",IF(R93&gt;Options!$B$3,A93,""))</f>
        <v/>
      </c>
      <c r="CA93" t="str">
        <f ca="1">IF(R93="","",IF(R93&gt;Options!$B$3,B93,""))</f>
        <v/>
      </c>
      <c r="CB93" t="str">
        <f t="shared" ca="1" si="127"/>
        <v/>
      </c>
      <c r="CC93">
        <f t="shared" ca="1" si="128"/>
        <v>0</v>
      </c>
      <c r="CD93" t="str">
        <f ca="1">IF(J93="","",Options!$B$23 &amp; "." &amp; J93)</f>
        <v/>
      </c>
    </row>
    <row r="94" spans="1:82">
      <c r="A94" s="161" t="str">
        <f t="array" aca="1" ref="A94" ca="1">IF(TRIM(INDIRECT("Columns!A94")) ="","",TRIM(INDIRECT("Columns!A94")))</f>
        <v/>
      </c>
      <c r="B94" s="161" t="str">
        <f t="shared" ca="1" si="96"/>
        <v/>
      </c>
      <c r="C94" s="161" t="str">
        <f t="shared" ca="1" si="97"/>
        <v/>
      </c>
      <c r="D94" s="161" t="str">
        <f t="shared" ca="1" si="98"/>
        <v/>
      </c>
      <c r="E94" s="161" t="str">
        <f t="array" aca="1" ref="E94" ca="1">IF(TRIM(INDIRECT("Columns!E94"))="","",TRIM(INDIRECT("Columns!E94")))</f>
        <v/>
      </c>
      <c r="F94" s="161" t="str">
        <f t="array" aca="1" ref="F94" ca="1">IF(TRIM(INDIRECT("Columns!G94"))="","",TRIM(INDIRECT("Columns!G94")))</f>
        <v/>
      </c>
      <c r="G94" s="161" t="str">
        <f t="array" aca="1" ref="G94" ca="1">IF(TRIM(INDIRECT("Columns!F94"))="","",TRIM(INDIRECT("Columns!F94")))</f>
        <v/>
      </c>
      <c r="H94" s="161" t="str">
        <f t="array" aca="1" ref="H94" ca="1">IF(TRIM(INDIRECT("Columns!H94"))="","",TRIM(INDIRECT("Columns!H94")))</f>
        <v/>
      </c>
      <c r="I94" s="161" t="str">
        <f t="array" aca="1" ref="I94" ca="1">IF(TRIM(INDIRECT("Columns!I94"))="","",TRIM(INDIRECT("Columns!I94")))</f>
        <v/>
      </c>
      <c r="J94" s="161" t="str">
        <f t="array" aca="1" ref="J94" ca="1">IF(TRIM(INDIRECT("Columns!J94"))="","",TRIM(INDIRECT("Columns!J94")))</f>
        <v/>
      </c>
      <c r="K94" s="161" t="str">
        <f t="array" aca="1" ref="K94" ca="1">IF(TRIM(INDIRECT("Columns!K94"))="","",TRIM(INDIRECT("Columns!K94")))</f>
        <v/>
      </c>
      <c r="L94" s="161" t="str">
        <f t="array" aca="1" ref="L94" ca="1">IF(TRIM(INDIRECT("Columns!L94"))="","",TRIM(INDIRECT("Columns!L94")))</f>
        <v/>
      </c>
      <c r="M94" s="161" t="str">
        <f t="array" aca="1" ref="M94" ca="1">IF(TRIM(INDIRECT("Columns!M94"))="","",TRIM(INDIRECT("Columns!M94")))</f>
        <v/>
      </c>
      <c r="N94" s="161" t="str">
        <f t="array" aca="1" ref="N94" ca="1">IF(TRIM(INDIRECT("Columns!N94"))="","",TRIM(INDIRECT("Columns!N94")))</f>
        <v/>
      </c>
      <c r="O94" s="227" t="str">
        <f t="array" aca="1" ref="O94" ca="1">IF(TRIM(INDIRECT("Columns!B94"))="","",TRIM(INDIRECT("Columns!B94")))</f>
        <v/>
      </c>
      <c r="P94" s="227" t="str">
        <f t="array" aca="1" ref="P94" ca="1">IF(TRIM(INDIRECT("Columns!C94"))="","",TRIM(INDIRECT("Columns!C94")))</f>
        <v/>
      </c>
      <c r="Q94" s="227" t="str">
        <f t="array" aca="1" ref="Q94" ca="1">IF(TRIM(INDIRECT("Columns!D94"))="","",TRIM(INDIRECT("Columns!D94")))</f>
        <v/>
      </c>
      <c r="R94" s="227" t="str">
        <f t="array" aca="1" ref="R94" ca="1">IF(TRIM(INDIRECT("Columns!O94"))="","",TRIM(INDIRECT("Columns!O94")))</f>
        <v/>
      </c>
      <c r="S94" t="str">
        <f t="shared" ca="1" si="99"/>
        <v/>
      </c>
      <c r="T94" t="str">
        <f t="shared" ca="1" si="100"/>
        <v/>
      </c>
      <c r="U94" t="str">
        <f t="shared" ca="1" si="101"/>
        <v/>
      </c>
      <c r="V94" t="str">
        <f t="shared" ca="1" si="102"/>
        <v/>
      </c>
      <c r="W94" t="str">
        <f t="shared" ca="1" si="103"/>
        <v/>
      </c>
      <c r="X94" t="str">
        <f t="shared" ca="1" si="104"/>
        <v/>
      </c>
      <c r="Y94" t="str">
        <f t="shared" ca="1" si="105"/>
        <v/>
      </c>
      <c r="Z94" t="str">
        <f t="shared" ca="1" si="129"/>
        <v/>
      </c>
      <c r="AA94" t="str">
        <f ca="1">IF(E94="1",   IF( A94="","",IF(OR(F94="1",H94="1",I94="1"),"","COALESCE (CAST("&amp;A94&amp;" as varchar(" &amp; Options!$B$49&amp; ")),'')")),"")</f>
        <v/>
      </c>
      <c r="AB94" t="str">
        <f ca="1">IF(E94="1", IF(C94="string",  IF( A94="","",IF(OR(F94="1",H94="1",I94="1"),"","COALESCE (CAST(lower("&amp;A94&amp;") as varchar(" &amp;Options!$B$49 &amp; ")),'')")),AA94),"")</f>
        <v/>
      </c>
      <c r="AC94" t="str">
        <f ca="1">IF(E94="4",   IF( A94="","",IF(OR(F94="1",H94="1",I94="1"),"","COALESCE (CAST("  &amp;A94&amp;" as varchar(" &amp; Options!$B$49&amp; ")),'')")),"")</f>
        <v/>
      </c>
      <c r="AD94" t="str">
        <f ca="1">IF(E94="4",   IF( A94="","",IF(OR(F94="1",H94="1",I94="1"),"","COALESCE (CAST(" &amp; HELPER!$B$94 &amp; "."  &amp;A94&amp;" as varchar(" &amp; Options!$B$49&amp; ")),'')")),"")</f>
        <v/>
      </c>
      <c r="AE94" t="str">
        <f t="shared" ca="1" si="106"/>
        <v/>
      </c>
      <c r="AF94" t="str">
        <f ca="1">IF(AE94&lt;&gt;"", HELPER!$B$93 &amp;  "." &amp; AE94,"")</f>
        <v/>
      </c>
      <c r="AG94" t="str">
        <f ca="1">IF(AE94&lt;&gt;"", HELPER!$B$94 &amp; "." &amp; AE94,"")</f>
        <v/>
      </c>
      <c r="AH94" t="str">
        <f t="shared" ca="1" si="130"/>
        <v/>
      </c>
      <c r="AI94" t="str">
        <f t="shared" ca="1" si="107"/>
        <v/>
      </c>
      <c r="AJ94" t="str">
        <f t="shared" ca="1" si="108"/>
        <v/>
      </c>
      <c r="AK94" t="str">
        <f ca="1">IF(E94="4", HELPER!$B$94 &amp;  "." &amp; A94,"")</f>
        <v/>
      </c>
      <c r="AL94" t="str">
        <f ca="1">IF(E94="4", HELPER!$B$93 &amp;  "." &amp; A94,"")</f>
        <v/>
      </c>
      <c r="AM94" t="str">
        <f t="shared" ca="1" si="109"/>
        <v/>
      </c>
      <c r="AN94" t="str">
        <f t="shared" ca="1" si="110"/>
        <v/>
      </c>
      <c r="AO94" t="str">
        <f ca="1">IF(A94&lt;&gt;"", IF(OR(F94="1",H94="1",I94="1"),""," "&amp; HELPER!$B$94 &amp; "." &amp; A94),"")</f>
        <v/>
      </c>
      <c r="AP94" t="str">
        <f t="shared" ca="1" si="111"/>
        <v/>
      </c>
      <c r="AQ94" t="str">
        <f t="shared" ca="1" si="136"/>
        <v/>
      </c>
      <c r="AS94" t="str">
        <f ca="1">IF(A94="","",  HELPER!$B$94 &amp;  "." &amp; A94)</f>
        <v/>
      </c>
      <c r="AT94" t="str">
        <f t="shared" ca="1" si="112"/>
        <v/>
      </c>
      <c r="AU94" t="str">
        <f t="shared" ca="1" si="113"/>
        <v/>
      </c>
      <c r="AV94" s="190" t="str">
        <f t="shared" ca="1" si="114"/>
        <v/>
      </c>
      <c r="AW94" t="str">
        <f t="shared" ca="1" si="115"/>
        <v/>
      </c>
      <c r="AY94" t="str">
        <f t="shared" ca="1" si="116"/>
        <v/>
      </c>
      <c r="BF94" t="str">
        <f t="shared" ca="1" si="117"/>
        <v/>
      </c>
      <c r="BH94" s="285" t="str">
        <f t="shared" ca="1" si="131"/>
        <v/>
      </c>
      <c r="BI94" t="str">
        <f t="shared" ca="1" si="118"/>
        <v/>
      </c>
      <c r="BJ94" t="str">
        <f t="shared" ca="1" si="119"/>
        <v/>
      </c>
      <c r="BK94" t="str">
        <f t="shared" ca="1" si="132"/>
        <v/>
      </c>
      <c r="BM94" t="str">
        <f t="shared" ca="1" si="133"/>
        <v/>
      </c>
      <c r="BN94" t="str">
        <f t="shared" ca="1" si="134"/>
        <v/>
      </c>
      <c r="BO94" t="str">
        <f t="shared" ca="1" si="120"/>
        <v/>
      </c>
      <c r="BP94" t="b">
        <f ca="1">COUNTIF(COLHELPER!A94:'COLHELPER'!A94,COLHELPER!A94)&gt;1</f>
        <v>0</v>
      </c>
      <c r="BQ94">
        <f t="shared" ca="1" si="121"/>
        <v>0</v>
      </c>
      <c r="BR94" s="290" t="str">
        <f t="shared" ca="1" si="137"/>
        <v/>
      </c>
      <c r="BS94" t="str">
        <f t="shared" ca="1" si="122"/>
        <v/>
      </c>
      <c r="BT94" t="str">
        <f t="shared" ca="1" si="135"/>
        <v/>
      </c>
      <c r="BU94" t="str">
        <f t="shared" ca="1" si="123"/>
        <v/>
      </c>
      <c r="BV94">
        <f t="shared" ca="1" si="124"/>
        <v>0</v>
      </c>
      <c r="BW94" t="str">
        <f t="shared" ca="1" si="125"/>
        <v/>
      </c>
      <c r="BX94" t="str">
        <f t="shared" ca="1" si="126"/>
        <v/>
      </c>
      <c r="BY94" t="str">
        <f ca="1">IF(R94="","",IF(R94&gt;Options!$B$3,"ALTER TABLE "&amp;HELPER!$B$4&amp;" ADD COLUMNS ("&amp;A94&amp;" "&amp;C94&amp;")",""))</f>
        <v/>
      </c>
      <c r="BZ94" t="str">
        <f ca="1">IF(R94="","",IF(R94&gt;Options!$B$3,A94,""))</f>
        <v/>
      </c>
      <c r="CA94" t="str">
        <f ca="1">IF(R94="","",IF(R94&gt;Options!$B$3,B94,""))</f>
        <v/>
      </c>
      <c r="CB94" t="str">
        <f t="shared" ca="1" si="127"/>
        <v/>
      </c>
      <c r="CC94">
        <f t="shared" ca="1" si="128"/>
        <v>0</v>
      </c>
      <c r="CD94" t="str">
        <f ca="1">IF(J94="","",Options!$B$23 &amp; "." &amp; J94)</f>
        <v/>
      </c>
    </row>
    <row r="95" spans="1:82">
      <c r="A95" s="161" t="str">
        <f t="array" aca="1" ref="A95" ca="1">IF(TRIM(INDIRECT("Columns!A95")) ="","",TRIM(INDIRECT("Columns!A95")))</f>
        <v/>
      </c>
      <c r="B95" s="161" t="str">
        <f t="shared" ca="1" si="96"/>
        <v/>
      </c>
      <c r="C95" s="161" t="str">
        <f t="shared" ca="1" si="97"/>
        <v/>
      </c>
      <c r="D95" s="161" t="str">
        <f t="shared" ca="1" si="98"/>
        <v/>
      </c>
      <c r="E95" s="161" t="str">
        <f t="array" aca="1" ref="E95" ca="1">IF(TRIM(INDIRECT("Columns!E95"))="","",TRIM(INDIRECT("Columns!E95")))</f>
        <v/>
      </c>
      <c r="F95" s="161" t="str">
        <f t="array" aca="1" ref="F95" ca="1">IF(TRIM(INDIRECT("Columns!G95"))="","",TRIM(INDIRECT("Columns!G95")))</f>
        <v/>
      </c>
      <c r="G95" s="161" t="str">
        <f t="array" aca="1" ref="G95" ca="1">IF(TRIM(INDIRECT("Columns!F95"))="","",TRIM(INDIRECT("Columns!F95")))</f>
        <v/>
      </c>
      <c r="H95" s="161" t="str">
        <f t="array" aca="1" ref="H95" ca="1">IF(TRIM(INDIRECT("Columns!H95"))="","",TRIM(INDIRECT("Columns!H95")))</f>
        <v/>
      </c>
      <c r="I95" s="161" t="str">
        <f t="array" aca="1" ref="I95" ca="1">IF(TRIM(INDIRECT("Columns!I95"))="","",TRIM(INDIRECT("Columns!I95")))</f>
        <v/>
      </c>
      <c r="J95" s="161" t="str">
        <f t="array" aca="1" ref="J95" ca="1">IF(TRIM(INDIRECT("Columns!J95"))="","",TRIM(INDIRECT("Columns!J95")))</f>
        <v/>
      </c>
      <c r="K95" s="161" t="str">
        <f t="array" aca="1" ref="K95" ca="1">IF(TRIM(INDIRECT("Columns!K95"))="","",TRIM(INDIRECT("Columns!K95")))</f>
        <v/>
      </c>
      <c r="L95" s="161" t="str">
        <f t="array" aca="1" ref="L95" ca="1">IF(TRIM(INDIRECT("Columns!L95"))="","",TRIM(INDIRECT("Columns!L95")))</f>
        <v/>
      </c>
      <c r="M95" s="161" t="str">
        <f t="array" aca="1" ref="M95" ca="1">IF(TRIM(INDIRECT("Columns!M95"))="","",TRIM(INDIRECT("Columns!M95")))</f>
        <v/>
      </c>
      <c r="N95" s="161" t="str">
        <f t="array" aca="1" ref="N95" ca="1">IF(TRIM(INDIRECT("Columns!N95"))="","",TRIM(INDIRECT("Columns!N95")))</f>
        <v/>
      </c>
      <c r="O95" s="227" t="str">
        <f t="array" aca="1" ref="O95" ca="1">IF(TRIM(INDIRECT("Columns!B95"))="","",TRIM(INDIRECT("Columns!B95")))</f>
        <v/>
      </c>
      <c r="P95" s="227" t="str">
        <f t="array" aca="1" ref="P95" ca="1">IF(TRIM(INDIRECT("Columns!C95"))="","",TRIM(INDIRECT("Columns!C95")))</f>
        <v/>
      </c>
      <c r="Q95" s="227" t="str">
        <f t="array" aca="1" ref="Q95" ca="1">IF(TRIM(INDIRECT("Columns!D95"))="","",TRIM(INDIRECT("Columns!D95")))</f>
        <v/>
      </c>
      <c r="R95" s="227" t="str">
        <f t="array" aca="1" ref="R95" ca="1">IF(TRIM(INDIRECT("Columns!O95"))="","",TRIM(INDIRECT("Columns!O95")))</f>
        <v/>
      </c>
      <c r="S95" t="str">
        <f t="shared" ca="1" si="99"/>
        <v/>
      </c>
      <c r="T95" t="str">
        <f t="shared" ca="1" si="100"/>
        <v/>
      </c>
      <c r="U95" t="str">
        <f t="shared" ca="1" si="101"/>
        <v/>
      </c>
      <c r="V95" t="str">
        <f t="shared" ca="1" si="102"/>
        <v/>
      </c>
      <c r="W95" t="str">
        <f t="shared" ca="1" si="103"/>
        <v/>
      </c>
      <c r="X95" t="str">
        <f t="shared" ca="1" si="104"/>
        <v/>
      </c>
      <c r="Y95" t="str">
        <f t="shared" ca="1" si="105"/>
        <v/>
      </c>
      <c r="Z95" t="str">
        <f t="shared" ca="1" si="129"/>
        <v/>
      </c>
      <c r="AA95" t="str">
        <f ca="1">IF(E95="1",   IF( A95="","",IF(OR(F95="1",H95="1",I95="1"),"","COALESCE (CAST("&amp;A95&amp;" as varchar(" &amp; Options!$B$49&amp; ")),'')")),"")</f>
        <v/>
      </c>
      <c r="AB95" t="str">
        <f ca="1">IF(E95="1", IF(C95="string",  IF( A95="","",IF(OR(F95="1",H95="1",I95="1"),"","COALESCE (CAST(lower("&amp;A95&amp;") as varchar(" &amp;Options!$B$49 &amp; ")),'')")),AA95),"")</f>
        <v/>
      </c>
      <c r="AC95" t="str">
        <f ca="1">IF(E95="4",   IF( A95="","",IF(OR(F95="1",H95="1",I95="1"),"","COALESCE (CAST("  &amp;A95&amp;" as varchar(" &amp; Options!$B$49&amp; ")),'')")),"")</f>
        <v/>
      </c>
      <c r="AD95" t="str">
        <f ca="1">IF(E95="4",   IF( A95="","",IF(OR(F95="1",H95="1",I95="1"),"","COALESCE (CAST(" &amp; HELPER!$B$94 &amp; "."  &amp;A95&amp;" as varchar(" &amp; Options!$B$49&amp; ")),'')")),"")</f>
        <v/>
      </c>
      <c r="AE95" t="str">
        <f t="shared" ca="1" si="106"/>
        <v/>
      </c>
      <c r="AF95" t="str">
        <f ca="1">IF(AE95&lt;&gt;"", HELPER!$B$93 &amp;  "." &amp; AE95,"")</f>
        <v/>
      </c>
      <c r="AG95" t="str">
        <f ca="1">IF(AE95&lt;&gt;"", HELPER!$B$94 &amp; "." &amp; AE95,"")</f>
        <v/>
      </c>
      <c r="AH95" t="str">
        <f t="shared" ca="1" si="130"/>
        <v/>
      </c>
      <c r="AI95" t="str">
        <f t="shared" ca="1" si="107"/>
        <v/>
      </c>
      <c r="AJ95" t="str">
        <f t="shared" ca="1" si="108"/>
        <v/>
      </c>
      <c r="AK95" t="str">
        <f ca="1">IF(E95="4", HELPER!$B$94 &amp;  "." &amp; A95,"")</f>
        <v/>
      </c>
      <c r="AL95" t="str">
        <f ca="1">IF(E95="4", HELPER!$B$93 &amp;  "." &amp; A95,"")</f>
        <v/>
      </c>
      <c r="AM95" t="str">
        <f t="shared" ca="1" si="109"/>
        <v/>
      </c>
      <c r="AN95" t="str">
        <f t="shared" ca="1" si="110"/>
        <v/>
      </c>
      <c r="AO95" t="str">
        <f ca="1">IF(A95&lt;&gt;"", IF(OR(F95="1",H95="1",I95="1"),""," "&amp; HELPER!$B$94 &amp; "." &amp; A95),"")</f>
        <v/>
      </c>
      <c r="AP95" t="str">
        <f t="shared" ca="1" si="111"/>
        <v/>
      </c>
      <c r="AQ95" t="str">
        <f t="shared" ca="1" si="136"/>
        <v/>
      </c>
      <c r="AS95" t="str">
        <f ca="1">IF(A95="","",  HELPER!$B$94 &amp;  "." &amp; A95)</f>
        <v/>
      </c>
      <c r="AT95" t="str">
        <f t="shared" ca="1" si="112"/>
        <v/>
      </c>
      <c r="AU95" t="str">
        <f t="shared" ca="1" si="113"/>
        <v/>
      </c>
      <c r="AV95" s="190" t="str">
        <f t="shared" ca="1" si="114"/>
        <v/>
      </c>
      <c r="AW95" t="str">
        <f t="shared" ca="1" si="115"/>
        <v/>
      </c>
      <c r="AY95" t="str">
        <f t="shared" ca="1" si="116"/>
        <v/>
      </c>
      <c r="BF95" t="str">
        <f t="shared" ca="1" si="117"/>
        <v/>
      </c>
      <c r="BH95" s="285" t="str">
        <f t="shared" ca="1" si="131"/>
        <v/>
      </c>
      <c r="BI95" t="str">
        <f t="shared" ca="1" si="118"/>
        <v/>
      </c>
      <c r="BJ95" t="str">
        <f t="shared" ca="1" si="119"/>
        <v/>
      </c>
      <c r="BK95" t="str">
        <f t="shared" ca="1" si="132"/>
        <v/>
      </c>
      <c r="BM95" t="str">
        <f t="shared" ca="1" si="133"/>
        <v/>
      </c>
      <c r="BN95" t="str">
        <f t="shared" ca="1" si="134"/>
        <v/>
      </c>
      <c r="BO95" t="str">
        <f t="shared" ca="1" si="120"/>
        <v/>
      </c>
      <c r="BP95" t="b">
        <f ca="1">COUNTIF(COLHELPER!A95:'COLHELPER'!A95,COLHELPER!A95)&gt;1</f>
        <v>0</v>
      </c>
      <c r="BQ95">
        <f t="shared" ca="1" si="121"/>
        <v>0</v>
      </c>
      <c r="BR95" s="290" t="str">
        <f t="shared" ca="1" si="137"/>
        <v/>
      </c>
      <c r="BS95" t="str">
        <f t="shared" ca="1" si="122"/>
        <v/>
      </c>
      <c r="BT95" t="str">
        <f t="shared" ca="1" si="135"/>
        <v/>
      </c>
      <c r="BU95" t="str">
        <f t="shared" ca="1" si="123"/>
        <v/>
      </c>
      <c r="BV95">
        <f t="shared" ca="1" si="124"/>
        <v>0</v>
      </c>
      <c r="BW95" t="str">
        <f t="shared" ca="1" si="125"/>
        <v/>
      </c>
      <c r="BX95" t="str">
        <f t="shared" ca="1" si="126"/>
        <v/>
      </c>
      <c r="BY95" t="str">
        <f ca="1">IF(R95="","",IF(R95&gt;Options!$B$3,"ALTER TABLE "&amp;HELPER!$B$4&amp;" ADD COLUMNS ("&amp;A95&amp;" "&amp;C95&amp;")",""))</f>
        <v/>
      </c>
      <c r="BZ95" t="str">
        <f ca="1">IF(R95="","",IF(R95&gt;Options!$B$3,A95,""))</f>
        <v/>
      </c>
      <c r="CA95" t="str">
        <f ca="1">IF(R95="","",IF(R95&gt;Options!$B$3,B95,""))</f>
        <v/>
      </c>
      <c r="CB95" t="str">
        <f t="shared" ca="1" si="127"/>
        <v/>
      </c>
      <c r="CC95">
        <f t="shared" ca="1" si="128"/>
        <v>0</v>
      </c>
      <c r="CD95" t="str">
        <f ca="1">IF(J95="","",Options!$B$23 &amp; "." &amp; J95)</f>
        <v/>
      </c>
    </row>
    <row r="96" spans="1:82">
      <c r="A96" s="161" t="str">
        <f t="array" aca="1" ref="A96" ca="1">IF(TRIM(INDIRECT("Columns!A96")) ="","",TRIM(INDIRECT("Columns!A96")))</f>
        <v/>
      </c>
      <c r="B96" s="161" t="str">
        <f t="shared" ca="1" si="96"/>
        <v/>
      </c>
      <c r="C96" s="161" t="str">
        <f t="shared" ca="1" si="97"/>
        <v/>
      </c>
      <c r="D96" s="161" t="str">
        <f t="shared" ca="1" si="98"/>
        <v/>
      </c>
      <c r="E96" s="161" t="str">
        <f t="array" aca="1" ref="E96" ca="1">IF(TRIM(INDIRECT("Columns!E96"))="","",TRIM(INDIRECT("Columns!E96")))</f>
        <v/>
      </c>
      <c r="F96" s="161" t="str">
        <f t="array" aca="1" ref="F96" ca="1">IF(TRIM(INDIRECT("Columns!G96"))="","",TRIM(INDIRECT("Columns!G96")))</f>
        <v/>
      </c>
      <c r="G96" s="161" t="str">
        <f t="array" aca="1" ref="G96" ca="1">IF(TRIM(INDIRECT("Columns!F96"))="","",TRIM(INDIRECT("Columns!F96")))</f>
        <v/>
      </c>
      <c r="H96" s="161" t="str">
        <f t="array" aca="1" ref="H96" ca="1">IF(TRIM(INDIRECT("Columns!H96"))="","",TRIM(INDIRECT("Columns!H96")))</f>
        <v/>
      </c>
      <c r="I96" s="161" t="str">
        <f t="array" aca="1" ref="I96" ca="1">IF(TRIM(INDIRECT("Columns!I96"))="","",TRIM(INDIRECT("Columns!I96")))</f>
        <v/>
      </c>
      <c r="J96" s="161" t="str">
        <f t="array" aca="1" ref="J96" ca="1">IF(TRIM(INDIRECT("Columns!J96"))="","",TRIM(INDIRECT("Columns!J96")))</f>
        <v/>
      </c>
      <c r="K96" s="161" t="str">
        <f t="array" aca="1" ref="K96" ca="1">IF(TRIM(INDIRECT("Columns!K96"))="","",TRIM(INDIRECT("Columns!K96")))</f>
        <v/>
      </c>
      <c r="L96" s="161" t="str">
        <f t="array" aca="1" ref="L96" ca="1">IF(TRIM(INDIRECT("Columns!L96"))="","",TRIM(INDIRECT("Columns!L96")))</f>
        <v/>
      </c>
      <c r="M96" s="161" t="str">
        <f t="array" aca="1" ref="M96" ca="1">IF(TRIM(INDIRECT("Columns!M96"))="","",TRIM(INDIRECT("Columns!M96")))</f>
        <v/>
      </c>
      <c r="N96" s="161" t="str">
        <f t="array" aca="1" ref="N96" ca="1">IF(TRIM(INDIRECT("Columns!N96"))="","",TRIM(INDIRECT("Columns!N96")))</f>
        <v/>
      </c>
      <c r="O96" s="227" t="str">
        <f t="array" aca="1" ref="O96" ca="1">IF(TRIM(INDIRECT("Columns!B96"))="","",TRIM(INDIRECT("Columns!B96")))</f>
        <v/>
      </c>
      <c r="P96" s="227" t="str">
        <f t="array" aca="1" ref="P96" ca="1">IF(TRIM(INDIRECT("Columns!C96"))="","",TRIM(INDIRECT("Columns!C96")))</f>
        <v/>
      </c>
      <c r="Q96" s="227" t="str">
        <f t="array" aca="1" ref="Q96" ca="1">IF(TRIM(INDIRECT("Columns!D96"))="","",TRIM(INDIRECT("Columns!D96")))</f>
        <v/>
      </c>
      <c r="R96" s="227" t="str">
        <f t="array" aca="1" ref="R96" ca="1">IF(TRIM(INDIRECT("Columns!O96"))="","",TRIM(INDIRECT("Columns!O96")))</f>
        <v/>
      </c>
      <c r="S96" t="str">
        <f t="shared" ca="1" si="99"/>
        <v/>
      </c>
      <c r="T96" t="str">
        <f t="shared" ca="1" si="100"/>
        <v/>
      </c>
      <c r="U96" t="str">
        <f t="shared" ca="1" si="101"/>
        <v/>
      </c>
      <c r="V96" t="str">
        <f t="shared" ca="1" si="102"/>
        <v/>
      </c>
      <c r="W96" t="str">
        <f t="shared" ca="1" si="103"/>
        <v/>
      </c>
      <c r="X96" t="str">
        <f t="shared" ca="1" si="104"/>
        <v/>
      </c>
      <c r="Y96" t="str">
        <f t="shared" ca="1" si="105"/>
        <v/>
      </c>
      <c r="Z96" t="str">
        <f t="shared" ca="1" si="129"/>
        <v/>
      </c>
      <c r="AA96" t="str">
        <f ca="1">IF(E96="1",   IF( A96="","",IF(OR(F96="1",H96="1",I96="1"),"","COALESCE (CAST("&amp;A96&amp;" as varchar(" &amp; Options!$B$49&amp; ")),'')")),"")</f>
        <v/>
      </c>
      <c r="AB96" t="str">
        <f ca="1">IF(E96="1", IF(C96="string",  IF( A96="","",IF(OR(F96="1",H96="1",I96="1"),"","COALESCE (CAST(lower("&amp;A96&amp;") as varchar(" &amp;Options!$B$49 &amp; ")),'')")),AA96),"")</f>
        <v/>
      </c>
      <c r="AC96" t="str">
        <f ca="1">IF(E96="4",   IF( A96="","",IF(OR(F96="1",H96="1",I96="1"),"","COALESCE (CAST("  &amp;A96&amp;" as varchar(" &amp; Options!$B$49&amp; ")),'')")),"")</f>
        <v/>
      </c>
      <c r="AD96" t="str">
        <f ca="1">IF(E96="4",   IF( A96="","",IF(OR(F96="1",H96="1",I96="1"),"","COALESCE (CAST(" &amp; HELPER!$B$94 &amp; "."  &amp;A96&amp;" as varchar(" &amp; Options!$B$49&amp; ")),'')")),"")</f>
        <v/>
      </c>
      <c r="AE96" t="str">
        <f t="shared" ca="1" si="106"/>
        <v/>
      </c>
      <c r="AF96" t="str">
        <f ca="1">IF(AE96&lt;&gt;"", HELPER!$B$93 &amp;  "." &amp; AE96,"")</f>
        <v/>
      </c>
      <c r="AG96" t="str">
        <f ca="1">IF(AE96&lt;&gt;"", HELPER!$B$94 &amp; "." &amp; AE96,"")</f>
        <v/>
      </c>
      <c r="AH96" t="str">
        <f t="shared" ca="1" si="130"/>
        <v/>
      </c>
      <c r="AI96" t="str">
        <f t="shared" ca="1" si="107"/>
        <v/>
      </c>
      <c r="AJ96" t="str">
        <f t="shared" ca="1" si="108"/>
        <v/>
      </c>
      <c r="AK96" t="str">
        <f ca="1">IF(E96="4", HELPER!$B$94 &amp;  "." &amp; A96,"")</f>
        <v/>
      </c>
      <c r="AL96" t="str">
        <f ca="1">IF(E96="4", HELPER!$B$93 &amp;  "." &amp; A96,"")</f>
        <v/>
      </c>
      <c r="AM96" t="str">
        <f t="shared" ca="1" si="109"/>
        <v/>
      </c>
      <c r="AN96" t="str">
        <f t="shared" ca="1" si="110"/>
        <v/>
      </c>
      <c r="AO96" t="str">
        <f ca="1">IF(A96&lt;&gt;"", IF(OR(F96="1",H96="1",I96="1"),""," "&amp; HELPER!$B$94 &amp; "." &amp; A96),"")</f>
        <v/>
      </c>
      <c r="AP96" t="str">
        <f t="shared" ca="1" si="111"/>
        <v/>
      </c>
      <c r="AQ96" t="str">
        <f t="shared" ca="1" si="136"/>
        <v/>
      </c>
      <c r="AS96" t="str">
        <f ca="1">IF(A96="","",  HELPER!$B$94 &amp;  "." &amp; A96)</f>
        <v/>
      </c>
      <c r="AT96" t="str">
        <f t="shared" ca="1" si="112"/>
        <v/>
      </c>
      <c r="AU96" t="str">
        <f t="shared" ca="1" si="113"/>
        <v/>
      </c>
      <c r="AV96" s="190" t="str">
        <f t="shared" ca="1" si="114"/>
        <v/>
      </c>
      <c r="AW96" t="str">
        <f t="shared" ca="1" si="115"/>
        <v/>
      </c>
      <c r="AY96" t="str">
        <f t="shared" ca="1" si="116"/>
        <v/>
      </c>
      <c r="BF96" t="str">
        <f t="shared" ca="1" si="117"/>
        <v/>
      </c>
      <c r="BH96" s="285" t="str">
        <f t="shared" ca="1" si="131"/>
        <v/>
      </c>
      <c r="BI96" t="str">
        <f t="shared" ca="1" si="118"/>
        <v/>
      </c>
      <c r="BJ96" t="str">
        <f t="shared" ca="1" si="119"/>
        <v/>
      </c>
      <c r="BK96" t="str">
        <f t="shared" ca="1" si="132"/>
        <v/>
      </c>
      <c r="BM96" t="str">
        <f t="shared" ca="1" si="133"/>
        <v/>
      </c>
      <c r="BN96" t="str">
        <f t="shared" ca="1" si="134"/>
        <v/>
      </c>
      <c r="BO96" t="str">
        <f t="shared" ca="1" si="120"/>
        <v/>
      </c>
      <c r="BP96" t="b">
        <f ca="1">COUNTIF(COLHELPER!A96:'COLHELPER'!A96,COLHELPER!A96)&gt;1</f>
        <v>0</v>
      </c>
      <c r="BQ96">
        <f t="shared" ca="1" si="121"/>
        <v>0</v>
      </c>
      <c r="BR96" s="290" t="str">
        <f t="shared" ca="1" si="137"/>
        <v/>
      </c>
      <c r="BS96" t="str">
        <f t="shared" ca="1" si="122"/>
        <v/>
      </c>
      <c r="BT96" t="str">
        <f t="shared" ca="1" si="135"/>
        <v/>
      </c>
      <c r="BU96" t="str">
        <f t="shared" ca="1" si="123"/>
        <v/>
      </c>
      <c r="BV96">
        <f t="shared" ca="1" si="124"/>
        <v>0</v>
      </c>
      <c r="BW96" t="str">
        <f t="shared" ca="1" si="125"/>
        <v/>
      </c>
      <c r="BX96" t="str">
        <f t="shared" ca="1" si="126"/>
        <v/>
      </c>
      <c r="BY96" t="str">
        <f ca="1">IF(R96="","",IF(R96&gt;Options!$B$3,"ALTER TABLE "&amp;HELPER!$B$4&amp;" ADD COLUMNS ("&amp;A96&amp;" "&amp;C96&amp;")",""))</f>
        <v/>
      </c>
      <c r="BZ96" t="str">
        <f ca="1">IF(R96="","",IF(R96&gt;Options!$B$3,A96,""))</f>
        <v/>
      </c>
      <c r="CA96" t="str">
        <f ca="1">IF(R96="","",IF(R96&gt;Options!$B$3,B96,""))</f>
        <v/>
      </c>
      <c r="CB96" t="str">
        <f t="shared" ca="1" si="127"/>
        <v/>
      </c>
      <c r="CC96">
        <f t="shared" ca="1" si="128"/>
        <v>0</v>
      </c>
      <c r="CD96" t="str">
        <f ca="1">IF(J96="","",Options!$B$23 &amp; "." &amp; J96)</f>
        <v/>
      </c>
    </row>
    <row r="97" spans="1:82">
      <c r="A97" s="161" t="str">
        <f t="array" aca="1" ref="A97" ca="1">IF(TRIM(INDIRECT("Columns!A97")) ="","",TRIM(INDIRECT("Columns!A97")))</f>
        <v/>
      </c>
      <c r="B97" s="161" t="str">
        <f t="shared" ca="1" si="96"/>
        <v/>
      </c>
      <c r="C97" s="161" t="str">
        <f t="shared" ca="1" si="97"/>
        <v/>
      </c>
      <c r="D97" s="161" t="str">
        <f t="shared" ca="1" si="98"/>
        <v/>
      </c>
      <c r="E97" s="161" t="str">
        <f t="array" aca="1" ref="E97" ca="1">IF(TRIM(INDIRECT("Columns!E97"))="","",TRIM(INDIRECT("Columns!E97")))</f>
        <v/>
      </c>
      <c r="F97" s="161" t="str">
        <f t="array" aca="1" ref="F97" ca="1">IF(TRIM(INDIRECT("Columns!G97"))="","",TRIM(INDIRECT("Columns!G97")))</f>
        <v/>
      </c>
      <c r="G97" s="161" t="str">
        <f t="array" aca="1" ref="G97" ca="1">IF(TRIM(INDIRECT("Columns!F97"))="","",TRIM(INDIRECT("Columns!F97")))</f>
        <v/>
      </c>
      <c r="H97" s="161" t="str">
        <f t="array" aca="1" ref="H97" ca="1">IF(TRIM(INDIRECT("Columns!H97"))="","",TRIM(INDIRECT("Columns!H97")))</f>
        <v/>
      </c>
      <c r="I97" s="161" t="str">
        <f t="array" aca="1" ref="I97" ca="1">IF(TRIM(INDIRECT("Columns!I97"))="","",TRIM(INDIRECT("Columns!I97")))</f>
        <v/>
      </c>
      <c r="J97" s="161" t="str">
        <f t="array" aca="1" ref="J97" ca="1">IF(TRIM(INDIRECT("Columns!J97"))="","",TRIM(INDIRECT("Columns!J97")))</f>
        <v/>
      </c>
      <c r="K97" s="161" t="str">
        <f t="array" aca="1" ref="K97" ca="1">IF(TRIM(INDIRECT("Columns!K97"))="","",TRIM(INDIRECT("Columns!K97")))</f>
        <v/>
      </c>
      <c r="L97" s="161" t="str">
        <f t="array" aca="1" ref="L97" ca="1">IF(TRIM(INDIRECT("Columns!L97"))="","",TRIM(INDIRECT("Columns!L97")))</f>
        <v/>
      </c>
      <c r="M97" s="161" t="str">
        <f t="array" aca="1" ref="M97" ca="1">IF(TRIM(INDIRECT("Columns!M97"))="","",TRIM(INDIRECT("Columns!M97")))</f>
        <v/>
      </c>
      <c r="N97" s="161" t="str">
        <f t="array" aca="1" ref="N97" ca="1">IF(TRIM(INDIRECT("Columns!N97"))="","",TRIM(INDIRECT("Columns!N97")))</f>
        <v/>
      </c>
      <c r="O97" s="227" t="str">
        <f t="array" aca="1" ref="O97" ca="1">IF(TRIM(INDIRECT("Columns!B97"))="","",TRIM(INDIRECT("Columns!B97")))</f>
        <v/>
      </c>
      <c r="P97" s="227" t="str">
        <f t="array" aca="1" ref="P97" ca="1">IF(TRIM(INDIRECT("Columns!C97"))="","",TRIM(INDIRECT("Columns!C97")))</f>
        <v/>
      </c>
      <c r="Q97" s="227" t="str">
        <f t="array" aca="1" ref="Q97" ca="1">IF(TRIM(INDIRECT("Columns!D97"))="","",TRIM(INDIRECT("Columns!D97")))</f>
        <v/>
      </c>
      <c r="R97" s="227" t="str">
        <f t="array" aca="1" ref="R97" ca="1">IF(TRIM(INDIRECT("Columns!O97"))="","",TRIM(INDIRECT("Columns!O97")))</f>
        <v/>
      </c>
      <c r="S97" t="str">
        <f t="shared" ca="1" si="99"/>
        <v/>
      </c>
      <c r="T97" t="str">
        <f t="shared" ca="1" si="100"/>
        <v/>
      </c>
      <c r="U97" t="str">
        <f t="shared" ca="1" si="101"/>
        <v/>
      </c>
      <c r="V97" t="str">
        <f t="shared" ca="1" si="102"/>
        <v/>
      </c>
      <c r="W97" t="str">
        <f t="shared" ca="1" si="103"/>
        <v/>
      </c>
      <c r="X97" t="str">
        <f t="shared" ca="1" si="104"/>
        <v/>
      </c>
      <c r="Y97" t="str">
        <f t="shared" ca="1" si="105"/>
        <v/>
      </c>
      <c r="Z97" t="str">
        <f t="shared" ca="1" si="129"/>
        <v/>
      </c>
      <c r="AA97" t="str">
        <f ca="1">IF(E97="1",   IF( A97="","",IF(OR(F97="1",H97="1",I97="1"),"","COALESCE (CAST("&amp;A97&amp;" as varchar(" &amp; Options!$B$49&amp; ")),'')")),"")</f>
        <v/>
      </c>
      <c r="AB97" t="str">
        <f ca="1">IF(E97="1", IF(C97="string",  IF( A97="","",IF(OR(F97="1",H97="1",I97="1"),"","COALESCE (CAST(lower("&amp;A97&amp;") as varchar(" &amp;Options!$B$49 &amp; ")),'')")),AA97),"")</f>
        <v/>
      </c>
      <c r="AC97" t="str">
        <f ca="1">IF(E97="4",   IF( A97="","",IF(OR(F97="1",H97="1",I97="1"),"","COALESCE (CAST("  &amp;A97&amp;" as varchar(" &amp; Options!$B$49&amp; ")),'')")),"")</f>
        <v/>
      </c>
      <c r="AD97" t="str">
        <f ca="1">IF(E97="4",   IF( A97="","",IF(OR(F97="1",H97="1",I97="1"),"","COALESCE (CAST(" &amp; HELPER!$B$94 &amp; "."  &amp;A97&amp;" as varchar(" &amp; Options!$B$49&amp; ")),'')")),"")</f>
        <v/>
      </c>
      <c r="AE97" t="str">
        <f t="shared" ca="1" si="106"/>
        <v/>
      </c>
      <c r="AF97" t="str">
        <f ca="1">IF(AE97&lt;&gt;"", HELPER!$B$93 &amp;  "." &amp; AE97,"")</f>
        <v/>
      </c>
      <c r="AG97" t="str">
        <f ca="1">IF(AE97&lt;&gt;"", HELPER!$B$94 &amp; "." &amp; AE97,"")</f>
        <v/>
      </c>
      <c r="AH97" t="str">
        <f t="shared" ca="1" si="130"/>
        <v/>
      </c>
      <c r="AI97" t="str">
        <f t="shared" ca="1" si="107"/>
        <v/>
      </c>
      <c r="AJ97" t="str">
        <f t="shared" ca="1" si="108"/>
        <v/>
      </c>
      <c r="AK97" t="str">
        <f ca="1">IF(E97="4", HELPER!$B$94 &amp;  "." &amp; A97,"")</f>
        <v/>
      </c>
      <c r="AL97" t="str">
        <f ca="1">IF(E97="4", HELPER!$B$93 &amp;  "." &amp; A97,"")</f>
        <v/>
      </c>
      <c r="AM97" t="str">
        <f t="shared" ca="1" si="109"/>
        <v/>
      </c>
      <c r="AN97" t="str">
        <f t="shared" ca="1" si="110"/>
        <v/>
      </c>
      <c r="AO97" t="str">
        <f ca="1">IF(A97&lt;&gt;"", IF(OR(F97="1",H97="1",I97="1"),""," "&amp; HELPER!$B$94 &amp; "." &amp; A97),"")</f>
        <v/>
      </c>
      <c r="AP97" t="str">
        <f t="shared" ca="1" si="111"/>
        <v/>
      </c>
      <c r="AQ97" t="str">
        <f t="shared" ca="1" si="136"/>
        <v/>
      </c>
      <c r="AS97" t="str">
        <f ca="1">IF(A97="","",  HELPER!$B$94 &amp;  "." &amp; A97)</f>
        <v/>
      </c>
      <c r="AT97" t="str">
        <f t="shared" ca="1" si="112"/>
        <v/>
      </c>
      <c r="AU97" t="str">
        <f t="shared" ca="1" si="113"/>
        <v/>
      </c>
      <c r="AV97" s="190" t="str">
        <f t="shared" ca="1" si="114"/>
        <v/>
      </c>
      <c r="AW97" t="str">
        <f t="shared" ca="1" si="115"/>
        <v/>
      </c>
      <c r="AY97" t="str">
        <f t="shared" ca="1" si="116"/>
        <v/>
      </c>
      <c r="BF97" t="str">
        <f t="shared" ca="1" si="117"/>
        <v/>
      </c>
      <c r="BH97" s="285" t="str">
        <f t="shared" ca="1" si="131"/>
        <v/>
      </c>
      <c r="BI97" t="str">
        <f t="shared" ca="1" si="118"/>
        <v/>
      </c>
      <c r="BJ97" t="str">
        <f t="shared" ca="1" si="119"/>
        <v/>
      </c>
      <c r="BK97" t="str">
        <f t="shared" ca="1" si="132"/>
        <v/>
      </c>
      <c r="BM97" t="str">
        <f t="shared" ca="1" si="133"/>
        <v/>
      </c>
      <c r="BN97" t="str">
        <f t="shared" ca="1" si="134"/>
        <v/>
      </c>
      <c r="BO97" t="str">
        <f t="shared" ca="1" si="120"/>
        <v/>
      </c>
      <c r="BP97" t="b">
        <f ca="1">COUNTIF(COLHELPER!A97:'COLHELPER'!A97,COLHELPER!A97)&gt;1</f>
        <v>0</v>
      </c>
      <c r="BQ97">
        <f t="shared" ca="1" si="121"/>
        <v>0</v>
      </c>
      <c r="BR97" s="290" t="str">
        <f t="shared" ca="1" si="137"/>
        <v/>
      </c>
      <c r="BS97" t="str">
        <f t="shared" ca="1" si="122"/>
        <v/>
      </c>
      <c r="BT97" t="str">
        <f t="shared" ca="1" si="135"/>
        <v/>
      </c>
      <c r="BU97" t="str">
        <f t="shared" ca="1" si="123"/>
        <v/>
      </c>
      <c r="BV97">
        <f t="shared" ca="1" si="124"/>
        <v>0</v>
      </c>
      <c r="BW97" t="str">
        <f t="shared" ca="1" si="125"/>
        <v/>
      </c>
      <c r="BX97" t="str">
        <f t="shared" ca="1" si="126"/>
        <v/>
      </c>
      <c r="BY97" t="str">
        <f ca="1">IF(R97="","",IF(R97&gt;Options!$B$3,"ALTER TABLE "&amp;HELPER!$B$4&amp;" ADD COLUMNS ("&amp;A97&amp;" "&amp;C97&amp;")",""))</f>
        <v/>
      </c>
      <c r="BZ97" t="str">
        <f ca="1">IF(R97="","",IF(R97&gt;Options!$B$3,A97,""))</f>
        <v/>
      </c>
      <c r="CA97" t="str">
        <f ca="1">IF(R97="","",IF(R97&gt;Options!$B$3,B97,""))</f>
        <v/>
      </c>
      <c r="CB97" t="str">
        <f t="shared" ca="1" si="127"/>
        <v/>
      </c>
      <c r="CC97">
        <f t="shared" ca="1" si="128"/>
        <v>0</v>
      </c>
      <c r="CD97" t="str">
        <f ca="1">IF(J97="","",Options!$B$23 &amp; "." &amp; J97)</f>
        <v/>
      </c>
    </row>
    <row r="98" spans="1:82">
      <c r="A98" s="161" t="str">
        <f t="array" aca="1" ref="A98" ca="1">IF(TRIM(INDIRECT("Columns!A98")) ="","",TRIM(INDIRECT("Columns!A98")))</f>
        <v/>
      </c>
      <c r="B98" s="161" t="str">
        <f t="shared" ref="B98:B129" ca="1" si="138">IF(I98="1","",IF(O98="",IF(G98="",A98,G98 &amp; " AS " &amp; A98),O98))</f>
        <v/>
      </c>
      <c r="C98" s="161" t="str">
        <f t="shared" ref="C98:C129" ca="1" si="139">IF(I98="1","bigint",P98)</f>
        <v/>
      </c>
      <c r="D98" s="161" t="str">
        <f t="shared" ref="D98:D129" ca="1" si="140">IF(Q98 ="",C98,Q98)</f>
        <v/>
      </c>
      <c r="E98" s="161" t="str">
        <f t="array" aca="1" ref="E98" ca="1">IF(TRIM(INDIRECT("Columns!E98"))="","",TRIM(INDIRECT("Columns!E98")))</f>
        <v/>
      </c>
      <c r="F98" s="161" t="str">
        <f t="array" aca="1" ref="F98" ca="1">IF(TRIM(INDIRECT("Columns!G98"))="","",TRIM(INDIRECT("Columns!G98")))</f>
        <v/>
      </c>
      <c r="G98" s="161" t="str">
        <f t="array" aca="1" ref="G98" ca="1">IF(TRIM(INDIRECT("Columns!F98"))="","",TRIM(INDIRECT("Columns!F98")))</f>
        <v/>
      </c>
      <c r="H98" s="161" t="str">
        <f t="array" aca="1" ref="H98" ca="1">IF(TRIM(INDIRECT("Columns!H98"))="","",TRIM(INDIRECT("Columns!H98")))</f>
        <v/>
      </c>
      <c r="I98" s="161" t="str">
        <f t="array" aca="1" ref="I98" ca="1">IF(TRIM(INDIRECT("Columns!I98"))="","",TRIM(INDIRECT("Columns!I98")))</f>
        <v/>
      </c>
      <c r="J98" s="161" t="str">
        <f t="array" aca="1" ref="J98" ca="1">IF(TRIM(INDIRECT("Columns!J98"))="","",TRIM(INDIRECT("Columns!J98")))</f>
        <v/>
      </c>
      <c r="K98" s="161" t="str">
        <f t="array" aca="1" ref="K98" ca="1">IF(TRIM(INDIRECT("Columns!K98"))="","",TRIM(INDIRECT("Columns!K98")))</f>
        <v/>
      </c>
      <c r="L98" s="161" t="str">
        <f t="array" aca="1" ref="L98" ca="1">IF(TRIM(INDIRECT("Columns!L98"))="","",TRIM(INDIRECT("Columns!L98")))</f>
        <v/>
      </c>
      <c r="M98" s="161" t="str">
        <f t="array" aca="1" ref="M98" ca="1">IF(TRIM(INDIRECT("Columns!M98"))="","",TRIM(INDIRECT("Columns!M98")))</f>
        <v/>
      </c>
      <c r="N98" s="161" t="str">
        <f t="array" aca="1" ref="N98" ca="1">IF(TRIM(INDIRECT("Columns!N98"))="","",TRIM(INDIRECT("Columns!N98")))</f>
        <v/>
      </c>
      <c r="O98" s="227" t="str">
        <f t="array" aca="1" ref="O98" ca="1">IF(TRIM(INDIRECT("Columns!B98"))="","",TRIM(INDIRECT("Columns!B98")))</f>
        <v/>
      </c>
      <c r="P98" s="227" t="str">
        <f t="array" aca="1" ref="P98" ca="1">IF(TRIM(INDIRECT("Columns!C98"))="","",TRIM(INDIRECT("Columns!C98")))</f>
        <v/>
      </c>
      <c r="Q98" s="227" t="str">
        <f t="array" aca="1" ref="Q98" ca="1">IF(TRIM(INDIRECT("Columns!D98"))="","",TRIM(INDIRECT("Columns!D98")))</f>
        <v/>
      </c>
      <c r="R98" s="227" t="str">
        <f t="array" aca="1" ref="R98" ca="1">IF(TRIM(INDIRECT("Columns!O98"))="","",TRIM(INDIRECT("Columns!O98")))</f>
        <v/>
      </c>
      <c r="S98" t="str">
        <f t="shared" ref="S98:S129" ca="1" si="141">IF(A98="","",A98 &amp; " " &amp; IF(C98="array&lt;varchar&gt;","array&lt;string&gt;",C98))</f>
        <v/>
      </c>
      <c r="T98" t="str">
        <f t="shared" ref="T98:T129" ca="1" si="142">IF(AND(H98="1",I98=""),B98,"")</f>
        <v/>
      </c>
      <c r="U98" t="str">
        <f t="shared" ref="U98:U129" ca="1" si="143">IF(AND(H98="1",I98=""),IF(G98="",B98,A98),"")</f>
        <v/>
      </c>
      <c r="V98" t="str">
        <f t="shared" ref="V98:V129" ca="1" si="144">IF(A98="","",IF(F98&lt;&gt;"1",S98,""))</f>
        <v/>
      </c>
      <c r="W98" t="str">
        <f t="shared" ref="W98:W129" ca="1" si="145">IF(I98="1",A98&amp;"_history bigint",IF(OR(E98="4"),S98,""))</f>
        <v/>
      </c>
      <c r="X98" t="str">
        <f t="shared" ref="X98:X129" ca="1" si="146">IF(I98="1",A98&amp;"_history",IF(OR(E98="4"),A98,""))</f>
        <v/>
      </c>
      <c r="Y98" t="str">
        <f t="shared" ref="Y98:Y129" ca="1" si="147">IF(F98="1",A98 &amp; " " &amp; C98,"" )</f>
        <v/>
      </c>
      <c r="Z98" t="str">
        <f ca="1">IF(A98="","", IF(F98="1",B98,""  ))</f>
        <v/>
      </c>
      <c r="AA98" t="str">
        <f ca="1">IF(E98="1",   IF( A98="","",IF(OR(F98="1",H98="1",I98="1"),"","COALESCE (CAST("&amp;A98&amp;" as varchar(" &amp; Options!$B$49&amp; ")),'')")),"")</f>
        <v/>
      </c>
      <c r="AB98" t="str">
        <f ca="1">IF(E98="1", IF(C98="string",  IF( A98="","",IF(OR(F98="1",H98="1",I98="1"),"","COALESCE (CAST(lower("&amp;A98&amp;") as varchar(" &amp;Options!$B$49 &amp; ")),'')")),AA98),"")</f>
        <v/>
      </c>
      <c r="AC98" t="str">
        <f ca="1">IF(E98="4",   IF( A98="","",IF(OR(F98="1",H98="1",I98="1"),"","COALESCE (CAST("  &amp;A98&amp;" as varchar(" &amp; Options!$B$49&amp; ")),'')")),"")</f>
        <v/>
      </c>
      <c r="AD98" t="str">
        <f ca="1">IF(E98="4",   IF( A98="","",IF(OR(F98="1",H98="1",I98="1"),"","COALESCE (CAST(" &amp; HELPER!$B$94 &amp; "."  &amp;A98&amp;" as varchar(" &amp; Options!$B$49&amp; ")),'')")),"")</f>
        <v/>
      </c>
      <c r="AE98" t="str">
        <f t="shared" ref="AE98:AE129" ca="1" si="148">IF(H98="1",A98,"")</f>
        <v/>
      </c>
      <c r="AF98" t="str">
        <f ca="1">IF(AE98&lt;&gt;"", HELPER!$B$93 &amp;  "." &amp; AE98,"")</f>
        <v/>
      </c>
      <c r="AG98" t="str">
        <f ca="1">IF(AE98&lt;&gt;"", HELPER!$B$94 &amp; "." &amp; AE98,"")</f>
        <v/>
      </c>
      <c r="AH98" t="str">
        <f t="shared" ca="1" si="130"/>
        <v/>
      </c>
      <c r="AI98" t="str">
        <f t="shared" ref="AI98:AI129" ca="1" si="149">IF(E98="4","d." &amp; A98 &amp; " = m." &amp; A98,"")</f>
        <v/>
      </c>
      <c r="AJ98" t="str">
        <f t="shared" ref="AJ98:AJ129" ca="1" si="150">IF(E98="4", A98,"")</f>
        <v/>
      </c>
      <c r="AK98" t="str">
        <f ca="1">IF(E98="4", HELPER!$B$94 &amp;  "." &amp; A98,"")</f>
        <v/>
      </c>
      <c r="AL98" t="str">
        <f ca="1">IF(E98="4", HELPER!$B$93 &amp;  "." &amp; A98,"")</f>
        <v/>
      </c>
      <c r="AM98" t="str">
        <f t="shared" ref="AM98:AM129" ca="1" si="151">IF(E98="4",AL98&amp;" = "&amp;AU98,"")</f>
        <v/>
      </c>
      <c r="AN98" t="str">
        <f t="shared" ref="AN98:AN129" ca="1" si="152">IF(A98="","", IF(OR(F98="1",H98="1",I98="1"),"", A98))</f>
        <v/>
      </c>
      <c r="AO98" t="str">
        <f ca="1">IF(A98&lt;&gt;"", IF(OR(F98="1",H98="1",I98="1"),""," "&amp; HELPER!$B$94 &amp; "." &amp; A98),"")</f>
        <v/>
      </c>
      <c r="AP98" t="str">
        <f t="shared" ref="AP98:AP129" ca="1" si="153">IF(A98="","", IF(E98="2","", IF(AN98="","",AN98 &amp; " = " &amp; AO98)))</f>
        <v/>
      </c>
      <c r="AQ98" t="str">
        <f t="shared" ca="1" si="136"/>
        <v/>
      </c>
      <c r="AS98" t="str">
        <f ca="1">IF(A98="","",  HELPER!$B$94 &amp;  "." &amp; A98)</f>
        <v/>
      </c>
      <c r="AT98" t="str">
        <f t="shared" ref="AT98:AT129" ca="1" si="154">IF(I98="1",A98,"")</f>
        <v/>
      </c>
      <c r="AU98" t="str">
        <f t="shared" ref="AU98:AU129" ca="1" si="155">IF(C98="string","COALESCE(" &amp; AS98 &amp; ",'')",AS98)</f>
        <v/>
      </c>
      <c r="AV98" s="190" t="str">
        <f t="shared" ref="AV98:AV129" ca="1" si="156">IF(OR(H98="1",I98="1",E98="4",F98="1"),A98,"")</f>
        <v/>
      </c>
      <c r="AW98" t="str">
        <f t="shared" ref="AW98:AW129" ca="1" si="157">IF(OR(H98="1",I98="1",E98="4",F98="1"),AU98,"")</f>
        <v/>
      </c>
      <c r="AY98" t="str">
        <f t="shared" ref="AY98:AY129" ca="1" si="158">IF(A98="","",IF(I98="1","", IF(B98="",A98, B98) &amp;" AS "&amp;A98))</f>
        <v/>
      </c>
      <c r="BF98" t="str">
        <f t="shared" ref="BF98:BF129" ca="1" si="159">IF(A98="","",IF(I98="1","",B98&amp;" AS "&amp;A98))</f>
        <v/>
      </c>
      <c r="BH98" s="285" t="str">
        <f ca="1">IF(G98="",   IF(B98="","","COALESCE(" &amp;  B98 &amp; "," &amp; IF(C98="string","''",0  ) &amp; ") AS " &amp; A98),G98 &amp; " AS " &amp;A98 )</f>
        <v/>
      </c>
      <c r="BI98" t="str">
        <f t="shared" ref="BI98:BI129" ca="1" si="160">IF(G98="", IF(A98="","",IF(I98="1","", IF(B98="","f." &amp; A98, "f." &amp; B98) &amp;" AS "&amp;A98)),BH98)</f>
        <v/>
      </c>
      <c r="BJ98" t="str">
        <f t="shared" ref="BJ98:BJ129" ca="1" si="161">IF(A98="","",IF(I98="1","-1",IF(C98="string","'missing'","0")))</f>
        <v/>
      </c>
      <c r="BK98" t="str">
        <f ca="1">IF(A98="","", IF(OR(F98="1",E98="4", I98="1",H98="1"),  IF(I98="1","-1",IF(C98="string","'missing'","0")),""))</f>
        <v/>
      </c>
      <c r="BM98" t="str">
        <f ca="1">IF(A98="","",IF(I98="1","",IF(C98&lt;&gt;D98,  IF(AND(D98="string",C98="timestamp"),"cast(from_iso8601_timestamp(" &amp; BO98 &amp; ") as timestamp) AS " &amp; A98, IF(AND(D98="string",C98="date"),"cast( from_iso8601_timestamp(" &amp; BO98 &amp;") as date) AS " &amp; A98,"")),BO98 &amp; " AS " &amp; A98)))</f>
        <v/>
      </c>
      <c r="BN98" t="str">
        <f ca="1">IF(A98="","",IF(I98="1","",IF(C98&lt;&gt;D98,  IF(AND(D98="string",C98="timestamp"),"cast(from_iso8601_timestamp(" &amp; BO98 &amp; ") as timestamp) AS " &amp; A98, IF(AND(D98="string",C98="date"),"cast( from_iso8601_timestamp(" &amp; BO98 &amp;") as date) AS " &amp; A98,"")),BO98 &amp; " AS " &amp; A98)))</f>
        <v/>
      </c>
      <c r="BO98" t="str">
        <f t="shared" ref="BO98:BO129" ca="1" si="162">IF(G98="", IF(B98="","","f." &amp; B98),G98)</f>
        <v/>
      </c>
      <c r="BP98" t="b">
        <f ca="1">COUNTIF(COLHELPER!A98:'COLHELPER'!A98,COLHELPER!A98)&gt;1</f>
        <v>0</v>
      </c>
      <c r="BQ98">
        <f t="shared" ref="BQ98:BQ129" ca="1" si="163">IF(BP98=TRUE,1,0)</f>
        <v>0</v>
      </c>
      <c r="BR98" s="290" t="str">
        <f t="shared" ca="1" si="137"/>
        <v/>
      </c>
      <c r="BS98" t="str">
        <f t="shared" ref="BS98:BS129" ca="1" si="164">IF(F98="1",SUBSTITUTE(BR98,"'",""),"")</f>
        <v/>
      </c>
      <c r="BT98" t="str">
        <f ca="1">IF(N98="","", SUBSTITUTE( SUBSTITUTE(BR98,"[:date_yyyy_mm_dd]",  N98),"[:date_yyymm]",N98))</f>
        <v/>
      </c>
      <c r="BU98" t="str">
        <f t="shared" ref="BU98:BU129" ca="1" si="165">IF(N98="","",SUBSTITUTE(BS98,"[:date_yyyy_mm_dd]",SUBSTITUTE(N98,"'","")))</f>
        <v/>
      </c>
      <c r="BV98">
        <f t="shared" ref="BV98:BV129" ca="1" si="166">IF(A97="",0,1)</f>
        <v>0</v>
      </c>
      <c r="BW98" t="str">
        <f t="shared" ref="BW98:BW129" ca="1" si="167">IF(AE98="","", "t3." &amp;AE98 &amp; " = t4." &amp; AE98)</f>
        <v/>
      </c>
      <c r="BX98" t="str">
        <f t="shared" ref="BX98:BX129" ca="1" si="168">IF(AE98="","", "t3." &amp;AE98 )</f>
        <v/>
      </c>
      <c r="BY98" t="str">
        <f ca="1">IF(R98="","",IF(R98&gt;Options!$B$3,"ALTER TABLE "&amp;HELPER!$B$4&amp;" ADD COLUMNS ("&amp;A98&amp;" "&amp;C98&amp;")",""))</f>
        <v/>
      </c>
      <c r="BZ98" t="str">
        <f ca="1">IF(R98="","",IF(R98&gt;Options!$B$3,A98,""))</f>
        <v/>
      </c>
      <c r="CA98" t="str">
        <f ca="1">IF(R98="","",IF(R98&gt;Options!$B$3,B98,""))</f>
        <v/>
      </c>
      <c r="CB98" t="str">
        <f t="shared" ref="CB98:CB129" ca="1" si="169">IF(A98&lt;&gt;"","&lt;tr&gt;&lt;td&gt;" &amp; _xlfn.TEXTJOIN("&lt;td&gt;",FALSE,A98:K98) &amp; "&lt;/td&gt;&lt;/tr&gt;","")</f>
        <v/>
      </c>
      <c r="CC98">
        <f t="shared" ref="CC98:CC129" ca="1" si="170">IF(E98="4",1,0)</f>
        <v>0</v>
      </c>
      <c r="CD98" t="str">
        <f ca="1">IF(J98="","",Options!$B$23 &amp; "." &amp; J98)</f>
        <v/>
      </c>
    </row>
    <row r="99" spans="1:82">
      <c r="A99" s="161" t="str">
        <f t="array" aca="1" ref="A99" ca="1">IF(TRIM(INDIRECT("Columns!A99")) ="","",TRIM(INDIRECT("Columns!A99")))</f>
        <v/>
      </c>
      <c r="B99" s="161" t="str">
        <f t="shared" ca="1" si="138"/>
        <v/>
      </c>
      <c r="C99" s="161" t="str">
        <f t="shared" ca="1" si="139"/>
        <v/>
      </c>
      <c r="D99" s="161" t="str">
        <f t="shared" ca="1" si="140"/>
        <v/>
      </c>
      <c r="E99" s="161" t="str">
        <f t="array" aca="1" ref="E99" ca="1">IF(TRIM(INDIRECT("Columns!E99"))="","",TRIM(INDIRECT("Columns!E99")))</f>
        <v/>
      </c>
      <c r="F99" s="161" t="str">
        <f t="array" aca="1" ref="F99" ca="1">IF(TRIM(INDIRECT("Columns!G99"))="","",TRIM(INDIRECT("Columns!G99")))</f>
        <v/>
      </c>
      <c r="G99" s="161" t="str">
        <f t="array" aca="1" ref="G99" ca="1">IF(TRIM(INDIRECT("Columns!F99"))="","",TRIM(INDIRECT("Columns!F99")))</f>
        <v/>
      </c>
      <c r="H99" s="161" t="str">
        <f t="array" aca="1" ref="H99" ca="1">IF(TRIM(INDIRECT("Columns!H99"))="","",TRIM(INDIRECT("Columns!H99")))</f>
        <v/>
      </c>
      <c r="I99" s="161" t="str">
        <f t="array" aca="1" ref="I99" ca="1">IF(TRIM(INDIRECT("Columns!I99"))="","",TRIM(INDIRECT("Columns!I99")))</f>
        <v/>
      </c>
      <c r="J99" s="161" t="str">
        <f t="array" aca="1" ref="J99" ca="1">IF(TRIM(INDIRECT("Columns!J99"))="","",TRIM(INDIRECT("Columns!J99")))</f>
        <v/>
      </c>
      <c r="K99" s="161" t="str">
        <f t="array" aca="1" ref="K99" ca="1">IF(TRIM(INDIRECT("Columns!K99"))="","",TRIM(INDIRECT("Columns!K99")))</f>
        <v/>
      </c>
      <c r="L99" s="161" t="str">
        <f t="array" aca="1" ref="L99" ca="1">IF(TRIM(INDIRECT("Columns!L99"))="","",TRIM(INDIRECT("Columns!L99")))</f>
        <v/>
      </c>
      <c r="M99" s="161" t="str">
        <f t="array" aca="1" ref="M99" ca="1">IF(TRIM(INDIRECT("Columns!M99"))="","",TRIM(INDIRECT("Columns!M99")))</f>
        <v/>
      </c>
      <c r="N99" s="161" t="str">
        <f t="array" aca="1" ref="N99" ca="1">IF(TRIM(INDIRECT("Columns!N99"))="","",TRIM(INDIRECT("Columns!N99")))</f>
        <v/>
      </c>
      <c r="O99" s="227" t="str">
        <f t="array" aca="1" ref="O99" ca="1">IF(TRIM(INDIRECT("Columns!B99"))="","",TRIM(INDIRECT("Columns!B99")))</f>
        <v/>
      </c>
      <c r="P99" s="227" t="str">
        <f t="array" aca="1" ref="P99" ca="1">IF(TRIM(INDIRECT("Columns!C99"))="","",TRIM(INDIRECT("Columns!C99")))</f>
        <v/>
      </c>
      <c r="Q99" s="227" t="str">
        <f t="array" aca="1" ref="Q99" ca="1">IF(TRIM(INDIRECT("Columns!D99"))="","",TRIM(INDIRECT("Columns!D99")))</f>
        <v/>
      </c>
      <c r="R99" s="227" t="str">
        <f t="array" aca="1" ref="R99" ca="1">IF(TRIM(INDIRECT("Columns!O99"))="","",TRIM(INDIRECT("Columns!O99")))</f>
        <v/>
      </c>
      <c r="S99" t="str">
        <f t="shared" ca="1" si="141"/>
        <v/>
      </c>
      <c r="T99" t="str">
        <f t="shared" ca="1" si="142"/>
        <v/>
      </c>
      <c r="U99" t="str">
        <f t="shared" ca="1" si="143"/>
        <v/>
      </c>
      <c r="V99" t="str">
        <f t="shared" ca="1" si="144"/>
        <v/>
      </c>
      <c r="W99" t="str">
        <f t="shared" ca="1" si="145"/>
        <v/>
      </c>
      <c r="X99" t="str">
        <f t="shared" ca="1" si="146"/>
        <v/>
      </c>
      <c r="Y99" t="str">
        <f t="shared" ca="1" si="147"/>
        <v/>
      </c>
      <c r="Z99" t="str">
        <f t="shared" ref="Z99:Z129" ca="1" si="171">IF(A99="","", IF(F99="1",B99,"" ))</f>
        <v/>
      </c>
      <c r="AA99" t="str">
        <f ca="1">IF(E99="1",   IF( A99="","",IF(OR(F99="1",H99="1",I99="1"),"","COALESCE (CAST("&amp;A99&amp;" as varchar(" &amp; Options!$B$49&amp; ")),'')")),"")</f>
        <v/>
      </c>
      <c r="AB99" t="str">
        <f ca="1">IF(E99="1", IF(C99="string",  IF( A99="","",IF(OR(F99="1",H99="1",I99="1"),"","COALESCE (CAST(lower("&amp;A99&amp;") as varchar(" &amp;Options!$B$49 &amp; ")),'')")),AA99),"")</f>
        <v/>
      </c>
      <c r="AC99" t="str">
        <f ca="1">IF(E99="4",   IF( A99="","",IF(OR(F99="1",H99="1",I99="1"),"","COALESCE (CAST("  &amp;A99&amp;" as varchar(" &amp; Options!$B$49&amp; ")),'')")),"")</f>
        <v/>
      </c>
      <c r="AD99" t="str">
        <f ca="1">IF(E99="4",   IF( A99="","",IF(OR(F99="1",H99="1",I99="1"),"","COALESCE (CAST(" &amp; HELPER!$B$94 &amp; "."  &amp;A99&amp;" as varchar(" &amp; Options!$B$49&amp; ")),'')")),"")</f>
        <v/>
      </c>
      <c r="AE99" t="str">
        <f t="shared" ca="1" si="148"/>
        <v/>
      </c>
      <c r="AF99" t="str">
        <f ca="1">IF(AE99&lt;&gt;"", HELPER!$B$93 &amp;  "." &amp; AE99,"")</f>
        <v/>
      </c>
      <c r="AG99" t="str">
        <f ca="1">IF(AE99&lt;&gt;"", HELPER!$B$94 &amp; "." &amp; AE99,"")</f>
        <v/>
      </c>
      <c r="AH99" t="str">
        <f t="shared" ref="AH99:AH130" ca="1" si="172">IF(AE99&lt;&gt;"",AF99&amp;" = "&amp;AU99,"")</f>
        <v/>
      </c>
      <c r="AI99" t="str">
        <f t="shared" ca="1" si="149"/>
        <v/>
      </c>
      <c r="AJ99" t="str">
        <f t="shared" ca="1" si="150"/>
        <v/>
      </c>
      <c r="AK99" t="str">
        <f ca="1">IF(E99="4", HELPER!$B$94 &amp;  "." &amp; A99,"")</f>
        <v/>
      </c>
      <c r="AL99" t="str">
        <f ca="1">IF(E99="4", HELPER!$B$93 &amp;  "." &amp; A99,"")</f>
        <v/>
      </c>
      <c r="AM99" t="str">
        <f t="shared" ca="1" si="151"/>
        <v/>
      </c>
      <c r="AN99" t="str">
        <f t="shared" ca="1" si="152"/>
        <v/>
      </c>
      <c r="AO99" t="str">
        <f ca="1">IF(A99&lt;&gt;"", IF(OR(F99="1",H99="1",I99="1"),""," "&amp; HELPER!$B$94 &amp; "." &amp; A99),"")</f>
        <v/>
      </c>
      <c r="AP99" t="str">
        <f t="shared" ca="1" si="153"/>
        <v/>
      </c>
      <c r="AQ99" t="str">
        <f t="shared" ca="1" si="136"/>
        <v/>
      </c>
      <c r="AS99" t="str">
        <f ca="1">IF(A99="","",  HELPER!$B$94 &amp;  "." &amp; A99)</f>
        <v/>
      </c>
      <c r="AT99" t="str">
        <f t="shared" ca="1" si="154"/>
        <v/>
      </c>
      <c r="AU99" t="str">
        <f t="shared" ca="1" si="155"/>
        <v/>
      </c>
      <c r="AV99" s="190" t="str">
        <f t="shared" ca="1" si="156"/>
        <v/>
      </c>
      <c r="AW99" t="str">
        <f t="shared" ca="1" si="157"/>
        <v/>
      </c>
      <c r="AY99" t="str">
        <f t="shared" ca="1" si="158"/>
        <v/>
      </c>
      <c r="BF99" t="str">
        <f t="shared" ca="1" si="159"/>
        <v/>
      </c>
      <c r="BH99" s="285" t="str">
        <f t="shared" ref="BH99:BH129" ca="1" si="173">IF(G99="", IF(B99="","","COALESCE(" &amp; B99 &amp; "," &amp; IF(C99="string","''",0 ) &amp; ") AS " &amp; A99),G99 &amp; " AS " &amp;A99 )</f>
        <v/>
      </c>
      <c r="BI99" t="str">
        <f t="shared" ca="1" si="160"/>
        <v/>
      </c>
      <c r="BJ99" t="str">
        <f t="shared" ca="1" si="161"/>
        <v/>
      </c>
      <c r="BK99" t="str">
        <f t="shared" ref="BK99:BK129" ca="1" si="174">IF(A99="","", IF(OR(F99="1",E99="4", I99="1",H99="1"), IF(I99="1","-1",IF(C99="string","'missing'","0")),""))</f>
        <v/>
      </c>
      <c r="BM99" t="str">
        <f t="shared" ref="BM99:BM129" ca="1" si="175">IF(A99="","",IF(I99="1","",IF(C99&lt;&gt;D99, IF(AND(D99="string",C99="timestamp"),"cast(from_iso8601_timestamp(" &amp; BO99 &amp; ") as timestamp) AS " &amp; A99, IF(AND(D99="string",C99="date"),"cast( from_iso8601_timestamp(" &amp; BO99 &amp;") as date) AS " &amp; A99,"")),BO99 &amp; " AS " &amp; A99)))</f>
        <v/>
      </c>
      <c r="BN99" t="str">
        <f t="shared" ref="BN99:BN129" ca="1" si="176">IF(A99="","",IF(I99="1","",IF(C99&lt;&gt;D99, IF(AND(D99="string",C99="timestamp"),"cast(from_iso8601_timestamp(" &amp; BO99 &amp; ") as timestamp) AS " &amp; A99, IF(AND(D99="string",C99="date"),"cast( from_iso8601_timestamp(" &amp; BO99 &amp;") as date) AS " &amp; A99,"")),BO99 &amp; " AS " &amp; A99)))</f>
        <v/>
      </c>
      <c r="BO99" t="str">
        <f t="shared" ca="1" si="162"/>
        <v/>
      </c>
      <c r="BP99" t="b">
        <f ca="1">COUNTIF(COLHELPER!A99:'COLHELPER'!A99,COLHELPER!A99)&gt;1</f>
        <v>0</v>
      </c>
      <c r="BQ99">
        <f t="shared" ca="1" si="163"/>
        <v>0</v>
      </c>
      <c r="BR99" s="290" t="str">
        <f t="shared" ca="1" si="137"/>
        <v/>
      </c>
      <c r="BS99" t="str">
        <f t="shared" ca="1" si="164"/>
        <v/>
      </c>
      <c r="BT99" t="str">
        <f t="shared" ref="BT99:BT129" ca="1" si="177">IF(N99="","", SUBSTITUTE( SUBSTITUTE(BR99,"[:date_yyyy_mm_dd]", N99),"[:date_yyymm]",N99))</f>
        <v/>
      </c>
      <c r="BU99" t="str">
        <f t="shared" ca="1" si="165"/>
        <v/>
      </c>
      <c r="BV99">
        <f t="shared" ca="1" si="166"/>
        <v>0</v>
      </c>
      <c r="BW99" t="str">
        <f t="shared" ca="1" si="167"/>
        <v/>
      </c>
      <c r="BX99" t="str">
        <f t="shared" ca="1" si="168"/>
        <v/>
      </c>
      <c r="BY99" t="str">
        <f ca="1">IF(R99="","",IF(R99&gt;Options!$B$3,"ALTER TABLE "&amp;HELPER!$B$4&amp;" ADD COLUMNS ("&amp;A99&amp;" "&amp;C99&amp;")",""))</f>
        <v/>
      </c>
      <c r="BZ99" t="str">
        <f ca="1">IF(R99="","",IF(R99&gt;Options!$B$3,A99,""))</f>
        <v/>
      </c>
      <c r="CA99" t="str">
        <f ca="1">IF(R99="","",IF(R99&gt;Options!$B$3,B99,""))</f>
        <v/>
      </c>
      <c r="CB99" t="str">
        <f t="shared" ca="1" si="169"/>
        <v/>
      </c>
      <c r="CC99">
        <f t="shared" ca="1" si="170"/>
        <v>0</v>
      </c>
      <c r="CD99" t="str">
        <f ca="1">IF(J99="","",Options!$B$23 &amp; "." &amp; J99)</f>
        <v/>
      </c>
    </row>
    <row r="100" spans="1:82">
      <c r="A100" s="161" t="str">
        <f t="array" aca="1" ref="A100" ca="1">IF(TRIM(INDIRECT("Columns!A100")) ="","",TRIM(INDIRECT("Columns!A100")))</f>
        <v/>
      </c>
      <c r="B100" s="161" t="str">
        <f t="shared" ca="1" si="138"/>
        <v/>
      </c>
      <c r="C100" s="161" t="str">
        <f t="shared" ca="1" si="139"/>
        <v/>
      </c>
      <c r="D100" s="161" t="str">
        <f t="shared" ca="1" si="140"/>
        <v/>
      </c>
      <c r="E100" s="161" t="str">
        <f t="array" aca="1" ref="E100" ca="1">IF(TRIM(INDIRECT("Columns!E100"))="","",TRIM(INDIRECT("Columns!E100")))</f>
        <v/>
      </c>
      <c r="F100" s="161" t="str">
        <f t="array" aca="1" ref="F100" ca="1">IF(TRIM(INDIRECT("Columns!G100"))="","",TRIM(INDIRECT("Columns!G100")))</f>
        <v/>
      </c>
      <c r="G100" s="161" t="str">
        <f t="array" aca="1" ref="G100" ca="1">IF(TRIM(INDIRECT("Columns!F100"))="","",TRIM(INDIRECT("Columns!F100")))</f>
        <v/>
      </c>
      <c r="H100" s="161" t="str">
        <f t="array" aca="1" ref="H100" ca="1">IF(TRIM(INDIRECT("Columns!H100"))="","",TRIM(INDIRECT("Columns!H100")))</f>
        <v/>
      </c>
      <c r="I100" s="161" t="str">
        <f t="array" aca="1" ref="I100" ca="1">IF(TRIM(INDIRECT("Columns!I100"))="","",TRIM(INDIRECT("Columns!I100")))</f>
        <v/>
      </c>
      <c r="J100" s="161" t="str">
        <f t="array" aca="1" ref="J100" ca="1">IF(TRIM(INDIRECT("Columns!J100"))="","",TRIM(INDIRECT("Columns!J100")))</f>
        <v/>
      </c>
      <c r="K100" s="161" t="str">
        <f t="array" aca="1" ref="K100" ca="1">IF(TRIM(INDIRECT("Columns!K100"))="","",TRIM(INDIRECT("Columns!K100")))</f>
        <v/>
      </c>
      <c r="L100" s="161" t="str">
        <f t="array" aca="1" ref="L100" ca="1">IF(TRIM(INDIRECT("Columns!L100"))="","",TRIM(INDIRECT("Columns!L100")))</f>
        <v/>
      </c>
      <c r="M100" s="161" t="str">
        <f t="array" aca="1" ref="M100" ca="1">IF(TRIM(INDIRECT("Columns!M100"))="","",TRIM(INDIRECT("Columns!M100")))</f>
        <v/>
      </c>
      <c r="N100" s="161" t="str">
        <f t="array" aca="1" ref="N100" ca="1">IF(TRIM(INDIRECT("Columns!N100"))="","",TRIM(INDIRECT("Columns!N100")))</f>
        <v/>
      </c>
      <c r="O100" s="227" t="str">
        <f t="array" aca="1" ref="O100" ca="1">IF(TRIM(INDIRECT("Columns!B100"))="","",TRIM(INDIRECT("Columns!B100")))</f>
        <v/>
      </c>
      <c r="P100" s="227" t="str">
        <f t="array" aca="1" ref="P100" ca="1">IF(TRIM(INDIRECT("Columns!C100"))="","",TRIM(INDIRECT("Columns!C100")))</f>
        <v/>
      </c>
      <c r="Q100" s="227" t="str">
        <f t="array" aca="1" ref="Q100" ca="1">IF(TRIM(INDIRECT("Columns!D100"))="","",TRIM(INDIRECT("Columns!D100")))</f>
        <v/>
      </c>
      <c r="R100" s="227" t="str">
        <f t="array" aca="1" ref="R100" ca="1">IF(TRIM(INDIRECT("Columns!O100"))="","",TRIM(INDIRECT("Columns!O100")))</f>
        <v/>
      </c>
      <c r="S100" t="str">
        <f t="shared" ca="1" si="141"/>
        <v/>
      </c>
      <c r="T100" t="str">
        <f t="shared" ca="1" si="142"/>
        <v/>
      </c>
      <c r="U100" t="str">
        <f t="shared" ca="1" si="143"/>
        <v/>
      </c>
      <c r="V100" t="str">
        <f t="shared" ca="1" si="144"/>
        <v/>
      </c>
      <c r="W100" t="str">
        <f t="shared" ca="1" si="145"/>
        <v/>
      </c>
      <c r="X100" t="str">
        <f t="shared" ca="1" si="146"/>
        <v/>
      </c>
      <c r="Y100" t="str">
        <f t="shared" ca="1" si="147"/>
        <v/>
      </c>
      <c r="Z100" t="str">
        <f t="shared" ca="1" si="171"/>
        <v/>
      </c>
      <c r="AA100" t="str">
        <f ca="1">IF(E100="1",   IF( A100="","",IF(OR(F100="1",H100="1",I100="1"),"","COALESCE (CAST("&amp;A100&amp;" as varchar(" &amp; Options!$B$49&amp; ")),'')")),"")</f>
        <v/>
      </c>
      <c r="AB100" t="str">
        <f ca="1">IF(E100="1", IF(C100="string",  IF( A100="","",IF(OR(F100="1",H100="1",I100="1"),"","COALESCE (CAST(lower("&amp;A100&amp;") as varchar(" &amp;Options!$B$49 &amp; ")),'')")),AA100),"")</f>
        <v/>
      </c>
      <c r="AC100" t="str">
        <f ca="1">IF(E100="4",   IF( A100="","",IF(OR(F100="1",H100="1",I100="1"),"","COALESCE (CAST("  &amp;A100&amp;" as varchar(" &amp; Options!$B$49&amp; ")),'')")),"")</f>
        <v/>
      </c>
      <c r="AD100" t="str">
        <f ca="1">IF(E100="4",   IF( A100="","",IF(OR(F100="1",H100="1",I100="1"),"","COALESCE (CAST(" &amp; HELPER!$B$94 &amp; "."  &amp;A100&amp;" as varchar(" &amp; Options!$B$49&amp; ")),'')")),"")</f>
        <v/>
      </c>
      <c r="AE100" t="str">
        <f t="shared" ca="1" si="148"/>
        <v/>
      </c>
      <c r="AF100" t="str">
        <f ca="1">IF(AE100&lt;&gt;"", HELPER!$B$93 &amp;  "." &amp; AE100,"")</f>
        <v/>
      </c>
      <c r="AG100" t="str">
        <f ca="1">IF(AE100&lt;&gt;"", HELPER!$B$94 &amp; "." &amp; AE100,"")</f>
        <v/>
      </c>
      <c r="AH100" t="str">
        <f t="shared" ca="1" si="172"/>
        <v/>
      </c>
      <c r="AI100" t="str">
        <f t="shared" ca="1" si="149"/>
        <v/>
      </c>
      <c r="AJ100" t="str">
        <f t="shared" ca="1" si="150"/>
        <v/>
      </c>
      <c r="AK100" t="str">
        <f ca="1">IF(E100="4", HELPER!$B$94 &amp;  "." &amp; A100,"")</f>
        <v/>
      </c>
      <c r="AL100" t="str">
        <f ca="1">IF(E100="4", HELPER!$B$93 &amp;  "." &amp; A100,"")</f>
        <v/>
      </c>
      <c r="AM100" t="str">
        <f t="shared" ca="1" si="151"/>
        <v/>
      </c>
      <c r="AN100" t="str">
        <f t="shared" ca="1" si="152"/>
        <v/>
      </c>
      <c r="AO100" t="str">
        <f ca="1">IF(A100&lt;&gt;"", IF(OR(F100="1",H100="1",I100="1"),""," "&amp; HELPER!$B$94 &amp; "." &amp; A100),"")</f>
        <v/>
      </c>
      <c r="AP100" t="str">
        <f t="shared" ca="1" si="153"/>
        <v/>
      </c>
      <c r="AQ100" t="str">
        <f t="shared" ref="AQ100:AQ131" ca="1" si="178">IF(A100="","", IF(E100="4", IF(AN100="","",AN100 &amp; " = " &amp; AO100),""))</f>
        <v/>
      </c>
      <c r="AS100" t="str">
        <f ca="1">IF(A100="","",  HELPER!$B$94 &amp;  "." &amp; A100)</f>
        <v/>
      </c>
      <c r="AT100" t="str">
        <f t="shared" ca="1" si="154"/>
        <v/>
      </c>
      <c r="AU100" t="str">
        <f t="shared" ca="1" si="155"/>
        <v/>
      </c>
      <c r="AV100" s="190" t="str">
        <f t="shared" ca="1" si="156"/>
        <v/>
      </c>
      <c r="AW100" t="str">
        <f t="shared" ca="1" si="157"/>
        <v/>
      </c>
      <c r="AY100" t="str">
        <f t="shared" ca="1" si="158"/>
        <v/>
      </c>
      <c r="BF100" t="str">
        <f t="shared" ca="1" si="159"/>
        <v/>
      </c>
      <c r="BH100" s="285" t="str">
        <f t="shared" ca="1" si="173"/>
        <v/>
      </c>
      <c r="BI100" t="str">
        <f t="shared" ca="1" si="160"/>
        <v/>
      </c>
      <c r="BJ100" t="str">
        <f t="shared" ca="1" si="161"/>
        <v/>
      </c>
      <c r="BK100" t="str">
        <f t="shared" ca="1" si="174"/>
        <v/>
      </c>
      <c r="BM100" t="str">
        <f t="shared" ca="1" si="175"/>
        <v/>
      </c>
      <c r="BN100" t="str">
        <f t="shared" ca="1" si="176"/>
        <v/>
      </c>
      <c r="BO100" t="str">
        <f t="shared" ca="1" si="162"/>
        <v/>
      </c>
      <c r="BP100" t="b">
        <f ca="1">COUNTIF(COLHELPER!A100:'COLHELPER'!A100,COLHELPER!A100)&gt;1</f>
        <v>0</v>
      </c>
      <c r="BQ100">
        <f t="shared" ca="1" si="163"/>
        <v>0</v>
      </c>
      <c r="BR100" s="290" t="str">
        <f t="shared" ca="1" si="137"/>
        <v/>
      </c>
      <c r="BS100" t="str">
        <f t="shared" ca="1" si="164"/>
        <v/>
      </c>
      <c r="BT100" t="str">
        <f t="shared" ca="1" si="177"/>
        <v/>
      </c>
      <c r="BU100" t="str">
        <f t="shared" ca="1" si="165"/>
        <v/>
      </c>
      <c r="BV100">
        <f t="shared" ca="1" si="166"/>
        <v>0</v>
      </c>
      <c r="BW100" t="str">
        <f t="shared" ca="1" si="167"/>
        <v/>
      </c>
      <c r="BX100" t="str">
        <f t="shared" ca="1" si="168"/>
        <v/>
      </c>
      <c r="BY100" t="str">
        <f ca="1">IF(R100="","",IF(R100&gt;Options!$B$3,"ALTER TABLE "&amp;HELPER!$B$4&amp;" ADD COLUMNS ("&amp;A100&amp;" "&amp;C100&amp;")",""))</f>
        <v/>
      </c>
      <c r="BZ100" t="str">
        <f ca="1">IF(R100="","",IF(R100&gt;Options!$B$3,A100,""))</f>
        <v/>
      </c>
      <c r="CA100" t="str">
        <f ca="1">IF(R100="","",IF(R100&gt;Options!$B$3,B100,""))</f>
        <v/>
      </c>
      <c r="CB100" t="str">
        <f t="shared" ca="1" si="169"/>
        <v/>
      </c>
      <c r="CC100">
        <f t="shared" ca="1" si="170"/>
        <v>0</v>
      </c>
      <c r="CD100" t="str">
        <f ca="1">IF(J100="","",Options!$B$23 &amp; "." &amp; J100)</f>
        <v/>
      </c>
    </row>
    <row r="101" spans="1:82">
      <c r="A101" s="161" t="str">
        <f t="array" aca="1" ref="A101" ca="1">IF(TRIM(INDIRECT("Columns!A101")) ="","",TRIM(INDIRECT("Columns!A101")))</f>
        <v/>
      </c>
      <c r="B101" s="161" t="str">
        <f t="shared" ca="1" si="138"/>
        <v/>
      </c>
      <c r="C101" s="161" t="str">
        <f t="shared" ca="1" si="139"/>
        <v/>
      </c>
      <c r="D101" s="161" t="str">
        <f t="shared" ca="1" si="140"/>
        <v/>
      </c>
      <c r="E101" s="161" t="str">
        <f t="array" aca="1" ref="E101" ca="1">IF(TRIM(INDIRECT("Columns!E101"))="","",TRIM(INDIRECT("Columns!E101")))</f>
        <v/>
      </c>
      <c r="F101" s="161" t="str">
        <f t="array" aca="1" ref="F101" ca="1">IF(TRIM(INDIRECT("Columns!G101"))="","",TRIM(INDIRECT("Columns!G101")))</f>
        <v/>
      </c>
      <c r="G101" s="161" t="str">
        <f t="array" aca="1" ref="G101" ca="1">IF(TRIM(INDIRECT("Columns!F101"))="","",TRIM(INDIRECT("Columns!F101")))</f>
        <v/>
      </c>
      <c r="H101" s="161" t="str">
        <f t="array" aca="1" ref="H101" ca="1">IF(TRIM(INDIRECT("Columns!H101"))="","",TRIM(INDIRECT("Columns!H101")))</f>
        <v/>
      </c>
      <c r="I101" s="161" t="str">
        <f t="array" aca="1" ref="I101" ca="1">IF(TRIM(INDIRECT("Columns!I101"))="","",TRIM(INDIRECT("Columns!I101")))</f>
        <v/>
      </c>
      <c r="J101" s="161" t="str">
        <f t="array" aca="1" ref="J101" ca="1">IF(TRIM(INDIRECT("Columns!J101"))="","",TRIM(INDIRECT("Columns!J101")))</f>
        <v/>
      </c>
      <c r="K101" s="161" t="str">
        <f t="array" aca="1" ref="K101" ca="1">IF(TRIM(INDIRECT("Columns!K101"))="","",TRIM(INDIRECT("Columns!K101")))</f>
        <v/>
      </c>
      <c r="L101" s="161" t="str">
        <f t="array" aca="1" ref="L101" ca="1">IF(TRIM(INDIRECT("Columns!L101"))="","",TRIM(INDIRECT("Columns!L101")))</f>
        <v/>
      </c>
      <c r="M101" s="161" t="str">
        <f t="array" aca="1" ref="M101" ca="1">IF(TRIM(INDIRECT("Columns!M101"))="","",TRIM(INDIRECT("Columns!M101")))</f>
        <v/>
      </c>
      <c r="N101" s="161" t="str">
        <f t="array" aca="1" ref="N101" ca="1">IF(TRIM(INDIRECT("Columns!N101"))="","",TRIM(INDIRECT("Columns!N101")))</f>
        <v/>
      </c>
      <c r="O101" s="227" t="str">
        <f t="array" aca="1" ref="O101" ca="1">IF(TRIM(INDIRECT("Columns!B101"))="","",TRIM(INDIRECT("Columns!B101")))</f>
        <v/>
      </c>
      <c r="P101" s="227" t="str">
        <f t="array" aca="1" ref="P101" ca="1">IF(TRIM(INDIRECT("Columns!C101"))="","",TRIM(INDIRECT("Columns!C101")))</f>
        <v/>
      </c>
      <c r="Q101" s="227" t="str">
        <f t="array" aca="1" ref="Q101" ca="1">IF(TRIM(INDIRECT("Columns!D101"))="","",TRIM(INDIRECT("Columns!D101")))</f>
        <v/>
      </c>
      <c r="R101" s="227" t="str">
        <f t="array" aca="1" ref="R101" ca="1">IF(TRIM(INDIRECT("Columns!O101"))="","",TRIM(INDIRECT("Columns!O101")))</f>
        <v/>
      </c>
      <c r="S101" t="str">
        <f t="shared" ca="1" si="141"/>
        <v/>
      </c>
      <c r="T101" t="str">
        <f t="shared" ca="1" si="142"/>
        <v/>
      </c>
      <c r="U101" t="str">
        <f t="shared" ca="1" si="143"/>
        <v/>
      </c>
      <c r="V101" t="str">
        <f t="shared" ca="1" si="144"/>
        <v/>
      </c>
      <c r="W101" t="str">
        <f t="shared" ca="1" si="145"/>
        <v/>
      </c>
      <c r="X101" t="str">
        <f t="shared" ca="1" si="146"/>
        <v/>
      </c>
      <c r="Y101" t="str">
        <f t="shared" ca="1" si="147"/>
        <v/>
      </c>
      <c r="Z101" t="str">
        <f t="shared" ca="1" si="171"/>
        <v/>
      </c>
      <c r="AA101" t="str">
        <f ca="1">IF(E101="1",   IF( A101="","",IF(OR(F101="1",H101="1",I101="1"),"","COALESCE (CAST("&amp;A101&amp;" as varchar(" &amp; Options!$B$49&amp; ")),'')")),"")</f>
        <v/>
      </c>
      <c r="AB101" t="str">
        <f ca="1">IF(E101="1", IF(C101="string",  IF( A101="","",IF(OR(F101="1",H101="1",I101="1"),"","COALESCE (CAST(lower("&amp;A101&amp;") as varchar(" &amp;Options!$B$49 &amp; ")),'')")),AA101),"")</f>
        <v/>
      </c>
      <c r="AC101" t="str">
        <f ca="1">IF(E101="4",   IF( A101="","",IF(OR(F101="1",H101="1",I101="1"),"","COALESCE (CAST("  &amp;A101&amp;" as varchar(" &amp; Options!$B$49&amp; ")),'')")),"")</f>
        <v/>
      </c>
      <c r="AD101" t="str">
        <f ca="1">IF(E101="4",   IF( A101="","",IF(OR(F101="1",H101="1",I101="1"),"","COALESCE (CAST(" &amp; HELPER!$B$94 &amp; "."  &amp;A101&amp;" as varchar(" &amp; Options!$B$49&amp; ")),'')")),"")</f>
        <v/>
      </c>
      <c r="AE101" t="str">
        <f t="shared" ca="1" si="148"/>
        <v/>
      </c>
      <c r="AF101" t="str">
        <f ca="1">IF(AE101&lt;&gt;"", HELPER!$B$93 &amp;  "." &amp; AE101,"")</f>
        <v/>
      </c>
      <c r="AG101" t="str">
        <f ca="1">IF(AE101&lt;&gt;"", HELPER!$B$94 &amp; "." &amp; AE101,"")</f>
        <v/>
      </c>
      <c r="AH101" t="str">
        <f t="shared" ca="1" si="172"/>
        <v/>
      </c>
      <c r="AI101" t="str">
        <f t="shared" ca="1" si="149"/>
        <v/>
      </c>
      <c r="AJ101" t="str">
        <f t="shared" ca="1" si="150"/>
        <v/>
      </c>
      <c r="AK101" t="str">
        <f ca="1">IF(E101="4", HELPER!$B$94 &amp;  "." &amp; A101,"")</f>
        <v/>
      </c>
      <c r="AL101" t="str">
        <f ca="1">IF(E101="4", HELPER!$B$93 &amp;  "." &amp; A101,"")</f>
        <v/>
      </c>
      <c r="AM101" t="str">
        <f t="shared" ca="1" si="151"/>
        <v/>
      </c>
      <c r="AN101" t="str">
        <f t="shared" ca="1" si="152"/>
        <v/>
      </c>
      <c r="AO101" t="str">
        <f ca="1">IF(A101&lt;&gt;"", IF(OR(F101="1",H101="1",I101="1"),""," "&amp; HELPER!$B$94 &amp; "." &amp; A101),"")</f>
        <v/>
      </c>
      <c r="AP101" t="str">
        <f t="shared" ca="1" si="153"/>
        <v/>
      </c>
      <c r="AQ101" t="str">
        <f t="shared" ca="1" si="178"/>
        <v/>
      </c>
      <c r="AS101" t="str">
        <f ca="1">IF(A101="","",  HELPER!$B$94 &amp;  "." &amp; A101)</f>
        <v/>
      </c>
      <c r="AT101" t="str">
        <f t="shared" ca="1" si="154"/>
        <v/>
      </c>
      <c r="AU101" t="str">
        <f t="shared" ca="1" si="155"/>
        <v/>
      </c>
      <c r="AV101" s="190" t="str">
        <f t="shared" ca="1" si="156"/>
        <v/>
      </c>
      <c r="AW101" t="str">
        <f t="shared" ca="1" si="157"/>
        <v/>
      </c>
      <c r="AY101" t="str">
        <f t="shared" ca="1" si="158"/>
        <v/>
      </c>
      <c r="BF101" t="str">
        <f t="shared" ca="1" si="159"/>
        <v/>
      </c>
      <c r="BH101" s="285" t="str">
        <f t="shared" ca="1" si="173"/>
        <v/>
      </c>
      <c r="BI101" t="str">
        <f t="shared" ca="1" si="160"/>
        <v/>
      </c>
      <c r="BJ101" t="str">
        <f t="shared" ca="1" si="161"/>
        <v/>
      </c>
      <c r="BK101" t="str">
        <f t="shared" ca="1" si="174"/>
        <v/>
      </c>
      <c r="BM101" t="str">
        <f t="shared" ca="1" si="175"/>
        <v/>
      </c>
      <c r="BN101" t="str">
        <f t="shared" ca="1" si="176"/>
        <v/>
      </c>
      <c r="BO101" t="str">
        <f t="shared" ca="1" si="162"/>
        <v/>
      </c>
      <c r="BP101" t="b">
        <f ca="1">COUNTIF(COLHELPER!A101:'COLHELPER'!A101,COLHELPER!A101)&gt;1</f>
        <v>0</v>
      </c>
      <c r="BQ101">
        <f t="shared" ca="1" si="163"/>
        <v>0</v>
      </c>
      <c r="BR101" s="290" t="str">
        <f t="shared" ca="1" si="137"/>
        <v/>
      </c>
      <c r="BS101" t="str">
        <f t="shared" ca="1" si="164"/>
        <v/>
      </c>
      <c r="BT101" t="str">
        <f t="shared" ca="1" si="177"/>
        <v/>
      </c>
      <c r="BU101" t="str">
        <f t="shared" ca="1" si="165"/>
        <v/>
      </c>
      <c r="BV101">
        <f t="shared" ca="1" si="166"/>
        <v>0</v>
      </c>
      <c r="BW101" t="str">
        <f t="shared" ca="1" si="167"/>
        <v/>
      </c>
      <c r="BX101" t="str">
        <f t="shared" ca="1" si="168"/>
        <v/>
      </c>
      <c r="BY101" t="str">
        <f ca="1">IF(R101="","",IF(R101&gt;Options!$B$3,"ALTER TABLE "&amp;HELPER!$B$4&amp;" ADD COLUMNS ("&amp;A101&amp;" "&amp;C101&amp;")",""))</f>
        <v/>
      </c>
      <c r="BZ101" t="str">
        <f ca="1">IF(R101="","",IF(R101&gt;Options!$B$3,A101,""))</f>
        <v/>
      </c>
      <c r="CA101" t="str">
        <f ca="1">IF(R101="","",IF(R101&gt;Options!$B$3,B101,""))</f>
        <v/>
      </c>
      <c r="CB101" t="str">
        <f t="shared" ca="1" si="169"/>
        <v/>
      </c>
      <c r="CC101">
        <f t="shared" ca="1" si="170"/>
        <v>0</v>
      </c>
      <c r="CD101" t="str">
        <f ca="1">IF(J101="","",Options!$B$23 &amp; "." &amp; J101)</f>
        <v/>
      </c>
    </row>
    <row r="102" spans="1:82">
      <c r="A102" s="161" t="str">
        <f t="array" aca="1" ref="A102" ca="1">IF(TRIM(INDIRECT("Columns!A102")) ="","",TRIM(INDIRECT("Columns!A102")))</f>
        <v/>
      </c>
      <c r="B102" s="161" t="str">
        <f t="shared" ca="1" si="138"/>
        <v/>
      </c>
      <c r="C102" s="161" t="str">
        <f t="shared" ca="1" si="139"/>
        <v/>
      </c>
      <c r="D102" s="161" t="str">
        <f t="shared" ca="1" si="140"/>
        <v/>
      </c>
      <c r="E102" s="161" t="str">
        <f t="array" aca="1" ref="E102" ca="1">IF(TRIM(INDIRECT("Columns!E102"))="","",TRIM(INDIRECT("Columns!E102")))</f>
        <v/>
      </c>
      <c r="F102" s="161" t="str">
        <f t="array" aca="1" ref="F102" ca="1">IF(TRIM(INDIRECT("Columns!G102"))="","",TRIM(INDIRECT("Columns!G102")))</f>
        <v/>
      </c>
      <c r="G102" s="161" t="str">
        <f t="array" aca="1" ref="G102" ca="1">IF(TRIM(INDIRECT("Columns!F102"))="","",TRIM(INDIRECT("Columns!F102")))</f>
        <v/>
      </c>
      <c r="H102" s="161" t="str">
        <f t="array" aca="1" ref="H102" ca="1">IF(TRIM(INDIRECT("Columns!H102"))="","",TRIM(INDIRECT("Columns!H102")))</f>
        <v/>
      </c>
      <c r="I102" s="161" t="str">
        <f t="array" aca="1" ref="I102" ca="1">IF(TRIM(INDIRECT("Columns!I102"))="","",TRIM(INDIRECT("Columns!I102")))</f>
        <v/>
      </c>
      <c r="J102" s="161" t="str">
        <f t="array" aca="1" ref="J102" ca="1">IF(TRIM(INDIRECT("Columns!J102"))="","",TRIM(INDIRECT("Columns!J102")))</f>
        <v/>
      </c>
      <c r="K102" s="161" t="str">
        <f t="array" aca="1" ref="K102" ca="1">IF(TRIM(INDIRECT("Columns!K102"))="","",TRIM(INDIRECT("Columns!K102")))</f>
        <v/>
      </c>
      <c r="L102" s="161" t="str">
        <f t="array" aca="1" ref="L102" ca="1">IF(TRIM(INDIRECT("Columns!L102"))="","",TRIM(INDIRECT("Columns!L102")))</f>
        <v/>
      </c>
      <c r="M102" s="161" t="str">
        <f t="array" aca="1" ref="M102" ca="1">IF(TRIM(INDIRECT("Columns!M102"))="","",TRIM(INDIRECT("Columns!M102")))</f>
        <v/>
      </c>
      <c r="N102" s="161" t="str">
        <f t="array" aca="1" ref="N102" ca="1">IF(TRIM(INDIRECT("Columns!N102"))="","",TRIM(INDIRECT("Columns!N102")))</f>
        <v/>
      </c>
      <c r="O102" s="227" t="str">
        <f t="array" aca="1" ref="O102" ca="1">IF(TRIM(INDIRECT("Columns!B102"))="","",TRIM(INDIRECT("Columns!B102")))</f>
        <v/>
      </c>
      <c r="P102" s="227" t="str">
        <f t="array" aca="1" ref="P102" ca="1">IF(TRIM(INDIRECT("Columns!C102"))="","",TRIM(INDIRECT("Columns!C102")))</f>
        <v/>
      </c>
      <c r="Q102" s="227" t="str">
        <f t="array" aca="1" ref="Q102" ca="1">IF(TRIM(INDIRECT("Columns!D102"))="","",TRIM(INDIRECT("Columns!D102")))</f>
        <v/>
      </c>
      <c r="R102" s="227" t="str">
        <f t="array" aca="1" ref="R102" ca="1">IF(TRIM(INDIRECT("Columns!O102"))="","",TRIM(INDIRECT("Columns!O102")))</f>
        <v/>
      </c>
      <c r="S102" t="str">
        <f t="shared" ca="1" si="141"/>
        <v/>
      </c>
      <c r="T102" t="str">
        <f t="shared" ca="1" si="142"/>
        <v/>
      </c>
      <c r="U102" t="str">
        <f t="shared" ca="1" si="143"/>
        <v/>
      </c>
      <c r="V102" t="str">
        <f t="shared" ca="1" si="144"/>
        <v/>
      </c>
      <c r="W102" t="str">
        <f t="shared" ca="1" si="145"/>
        <v/>
      </c>
      <c r="X102" t="str">
        <f t="shared" ca="1" si="146"/>
        <v/>
      </c>
      <c r="Y102" t="str">
        <f t="shared" ca="1" si="147"/>
        <v/>
      </c>
      <c r="Z102" t="str">
        <f t="shared" ca="1" si="171"/>
        <v/>
      </c>
      <c r="AA102" t="str">
        <f ca="1">IF(E102="1",   IF( A102="","",IF(OR(F102="1",H102="1",I102="1"),"","COALESCE (CAST("&amp;A102&amp;" as varchar(" &amp; Options!$B$49&amp; ")),'')")),"")</f>
        <v/>
      </c>
      <c r="AB102" t="str">
        <f ca="1">IF(E102="1", IF(C102="string",  IF( A102="","",IF(OR(F102="1",H102="1",I102="1"),"","COALESCE (CAST(lower("&amp;A102&amp;") as varchar(" &amp;Options!$B$49 &amp; ")),'')")),AA102),"")</f>
        <v/>
      </c>
      <c r="AC102" t="str">
        <f ca="1">IF(E102="4",   IF( A102="","",IF(OR(F102="1",H102="1",I102="1"),"","COALESCE (CAST("  &amp;A102&amp;" as varchar(" &amp; Options!$B$49&amp; ")),'')")),"")</f>
        <v/>
      </c>
      <c r="AD102" t="str">
        <f ca="1">IF(E102="4",   IF( A102="","",IF(OR(F102="1",H102="1",I102="1"),"","COALESCE (CAST(" &amp; HELPER!$B$94 &amp; "."  &amp;A102&amp;" as varchar(" &amp; Options!$B$49&amp; ")),'')")),"")</f>
        <v/>
      </c>
      <c r="AE102" t="str">
        <f t="shared" ca="1" si="148"/>
        <v/>
      </c>
      <c r="AF102" t="str">
        <f ca="1">IF(AE102&lt;&gt;"", HELPER!$B$93 &amp;  "." &amp; AE102,"")</f>
        <v/>
      </c>
      <c r="AG102" t="str">
        <f ca="1">IF(AE102&lt;&gt;"", HELPER!$B$94 &amp; "." &amp; AE102,"")</f>
        <v/>
      </c>
      <c r="AH102" t="str">
        <f t="shared" ca="1" si="172"/>
        <v/>
      </c>
      <c r="AI102" t="str">
        <f t="shared" ca="1" si="149"/>
        <v/>
      </c>
      <c r="AJ102" t="str">
        <f t="shared" ca="1" si="150"/>
        <v/>
      </c>
      <c r="AK102" t="str">
        <f ca="1">IF(E102="4", HELPER!$B$94 &amp;  "." &amp; A102,"")</f>
        <v/>
      </c>
      <c r="AL102" t="str">
        <f ca="1">IF(E102="4", HELPER!$B$93 &amp;  "." &amp; A102,"")</f>
        <v/>
      </c>
      <c r="AM102" t="str">
        <f t="shared" ca="1" si="151"/>
        <v/>
      </c>
      <c r="AN102" t="str">
        <f t="shared" ca="1" si="152"/>
        <v/>
      </c>
      <c r="AO102" t="str">
        <f ca="1">IF(A102&lt;&gt;"", IF(OR(F102="1",H102="1",I102="1"),""," "&amp; HELPER!$B$94 &amp; "." &amp; A102),"")</f>
        <v/>
      </c>
      <c r="AP102" t="str">
        <f t="shared" ca="1" si="153"/>
        <v/>
      </c>
      <c r="AQ102" t="str">
        <f t="shared" ca="1" si="178"/>
        <v/>
      </c>
      <c r="AS102" t="str">
        <f ca="1">IF(A102="","",  HELPER!$B$94 &amp;  "." &amp; A102)</f>
        <v/>
      </c>
      <c r="AT102" t="str">
        <f t="shared" ca="1" si="154"/>
        <v/>
      </c>
      <c r="AU102" t="str">
        <f t="shared" ca="1" si="155"/>
        <v/>
      </c>
      <c r="AV102" s="190" t="str">
        <f t="shared" ca="1" si="156"/>
        <v/>
      </c>
      <c r="AW102" t="str">
        <f t="shared" ca="1" si="157"/>
        <v/>
      </c>
      <c r="AY102" t="str">
        <f t="shared" ca="1" si="158"/>
        <v/>
      </c>
      <c r="BF102" t="str">
        <f t="shared" ca="1" si="159"/>
        <v/>
      </c>
      <c r="BH102" s="285" t="str">
        <f t="shared" ca="1" si="173"/>
        <v/>
      </c>
      <c r="BI102" t="str">
        <f t="shared" ca="1" si="160"/>
        <v/>
      </c>
      <c r="BJ102" t="str">
        <f t="shared" ca="1" si="161"/>
        <v/>
      </c>
      <c r="BK102" t="str">
        <f t="shared" ca="1" si="174"/>
        <v/>
      </c>
      <c r="BM102" t="str">
        <f t="shared" ca="1" si="175"/>
        <v/>
      </c>
      <c r="BN102" t="str">
        <f t="shared" ca="1" si="176"/>
        <v/>
      </c>
      <c r="BO102" t="str">
        <f t="shared" ca="1" si="162"/>
        <v/>
      </c>
      <c r="BP102" t="b">
        <f ca="1">COUNTIF(COLHELPER!A102:'COLHELPER'!A102,COLHELPER!A102)&gt;1</f>
        <v>0</v>
      </c>
      <c r="BQ102">
        <f t="shared" ca="1" si="163"/>
        <v>0</v>
      </c>
      <c r="BR102" s="290" t="str">
        <f t="shared" ca="1" si="137"/>
        <v/>
      </c>
      <c r="BS102" t="str">
        <f t="shared" ca="1" si="164"/>
        <v/>
      </c>
      <c r="BT102" t="str">
        <f t="shared" ca="1" si="177"/>
        <v/>
      </c>
      <c r="BU102" t="str">
        <f t="shared" ca="1" si="165"/>
        <v/>
      </c>
      <c r="BV102">
        <f t="shared" ca="1" si="166"/>
        <v>0</v>
      </c>
      <c r="BW102" t="str">
        <f t="shared" ca="1" si="167"/>
        <v/>
      </c>
      <c r="BX102" t="str">
        <f t="shared" ca="1" si="168"/>
        <v/>
      </c>
      <c r="BY102" t="str">
        <f ca="1">IF(R102="","",IF(R102&gt;Options!$B$3,"ALTER TABLE "&amp;HELPER!$B$4&amp;" ADD COLUMNS ("&amp;A102&amp;" "&amp;C102&amp;")",""))</f>
        <v/>
      </c>
      <c r="BZ102" t="str">
        <f ca="1">IF(R102="","",IF(R102&gt;Options!$B$3,A102,""))</f>
        <v/>
      </c>
      <c r="CA102" t="str">
        <f ca="1">IF(R102="","",IF(R102&gt;Options!$B$3,B102,""))</f>
        <v/>
      </c>
      <c r="CB102" t="str">
        <f t="shared" ca="1" si="169"/>
        <v/>
      </c>
      <c r="CC102">
        <f t="shared" ca="1" si="170"/>
        <v>0</v>
      </c>
      <c r="CD102" t="str">
        <f ca="1">IF(J102="","",Options!$B$23 &amp; "." &amp; J102)</f>
        <v/>
      </c>
    </row>
    <row r="103" spans="1:82">
      <c r="A103" s="161" t="str">
        <f t="array" aca="1" ref="A103" ca="1">IF(TRIM(INDIRECT("Columns!A103")) ="","",TRIM(INDIRECT("Columns!A103")))</f>
        <v/>
      </c>
      <c r="B103" s="161" t="str">
        <f t="shared" ca="1" si="138"/>
        <v/>
      </c>
      <c r="C103" s="161" t="str">
        <f t="shared" ca="1" si="139"/>
        <v/>
      </c>
      <c r="D103" s="161" t="str">
        <f t="shared" ca="1" si="140"/>
        <v/>
      </c>
      <c r="E103" s="161" t="str">
        <f t="array" aca="1" ref="E103" ca="1">IF(TRIM(INDIRECT("Columns!E103"))="","",TRIM(INDIRECT("Columns!E103")))</f>
        <v/>
      </c>
      <c r="F103" s="161" t="str">
        <f t="array" aca="1" ref="F103" ca="1">IF(TRIM(INDIRECT("Columns!G103"))="","",TRIM(INDIRECT("Columns!G103")))</f>
        <v/>
      </c>
      <c r="G103" s="161" t="str">
        <f t="array" aca="1" ref="G103" ca="1">IF(TRIM(INDIRECT("Columns!F103"))="","",TRIM(INDIRECT("Columns!F103")))</f>
        <v/>
      </c>
      <c r="H103" s="161" t="str">
        <f t="array" aca="1" ref="H103" ca="1">IF(TRIM(INDIRECT("Columns!H103"))="","",TRIM(INDIRECT("Columns!H103")))</f>
        <v/>
      </c>
      <c r="I103" s="161" t="str">
        <f t="array" aca="1" ref="I103" ca="1">IF(TRIM(INDIRECT("Columns!I103"))="","",TRIM(INDIRECT("Columns!I103")))</f>
        <v/>
      </c>
      <c r="J103" s="161" t="str">
        <f t="array" aca="1" ref="J103" ca="1">IF(TRIM(INDIRECT("Columns!J103"))="","",TRIM(INDIRECT("Columns!J103")))</f>
        <v/>
      </c>
      <c r="K103" s="161" t="str">
        <f t="array" aca="1" ref="K103" ca="1">IF(TRIM(INDIRECT("Columns!K103"))="","",TRIM(INDIRECT("Columns!K103")))</f>
        <v/>
      </c>
      <c r="L103" s="161" t="str">
        <f t="array" aca="1" ref="L103" ca="1">IF(TRIM(INDIRECT("Columns!L103"))="","",TRIM(INDIRECT("Columns!L103")))</f>
        <v/>
      </c>
      <c r="M103" s="161" t="str">
        <f t="array" aca="1" ref="M103" ca="1">IF(TRIM(INDIRECT("Columns!M103"))="","",TRIM(INDIRECT("Columns!M103")))</f>
        <v/>
      </c>
      <c r="N103" s="161" t="str">
        <f t="array" aca="1" ref="N103" ca="1">IF(TRIM(INDIRECT("Columns!N103"))="","",TRIM(INDIRECT("Columns!N103")))</f>
        <v/>
      </c>
      <c r="O103" s="227" t="str">
        <f t="array" aca="1" ref="O103" ca="1">IF(TRIM(INDIRECT("Columns!B103"))="","",TRIM(INDIRECT("Columns!B103")))</f>
        <v/>
      </c>
      <c r="P103" s="227" t="str">
        <f t="array" aca="1" ref="P103" ca="1">IF(TRIM(INDIRECT("Columns!C103"))="","",TRIM(INDIRECT("Columns!C103")))</f>
        <v/>
      </c>
      <c r="Q103" s="227" t="str">
        <f t="array" aca="1" ref="Q103" ca="1">IF(TRIM(INDIRECT("Columns!D103"))="","",TRIM(INDIRECT("Columns!D103")))</f>
        <v/>
      </c>
      <c r="R103" s="227" t="str">
        <f t="array" aca="1" ref="R103" ca="1">IF(TRIM(INDIRECT("Columns!O103"))="","",TRIM(INDIRECT("Columns!O103")))</f>
        <v/>
      </c>
      <c r="S103" t="str">
        <f t="shared" ca="1" si="141"/>
        <v/>
      </c>
      <c r="T103" t="str">
        <f t="shared" ca="1" si="142"/>
        <v/>
      </c>
      <c r="U103" t="str">
        <f t="shared" ca="1" si="143"/>
        <v/>
      </c>
      <c r="V103" t="str">
        <f t="shared" ca="1" si="144"/>
        <v/>
      </c>
      <c r="W103" t="str">
        <f t="shared" ca="1" si="145"/>
        <v/>
      </c>
      <c r="X103" t="str">
        <f t="shared" ca="1" si="146"/>
        <v/>
      </c>
      <c r="Y103" t="str">
        <f t="shared" ca="1" si="147"/>
        <v/>
      </c>
      <c r="Z103" t="str">
        <f t="shared" ca="1" si="171"/>
        <v/>
      </c>
      <c r="AA103" t="str">
        <f ca="1">IF(E103="1",   IF( A103="","",IF(OR(F103="1",H103="1",I103="1"),"","COALESCE (CAST("&amp;A103&amp;" as varchar(" &amp; Options!$B$49&amp; ")),'')")),"")</f>
        <v/>
      </c>
      <c r="AB103" t="str">
        <f ca="1">IF(E103="1", IF(C103="string",  IF( A103="","",IF(OR(F103="1",H103="1",I103="1"),"","COALESCE (CAST(lower("&amp;A103&amp;") as varchar(" &amp;Options!$B$49 &amp; ")),'')")),AA103),"")</f>
        <v/>
      </c>
      <c r="AC103" t="str">
        <f ca="1">IF(E103="4",   IF( A103="","",IF(OR(F103="1",H103="1",I103="1"),"","COALESCE (CAST("  &amp;A103&amp;" as varchar(" &amp; Options!$B$49&amp; ")),'')")),"")</f>
        <v/>
      </c>
      <c r="AD103" t="str">
        <f ca="1">IF(E103="4",   IF( A103="","",IF(OR(F103="1",H103="1",I103="1"),"","COALESCE (CAST(" &amp; HELPER!$B$94 &amp; "."  &amp;A103&amp;" as varchar(" &amp; Options!$B$49&amp; ")),'')")),"")</f>
        <v/>
      </c>
      <c r="AE103" t="str">
        <f t="shared" ca="1" si="148"/>
        <v/>
      </c>
      <c r="AF103" t="str">
        <f ca="1">IF(AE103&lt;&gt;"", HELPER!$B$93 &amp;  "." &amp; AE103,"")</f>
        <v/>
      </c>
      <c r="AG103" t="str">
        <f ca="1">IF(AE103&lt;&gt;"", HELPER!$B$94 &amp; "." &amp; AE103,"")</f>
        <v/>
      </c>
      <c r="AH103" t="str">
        <f t="shared" ca="1" si="172"/>
        <v/>
      </c>
      <c r="AI103" t="str">
        <f t="shared" ca="1" si="149"/>
        <v/>
      </c>
      <c r="AJ103" t="str">
        <f t="shared" ca="1" si="150"/>
        <v/>
      </c>
      <c r="AK103" t="str">
        <f ca="1">IF(E103="4", HELPER!$B$94 &amp;  "." &amp; A103,"")</f>
        <v/>
      </c>
      <c r="AL103" t="str">
        <f ca="1">IF(E103="4", HELPER!$B$93 &amp;  "." &amp; A103,"")</f>
        <v/>
      </c>
      <c r="AM103" t="str">
        <f t="shared" ca="1" si="151"/>
        <v/>
      </c>
      <c r="AN103" t="str">
        <f t="shared" ca="1" si="152"/>
        <v/>
      </c>
      <c r="AO103" t="str">
        <f ca="1">IF(A103&lt;&gt;"", IF(OR(F103="1",H103="1",I103="1"),""," "&amp; HELPER!$B$94 &amp; "." &amp; A103),"")</f>
        <v/>
      </c>
      <c r="AP103" t="str">
        <f t="shared" ca="1" si="153"/>
        <v/>
      </c>
      <c r="AQ103" t="str">
        <f t="shared" ca="1" si="178"/>
        <v/>
      </c>
      <c r="AS103" t="str">
        <f ca="1">IF(A103="","",  HELPER!$B$94 &amp;  "." &amp; A103)</f>
        <v/>
      </c>
      <c r="AT103" t="str">
        <f t="shared" ca="1" si="154"/>
        <v/>
      </c>
      <c r="AU103" t="str">
        <f t="shared" ca="1" si="155"/>
        <v/>
      </c>
      <c r="AV103" s="190" t="str">
        <f t="shared" ca="1" si="156"/>
        <v/>
      </c>
      <c r="AW103" t="str">
        <f t="shared" ca="1" si="157"/>
        <v/>
      </c>
      <c r="AY103" t="str">
        <f t="shared" ca="1" si="158"/>
        <v/>
      </c>
      <c r="BF103" t="str">
        <f t="shared" ca="1" si="159"/>
        <v/>
      </c>
      <c r="BH103" s="285" t="str">
        <f t="shared" ca="1" si="173"/>
        <v/>
      </c>
      <c r="BI103" t="str">
        <f t="shared" ca="1" si="160"/>
        <v/>
      </c>
      <c r="BJ103" t="str">
        <f t="shared" ca="1" si="161"/>
        <v/>
      </c>
      <c r="BK103" t="str">
        <f t="shared" ca="1" si="174"/>
        <v/>
      </c>
      <c r="BM103" t="str">
        <f t="shared" ca="1" si="175"/>
        <v/>
      </c>
      <c r="BN103" t="str">
        <f t="shared" ca="1" si="176"/>
        <v/>
      </c>
      <c r="BO103" t="str">
        <f t="shared" ca="1" si="162"/>
        <v/>
      </c>
      <c r="BP103" t="b">
        <f ca="1">COUNTIF(COLHELPER!A103:'COLHELPER'!A103,COLHELPER!A103)&gt;1</f>
        <v>0</v>
      </c>
      <c r="BQ103">
        <f t="shared" ca="1" si="163"/>
        <v>0</v>
      </c>
      <c r="BR103" s="290" t="str">
        <f t="shared" ca="1" si="137"/>
        <v/>
      </c>
      <c r="BS103" t="str">
        <f t="shared" ca="1" si="164"/>
        <v/>
      </c>
      <c r="BT103" t="str">
        <f t="shared" ca="1" si="177"/>
        <v/>
      </c>
      <c r="BU103" t="str">
        <f t="shared" ca="1" si="165"/>
        <v/>
      </c>
      <c r="BV103">
        <f t="shared" ca="1" si="166"/>
        <v>0</v>
      </c>
      <c r="BW103" t="str">
        <f t="shared" ca="1" si="167"/>
        <v/>
      </c>
      <c r="BX103" t="str">
        <f t="shared" ca="1" si="168"/>
        <v/>
      </c>
      <c r="BY103" t="str">
        <f ca="1">IF(R103="","",IF(R103&gt;Options!$B$3,"ALTER TABLE "&amp;HELPER!$B$4&amp;" ADD COLUMNS ("&amp;A103&amp;" "&amp;C103&amp;")",""))</f>
        <v/>
      </c>
      <c r="BZ103" t="str">
        <f ca="1">IF(R103="","",IF(R103&gt;Options!$B$3,A103,""))</f>
        <v/>
      </c>
      <c r="CA103" t="str">
        <f ca="1">IF(R103="","",IF(R103&gt;Options!$B$3,B103,""))</f>
        <v/>
      </c>
      <c r="CB103" t="str">
        <f t="shared" ca="1" si="169"/>
        <v/>
      </c>
      <c r="CC103">
        <f t="shared" ca="1" si="170"/>
        <v>0</v>
      </c>
      <c r="CD103" t="str">
        <f ca="1">IF(J103="","",Options!$B$23 &amp; "." &amp; J103)</f>
        <v/>
      </c>
    </row>
    <row r="104" spans="1:82">
      <c r="A104" s="161" t="str">
        <f t="array" aca="1" ref="A104" ca="1">IF(TRIM(INDIRECT("Columns!A104")) ="","",TRIM(INDIRECT("Columns!A104")))</f>
        <v/>
      </c>
      <c r="B104" s="161" t="str">
        <f t="shared" ca="1" si="138"/>
        <v/>
      </c>
      <c r="C104" s="161" t="str">
        <f t="shared" ca="1" si="139"/>
        <v/>
      </c>
      <c r="D104" s="161" t="str">
        <f t="shared" ca="1" si="140"/>
        <v/>
      </c>
      <c r="E104" s="161" t="str">
        <f t="array" aca="1" ref="E104" ca="1">IF(TRIM(INDIRECT("Columns!E104"))="","",TRIM(INDIRECT("Columns!E104")))</f>
        <v/>
      </c>
      <c r="F104" s="161" t="str">
        <f t="array" aca="1" ref="F104" ca="1">IF(TRIM(INDIRECT("Columns!G104"))="","",TRIM(INDIRECT("Columns!G104")))</f>
        <v/>
      </c>
      <c r="G104" s="161" t="str">
        <f t="array" aca="1" ref="G104" ca="1">IF(TRIM(INDIRECT("Columns!F104"))="","",TRIM(INDIRECT("Columns!F104")))</f>
        <v/>
      </c>
      <c r="H104" s="161" t="str">
        <f t="array" aca="1" ref="H104" ca="1">IF(TRIM(INDIRECT("Columns!H104"))="","",TRIM(INDIRECT("Columns!H104")))</f>
        <v/>
      </c>
      <c r="I104" s="161" t="str">
        <f t="array" aca="1" ref="I104" ca="1">IF(TRIM(INDIRECT("Columns!I104"))="","",TRIM(INDIRECT("Columns!I104")))</f>
        <v/>
      </c>
      <c r="J104" s="161" t="str">
        <f t="array" aca="1" ref="J104" ca="1">IF(TRIM(INDIRECT("Columns!J104"))="","",TRIM(INDIRECT("Columns!J104")))</f>
        <v/>
      </c>
      <c r="K104" s="161" t="str">
        <f t="array" aca="1" ref="K104" ca="1">IF(TRIM(INDIRECT("Columns!K104"))="","",TRIM(INDIRECT("Columns!K104")))</f>
        <v/>
      </c>
      <c r="L104" s="161" t="str">
        <f t="array" aca="1" ref="L104" ca="1">IF(TRIM(INDIRECT("Columns!L104"))="","",TRIM(INDIRECT("Columns!L104")))</f>
        <v/>
      </c>
      <c r="M104" s="161" t="str">
        <f t="array" aca="1" ref="M104" ca="1">IF(TRIM(INDIRECT("Columns!M104"))="","",TRIM(INDIRECT("Columns!M104")))</f>
        <v/>
      </c>
      <c r="N104" s="161" t="str">
        <f t="array" aca="1" ref="N104" ca="1">IF(TRIM(INDIRECT("Columns!N104"))="","",TRIM(INDIRECT("Columns!N104")))</f>
        <v/>
      </c>
      <c r="O104" s="227" t="str">
        <f t="array" aca="1" ref="O104" ca="1">IF(TRIM(INDIRECT("Columns!B104"))="","",TRIM(INDIRECT("Columns!B104")))</f>
        <v/>
      </c>
      <c r="P104" s="227" t="str">
        <f t="array" aca="1" ref="P104" ca="1">IF(TRIM(INDIRECT("Columns!C104"))="","",TRIM(INDIRECT("Columns!C104")))</f>
        <v/>
      </c>
      <c r="Q104" s="227" t="str">
        <f t="array" aca="1" ref="Q104" ca="1">IF(TRIM(INDIRECT("Columns!D104"))="","",TRIM(INDIRECT("Columns!D104")))</f>
        <v/>
      </c>
      <c r="R104" s="227" t="str">
        <f t="array" aca="1" ref="R104" ca="1">IF(TRIM(INDIRECT("Columns!O104"))="","",TRIM(INDIRECT("Columns!O104")))</f>
        <v/>
      </c>
      <c r="S104" t="str">
        <f t="shared" ca="1" si="141"/>
        <v/>
      </c>
      <c r="T104" t="str">
        <f t="shared" ca="1" si="142"/>
        <v/>
      </c>
      <c r="U104" t="str">
        <f t="shared" ca="1" si="143"/>
        <v/>
      </c>
      <c r="V104" t="str">
        <f t="shared" ca="1" si="144"/>
        <v/>
      </c>
      <c r="W104" t="str">
        <f t="shared" ca="1" si="145"/>
        <v/>
      </c>
      <c r="X104" t="str">
        <f t="shared" ca="1" si="146"/>
        <v/>
      </c>
      <c r="Y104" t="str">
        <f t="shared" ca="1" si="147"/>
        <v/>
      </c>
      <c r="Z104" t="str">
        <f t="shared" ca="1" si="171"/>
        <v/>
      </c>
      <c r="AA104" t="str">
        <f ca="1">IF(E104="1",   IF( A104="","",IF(OR(F104="1",H104="1",I104="1"),"","COALESCE (CAST("&amp;A104&amp;" as varchar(" &amp; Options!$B$49&amp; ")),'')")),"")</f>
        <v/>
      </c>
      <c r="AB104" t="str">
        <f ca="1">IF(E104="1", IF(C104="string",  IF( A104="","",IF(OR(F104="1",H104="1",I104="1"),"","COALESCE (CAST(lower("&amp;A104&amp;") as varchar(" &amp;Options!$B$49 &amp; ")),'')")),AA104),"")</f>
        <v/>
      </c>
      <c r="AC104" t="str">
        <f ca="1">IF(E104="4",   IF( A104="","",IF(OR(F104="1",H104="1",I104="1"),"","COALESCE (CAST("  &amp;A104&amp;" as varchar(" &amp; Options!$B$49&amp; ")),'')")),"")</f>
        <v/>
      </c>
      <c r="AD104" t="str">
        <f ca="1">IF(E104="4",   IF( A104="","",IF(OR(F104="1",H104="1",I104="1"),"","COALESCE (CAST(" &amp; HELPER!$B$94 &amp; "."  &amp;A104&amp;" as varchar(" &amp; Options!$B$49&amp; ")),'')")),"")</f>
        <v/>
      </c>
      <c r="AE104" t="str">
        <f t="shared" ca="1" si="148"/>
        <v/>
      </c>
      <c r="AF104" t="str">
        <f ca="1">IF(AE104&lt;&gt;"", HELPER!$B$93 &amp;  "." &amp; AE104,"")</f>
        <v/>
      </c>
      <c r="AG104" t="str">
        <f ca="1">IF(AE104&lt;&gt;"", HELPER!$B$94 &amp; "." &amp; AE104,"")</f>
        <v/>
      </c>
      <c r="AH104" t="str">
        <f t="shared" ca="1" si="172"/>
        <v/>
      </c>
      <c r="AI104" t="str">
        <f t="shared" ca="1" si="149"/>
        <v/>
      </c>
      <c r="AJ104" t="str">
        <f t="shared" ca="1" si="150"/>
        <v/>
      </c>
      <c r="AK104" t="str">
        <f ca="1">IF(E104="4", HELPER!$B$94 &amp;  "." &amp; A104,"")</f>
        <v/>
      </c>
      <c r="AL104" t="str">
        <f ca="1">IF(E104="4", HELPER!$B$93 &amp;  "." &amp; A104,"")</f>
        <v/>
      </c>
      <c r="AM104" t="str">
        <f t="shared" ca="1" si="151"/>
        <v/>
      </c>
      <c r="AN104" t="str">
        <f t="shared" ca="1" si="152"/>
        <v/>
      </c>
      <c r="AO104" t="str">
        <f ca="1">IF(A104&lt;&gt;"", IF(OR(F104="1",H104="1",I104="1"),""," "&amp; HELPER!$B$94 &amp; "." &amp; A104),"")</f>
        <v/>
      </c>
      <c r="AP104" t="str">
        <f t="shared" ca="1" si="153"/>
        <v/>
      </c>
      <c r="AQ104" t="str">
        <f t="shared" ca="1" si="178"/>
        <v/>
      </c>
      <c r="AS104" t="str">
        <f ca="1">IF(A104="","",  HELPER!$B$94 &amp;  "." &amp; A104)</f>
        <v/>
      </c>
      <c r="AT104" t="str">
        <f t="shared" ca="1" si="154"/>
        <v/>
      </c>
      <c r="AU104" t="str">
        <f t="shared" ca="1" si="155"/>
        <v/>
      </c>
      <c r="AV104" s="190" t="str">
        <f t="shared" ca="1" si="156"/>
        <v/>
      </c>
      <c r="AW104" t="str">
        <f t="shared" ca="1" si="157"/>
        <v/>
      </c>
      <c r="AY104" t="str">
        <f t="shared" ca="1" si="158"/>
        <v/>
      </c>
      <c r="BF104" t="str">
        <f t="shared" ca="1" si="159"/>
        <v/>
      </c>
      <c r="BH104" s="285" t="str">
        <f t="shared" ca="1" si="173"/>
        <v/>
      </c>
      <c r="BI104" t="str">
        <f t="shared" ca="1" si="160"/>
        <v/>
      </c>
      <c r="BJ104" t="str">
        <f t="shared" ca="1" si="161"/>
        <v/>
      </c>
      <c r="BK104" t="str">
        <f t="shared" ca="1" si="174"/>
        <v/>
      </c>
      <c r="BM104" t="str">
        <f t="shared" ca="1" si="175"/>
        <v/>
      </c>
      <c r="BN104" t="str">
        <f t="shared" ca="1" si="176"/>
        <v/>
      </c>
      <c r="BO104" t="str">
        <f t="shared" ca="1" si="162"/>
        <v/>
      </c>
      <c r="BP104" t="b">
        <f ca="1">COUNTIF(COLHELPER!A104:'COLHELPER'!A104,COLHELPER!A104)&gt;1</f>
        <v>0</v>
      </c>
      <c r="BQ104">
        <f t="shared" ca="1" si="163"/>
        <v>0</v>
      </c>
      <c r="BR104" s="290" t="str">
        <f t="shared" ca="1" si="137"/>
        <v/>
      </c>
      <c r="BS104" t="str">
        <f t="shared" ca="1" si="164"/>
        <v/>
      </c>
      <c r="BT104" t="str">
        <f t="shared" ca="1" si="177"/>
        <v/>
      </c>
      <c r="BU104" t="str">
        <f t="shared" ca="1" si="165"/>
        <v/>
      </c>
      <c r="BV104">
        <f t="shared" ca="1" si="166"/>
        <v>0</v>
      </c>
      <c r="BW104" t="str">
        <f t="shared" ca="1" si="167"/>
        <v/>
      </c>
      <c r="BX104" t="str">
        <f t="shared" ca="1" si="168"/>
        <v/>
      </c>
      <c r="BY104" t="str">
        <f ca="1">IF(R104="","",IF(R104&gt;Options!$B$3,"ALTER TABLE "&amp;HELPER!$B$4&amp;" ADD COLUMNS ("&amp;A104&amp;" "&amp;C104&amp;")",""))</f>
        <v/>
      </c>
      <c r="BZ104" t="str">
        <f ca="1">IF(R104="","",IF(R104&gt;Options!$B$3,A104,""))</f>
        <v/>
      </c>
      <c r="CA104" t="str">
        <f ca="1">IF(R104="","",IF(R104&gt;Options!$B$3,B104,""))</f>
        <v/>
      </c>
      <c r="CB104" t="str">
        <f t="shared" ca="1" si="169"/>
        <v/>
      </c>
      <c r="CC104">
        <f t="shared" ca="1" si="170"/>
        <v>0</v>
      </c>
      <c r="CD104" t="str">
        <f ca="1">IF(J104="","",Options!$B$23 &amp; "." &amp; J104)</f>
        <v/>
      </c>
    </row>
    <row r="105" spans="1:82">
      <c r="A105" s="161" t="str">
        <f t="array" aca="1" ref="A105" ca="1">IF(TRIM(INDIRECT("Columns!A105")) ="","",TRIM(INDIRECT("Columns!A105")))</f>
        <v/>
      </c>
      <c r="B105" s="161" t="str">
        <f t="shared" ca="1" si="138"/>
        <v/>
      </c>
      <c r="C105" s="161" t="str">
        <f t="shared" ca="1" si="139"/>
        <v/>
      </c>
      <c r="D105" s="161" t="str">
        <f t="shared" ca="1" si="140"/>
        <v/>
      </c>
      <c r="E105" s="161" t="str">
        <f t="array" aca="1" ref="E105" ca="1">IF(TRIM(INDIRECT("Columns!E105"))="","",TRIM(INDIRECT("Columns!E105")))</f>
        <v/>
      </c>
      <c r="F105" s="161" t="str">
        <f t="array" aca="1" ref="F105" ca="1">IF(TRIM(INDIRECT("Columns!G105"))="","",TRIM(INDIRECT("Columns!G105")))</f>
        <v/>
      </c>
      <c r="G105" s="161" t="str">
        <f t="array" aca="1" ref="G105" ca="1">IF(TRIM(INDIRECT("Columns!F105"))="","",TRIM(INDIRECT("Columns!F105")))</f>
        <v/>
      </c>
      <c r="H105" s="161" t="str">
        <f t="array" aca="1" ref="H105" ca="1">IF(TRIM(INDIRECT("Columns!H105"))="","",TRIM(INDIRECT("Columns!H105")))</f>
        <v/>
      </c>
      <c r="I105" s="161" t="str">
        <f t="array" aca="1" ref="I105" ca="1">IF(TRIM(INDIRECT("Columns!I105"))="","",TRIM(INDIRECT("Columns!I105")))</f>
        <v/>
      </c>
      <c r="J105" s="161" t="str">
        <f t="array" aca="1" ref="J105" ca="1">IF(TRIM(INDIRECT("Columns!J105"))="","",TRIM(INDIRECT("Columns!J105")))</f>
        <v/>
      </c>
      <c r="K105" s="161" t="str">
        <f t="array" aca="1" ref="K105" ca="1">IF(TRIM(INDIRECT("Columns!K105"))="","",TRIM(INDIRECT("Columns!K105")))</f>
        <v/>
      </c>
      <c r="L105" s="161" t="str">
        <f t="array" aca="1" ref="L105" ca="1">IF(TRIM(INDIRECT("Columns!L105"))="","",TRIM(INDIRECT("Columns!L105")))</f>
        <v/>
      </c>
      <c r="M105" s="161" t="str">
        <f t="array" aca="1" ref="M105" ca="1">IF(TRIM(INDIRECT("Columns!M105"))="","",TRIM(INDIRECT("Columns!M105")))</f>
        <v/>
      </c>
      <c r="N105" s="161" t="str">
        <f t="array" aca="1" ref="N105" ca="1">IF(TRIM(INDIRECT("Columns!N105"))="","",TRIM(INDIRECT("Columns!N105")))</f>
        <v/>
      </c>
      <c r="O105" s="227" t="str">
        <f t="array" aca="1" ref="O105" ca="1">IF(TRIM(INDIRECT("Columns!B105"))="","",TRIM(INDIRECT("Columns!B105")))</f>
        <v/>
      </c>
      <c r="P105" s="227" t="str">
        <f t="array" aca="1" ref="P105" ca="1">IF(TRIM(INDIRECT("Columns!C105"))="","",TRIM(INDIRECT("Columns!C105")))</f>
        <v/>
      </c>
      <c r="Q105" s="227" t="str">
        <f t="array" aca="1" ref="Q105" ca="1">IF(TRIM(INDIRECT("Columns!D105"))="","",TRIM(INDIRECT("Columns!D105")))</f>
        <v/>
      </c>
      <c r="R105" s="227" t="str">
        <f t="array" aca="1" ref="R105" ca="1">IF(TRIM(INDIRECT("Columns!O105"))="","",TRIM(INDIRECT("Columns!O105")))</f>
        <v/>
      </c>
      <c r="S105" t="str">
        <f t="shared" ca="1" si="141"/>
        <v/>
      </c>
      <c r="T105" t="str">
        <f t="shared" ca="1" si="142"/>
        <v/>
      </c>
      <c r="U105" t="str">
        <f t="shared" ca="1" si="143"/>
        <v/>
      </c>
      <c r="V105" t="str">
        <f t="shared" ca="1" si="144"/>
        <v/>
      </c>
      <c r="W105" t="str">
        <f t="shared" ca="1" si="145"/>
        <v/>
      </c>
      <c r="X105" t="str">
        <f t="shared" ca="1" si="146"/>
        <v/>
      </c>
      <c r="Y105" t="str">
        <f t="shared" ca="1" si="147"/>
        <v/>
      </c>
      <c r="Z105" t="str">
        <f t="shared" ca="1" si="171"/>
        <v/>
      </c>
      <c r="AA105" t="str">
        <f ca="1">IF(E105="1",   IF( A105="","",IF(OR(F105="1",H105="1",I105="1"),"","COALESCE (CAST("&amp;A105&amp;" as varchar(" &amp; Options!$B$49&amp; ")),'')")),"")</f>
        <v/>
      </c>
      <c r="AB105" t="str">
        <f ca="1">IF(E105="1", IF(C105="string",  IF( A105="","",IF(OR(F105="1",H105="1",I105="1"),"","COALESCE (CAST(lower("&amp;A105&amp;") as varchar(" &amp;Options!$B$49 &amp; ")),'')")),AA105),"")</f>
        <v/>
      </c>
      <c r="AC105" t="str">
        <f ca="1">IF(E105="4",   IF( A105="","",IF(OR(F105="1",H105="1",I105="1"),"","COALESCE (CAST("  &amp;A105&amp;" as varchar(" &amp; Options!$B$49&amp; ")),'')")),"")</f>
        <v/>
      </c>
      <c r="AD105" t="str">
        <f ca="1">IF(E105="4",   IF( A105="","",IF(OR(F105="1",H105="1",I105="1"),"","COALESCE (CAST(" &amp; HELPER!$B$94 &amp; "."  &amp;A105&amp;" as varchar(" &amp; Options!$B$49&amp; ")),'')")),"")</f>
        <v/>
      </c>
      <c r="AE105" t="str">
        <f t="shared" ca="1" si="148"/>
        <v/>
      </c>
      <c r="AF105" t="str">
        <f ca="1">IF(AE105&lt;&gt;"", HELPER!$B$93 &amp;  "." &amp; AE105,"")</f>
        <v/>
      </c>
      <c r="AG105" t="str">
        <f ca="1">IF(AE105&lt;&gt;"", HELPER!$B$94 &amp; "." &amp; AE105,"")</f>
        <v/>
      </c>
      <c r="AH105" t="str">
        <f t="shared" ca="1" si="172"/>
        <v/>
      </c>
      <c r="AI105" t="str">
        <f t="shared" ca="1" si="149"/>
        <v/>
      </c>
      <c r="AJ105" t="str">
        <f t="shared" ca="1" si="150"/>
        <v/>
      </c>
      <c r="AK105" t="str">
        <f ca="1">IF(E105="4", HELPER!$B$94 &amp;  "." &amp; A105,"")</f>
        <v/>
      </c>
      <c r="AL105" t="str">
        <f ca="1">IF(E105="4", HELPER!$B$93 &amp;  "." &amp; A105,"")</f>
        <v/>
      </c>
      <c r="AM105" t="str">
        <f t="shared" ca="1" si="151"/>
        <v/>
      </c>
      <c r="AN105" t="str">
        <f t="shared" ca="1" si="152"/>
        <v/>
      </c>
      <c r="AO105" t="str">
        <f ca="1">IF(A105&lt;&gt;"", IF(OR(F105="1",H105="1",I105="1"),""," "&amp; HELPER!$B$94 &amp; "." &amp; A105),"")</f>
        <v/>
      </c>
      <c r="AP105" t="str">
        <f t="shared" ca="1" si="153"/>
        <v/>
      </c>
      <c r="AQ105" t="str">
        <f t="shared" ca="1" si="178"/>
        <v/>
      </c>
      <c r="AS105" t="str">
        <f ca="1">IF(A105="","",  HELPER!$B$94 &amp;  "." &amp; A105)</f>
        <v/>
      </c>
      <c r="AT105" t="str">
        <f t="shared" ca="1" si="154"/>
        <v/>
      </c>
      <c r="AU105" t="str">
        <f t="shared" ca="1" si="155"/>
        <v/>
      </c>
      <c r="AV105" s="190" t="str">
        <f t="shared" ca="1" si="156"/>
        <v/>
      </c>
      <c r="AW105" t="str">
        <f t="shared" ca="1" si="157"/>
        <v/>
      </c>
      <c r="AY105" t="str">
        <f t="shared" ca="1" si="158"/>
        <v/>
      </c>
      <c r="BF105" t="str">
        <f t="shared" ca="1" si="159"/>
        <v/>
      </c>
      <c r="BH105" s="285" t="str">
        <f t="shared" ca="1" si="173"/>
        <v/>
      </c>
      <c r="BI105" t="str">
        <f t="shared" ca="1" si="160"/>
        <v/>
      </c>
      <c r="BJ105" t="str">
        <f t="shared" ca="1" si="161"/>
        <v/>
      </c>
      <c r="BK105" t="str">
        <f t="shared" ca="1" si="174"/>
        <v/>
      </c>
      <c r="BM105" t="str">
        <f t="shared" ca="1" si="175"/>
        <v/>
      </c>
      <c r="BN105" t="str">
        <f t="shared" ca="1" si="176"/>
        <v/>
      </c>
      <c r="BO105" t="str">
        <f t="shared" ca="1" si="162"/>
        <v/>
      </c>
      <c r="BP105" t="b">
        <f ca="1">COUNTIF(COLHELPER!A105:'COLHELPER'!A105,COLHELPER!A105)&gt;1</f>
        <v>0</v>
      </c>
      <c r="BQ105">
        <f t="shared" ca="1" si="163"/>
        <v>0</v>
      </c>
      <c r="BR105" s="290" t="str">
        <f t="shared" ca="1" si="137"/>
        <v/>
      </c>
      <c r="BS105" t="str">
        <f t="shared" ca="1" si="164"/>
        <v/>
      </c>
      <c r="BT105" t="str">
        <f t="shared" ca="1" si="177"/>
        <v/>
      </c>
      <c r="BU105" t="str">
        <f t="shared" ca="1" si="165"/>
        <v/>
      </c>
      <c r="BV105">
        <f t="shared" ca="1" si="166"/>
        <v>0</v>
      </c>
      <c r="BW105" t="str">
        <f t="shared" ca="1" si="167"/>
        <v/>
      </c>
      <c r="BX105" t="str">
        <f t="shared" ca="1" si="168"/>
        <v/>
      </c>
      <c r="BY105" t="str">
        <f ca="1">IF(R105="","",IF(R105&gt;Options!$B$3,"ALTER TABLE "&amp;HELPER!$B$4&amp;" ADD COLUMNS ("&amp;A105&amp;" "&amp;C105&amp;")",""))</f>
        <v/>
      </c>
      <c r="BZ105" t="str">
        <f ca="1">IF(R105="","",IF(R105&gt;Options!$B$3,A105,""))</f>
        <v/>
      </c>
      <c r="CA105" t="str">
        <f ca="1">IF(R105="","",IF(R105&gt;Options!$B$3,B105,""))</f>
        <v/>
      </c>
      <c r="CB105" t="str">
        <f t="shared" ca="1" si="169"/>
        <v/>
      </c>
      <c r="CC105">
        <f t="shared" ca="1" si="170"/>
        <v>0</v>
      </c>
      <c r="CD105" t="str">
        <f ca="1">IF(J105="","",Options!$B$23 &amp; "." &amp; J105)</f>
        <v/>
      </c>
    </row>
    <row r="106" spans="1:82">
      <c r="A106" s="161" t="str">
        <f t="array" aca="1" ref="A106" ca="1">IF(TRIM(INDIRECT("Columns!A106")) ="","",TRIM(INDIRECT("Columns!A106")))</f>
        <v/>
      </c>
      <c r="B106" s="161" t="str">
        <f t="shared" ca="1" si="138"/>
        <v/>
      </c>
      <c r="C106" s="161" t="str">
        <f t="shared" ca="1" si="139"/>
        <v/>
      </c>
      <c r="D106" s="161" t="str">
        <f t="shared" ca="1" si="140"/>
        <v/>
      </c>
      <c r="E106" s="161" t="str">
        <f t="array" aca="1" ref="E106" ca="1">IF(TRIM(INDIRECT("Columns!E106"))="","",TRIM(INDIRECT("Columns!E106")))</f>
        <v/>
      </c>
      <c r="F106" s="161" t="str">
        <f t="array" aca="1" ref="F106" ca="1">IF(TRIM(INDIRECT("Columns!G106"))="","",TRIM(INDIRECT("Columns!G106")))</f>
        <v/>
      </c>
      <c r="G106" s="161" t="str">
        <f t="array" aca="1" ref="G106" ca="1">IF(TRIM(INDIRECT("Columns!F106"))="","",TRIM(INDIRECT("Columns!F106")))</f>
        <v/>
      </c>
      <c r="H106" s="161" t="str">
        <f t="array" aca="1" ref="H106" ca="1">IF(TRIM(INDIRECT("Columns!H106"))="","",TRIM(INDIRECT("Columns!H106")))</f>
        <v/>
      </c>
      <c r="I106" s="161" t="str">
        <f t="array" aca="1" ref="I106" ca="1">IF(TRIM(INDIRECT("Columns!I106"))="","",TRIM(INDIRECT("Columns!I106")))</f>
        <v/>
      </c>
      <c r="J106" s="161" t="str">
        <f t="array" aca="1" ref="J106" ca="1">IF(TRIM(INDIRECT("Columns!J106"))="","",TRIM(INDIRECT("Columns!J106")))</f>
        <v/>
      </c>
      <c r="K106" s="161" t="str">
        <f t="array" aca="1" ref="K106" ca="1">IF(TRIM(INDIRECT("Columns!K106"))="","",TRIM(INDIRECT("Columns!K106")))</f>
        <v/>
      </c>
      <c r="L106" s="161" t="str">
        <f t="array" aca="1" ref="L106" ca="1">IF(TRIM(INDIRECT("Columns!L106"))="","",TRIM(INDIRECT("Columns!L106")))</f>
        <v/>
      </c>
      <c r="M106" s="161" t="str">
        <f t="array" aca="1" ref="M106" ca="1">IF(TRIM(INDIRECT("Columns!M106"))="","",TRIM(INDIRECT("Columns!M106")))</f>
        <v/>
      </c>
      <c r="N106" s="161" t="str">
        <f t="array" aca="1" ref="N106" ca="1">IF(TRIM(INDIRECT("Columns!N106"))="","",TRIM(INDIRECT("Columns!N106")))</f>
        <v/>
      </c>
      <c r="O106" s="227" t="str">
        <f t="array" aca="1" ref="O106" ca="1">IF(TRIM(INDIRECT("Columns!B106"))="","",TRIM(INDIRECT("Columns!B106")))</f>
        <v/>
      </c>
      <c r="P106" s="227" t="str">
        <f t="array" aca="1" ref="P106" ca="1">IF(TRIM(INDIRECT("Columns!C106"))="","",TRIM(INDIRECT("Columns!C106")))</f>
        <v/>
      </c>
      <c r="Q106" s="227" t="str">
        <f t="array" aca="1" ref="Q106" ca="1">IF(TRIM(INDIRECT("Columns!D106"))="","",TRIM(INDIRECT("Columns!D106")))</f>
        <v/>
      </c>
      <c r="R106" s="227" t="str">
        <f t="array" aca="1" ref="R106" ca="1">IF(TRIM(INDIRECT("Columns!O106"))="","",TRIM(INDIRECT("Columns!O106")))</f>
        <v/>
      </c>
      <c r="S106" t="str">
        <f t="shared" ca="1" si="141"/>
        <v/>
      </c>
      <c r="T106" t="str">
        <f t="shared" ca="1" si="142"/>
        <v/>
      </c>
      <c r="U106" t="str">
        <f t="shared" ca="1" si="143"/>
        <v/>
      </c>
      <c r="V106" t="str">
        <f t="shared" ca="1" si="144"/>
        <v/>
      </c>
      <c r="W106" t="str">
        <f t="shared" ca="1" si="145"/>
        <v/>
      </c>
      <c r="X106" t="str">
        <f t="shared" ca="1" si="146"/>
        <v/>
      </c>
      <c r="Y106" t="str">
        <f t="shared" ca="1" si="147"/>
        <v/>
      </c>
      <c r="Z106" t="str">
        <f t="shared" ca="1" si="171"/>
        <v/>
      </c>
      <c r="AA106" t="str">
        <f ca="1">IF(E106="1",   IF( A106="","",IF(OR(F106="1",H106="1",I106="1"),"","COALESCE (CAST("&amp;A106&amp;" as varchar(" &amp; Options!$B$49&amp; ")),'')")),"")</f>
        <v/>
      </c>
      <c r="AB106" t="str">
        <f ca="1">IF(E106="1", IF(C106="string",  IF( A106="","",IF(OR(F106="1",H106="1",I106="1"),"","COALESCE (CAST(lower("&amp;A106&amp;") as varchar(" &amp;Options!$B$49 &amp; ")),'')")),AA106),"")</f>
        <v/>
      </c>
      <c r="AC106" t="str">
        <f ca="1">IF(E106="4",   IF( A106="","",IF(OR(F106="1",H106="1",I106="1"),"","COALESCE (CAST("  &amp;A106&amp;" as varchar(" &amp; Options!$B$49&amp; ")),'')")),"")</f>
        <v/>
      </c>
      <c r="AD106" t="str">
        <f ca="1">IF(E106="4",   IF( A106="","",IF(OR(F106="1",H106="1",I106="1"),"","COALESCE (CAST(" &amp; HELPER!$B$94 &amp; "."  &amp;A106&amp;" as varchar(" &amp; Options!$B$49&amp; ")),'')")),"")</f>
        <v/>
      </c>
      <c r="AE106" t="str">
        <f t="shared" ca="1" si="148"/>
        <v/>
      </c>
      <c r="AF106" t="str">
        <f ca="1">IF(AE106&lt;&gt;"", HELPER!$B$93 &amp;  "." &amp; AE106,"")</f>
        <v/>
      </c>
      <c r="AG106" t="str">
        <f ca="1">IF(AE106&lt;&gt;"", HELPER!$B$94 &amp; "." &amp; AE106,"")</f>
        <v/>
      </c>
      <c r="AH106" t="str">
        <f t="shared" ca="1" si="172"/>
        <v/>
      </c>
      <c r="AI106" t="str">
        <f t="shared" ca="1" si="149"/>
        <v/>
      </c>
      <c r="AJ106" t="str">
        <f t="shared" ca="1" si="150"/>
        <v/>
      </c>
      <c r="AK106" t="str">
        <f ca="1">IF(E106="4", HELPER!$B$94 &amp;  "." &amp; A106,"")</f>
        <v/>
      </c>
      <c r="AL106" t="str">
        <f ca="1">IF(E106="4", HELPER!$B$93 &amp;  "." &amp; A106,"")</f>
        <v/>
      </c>
      <c r="AM106" t="str">
        <f t="shared" ca="1" si="151"/>
        <v/>
      </c>
      <c r="AN106" t="str">
        <f t="shared" ca="1" si="152"/>
        <v/>
      </c>
      <c r="AO106" t="str">
        <f ca="1">IF(A106&lt;&gt;"", IF(OR(F106="1",H106="1",I106="1"),""," "&amp; HELPER!$B$94 &amp; "." &amp; A106),"")</f>
        <v/>
      </c>
      <c r="AP106" t="str">
        <f t="shared" ca="1" si="153"/>
        <v/>
      </c>
      <c r="AQ106" t="str">
        <f t="shared" ca="1" si="178"/>
        <v/>
      </c>
      <c r="AS106" t="str">
        <f ca="1">IF(A106="","",  HELPER!$B$94 &amp;  "." &amp; A106)</f>
        <v/>
      </c>
      <c r="AT106" t="str">
        <f t="shared" ca="1" si="154"/>
        <v/>
      </c>
      <c r="AU106" t="str">
        <f t="shared" ca="1" si="155"/>
        <v/>
      </c>
      <c r="AV106" s="190" t="str">
        <f t="shared" ca="1" si="156"/>
        <v/>
      </c>
      <c r="AW106" t="str">
        <f t="shared" ca="1" si="157"/>
        <v/>
      </c>
      <c r="AY106" t="str">
        <f t="shared" ca="1" si="158"/>
        <v/>
      </c>
      <c r="BF106" t="str">
        <f t="shared" ca="1" si="159"/>
        <v/>
      </c>
      <c r="BH106" s="285" t="str">
        <f t="shared" ca="1" si="173"/>
        <v/>
      </c>
      <c r="BI106" t="str">
        <f t="shared" ca="1" si="160"/>
        <v/>
      </c>
      <c r="BJ106" t="str">
        <f t="shared" ca="1" si="161"/>
        <v/>
      </c>
      <c r="BK106" t="str">
        <f t="shared" ca="1" si="174"/>
        <v/>
      </c>
      <c r="BM106" t="str">
        <f t="shared" ca="1" si="175"/>
        <v/>
      </c>
      <c r="BN106" t="str">
        <f t="shared" ca="1" si="176"/>
        <v/>
      </c>
      <c r="BO106" t="str">
        <f t="shared" ca="1" si="162"/>
        <v/>
      </c>
      <c r="BP106" t="b">
        <f ca="1">COUNTIF(COLHELPER!A106:'COLHELPER'!A106,COLHELPER!A106)&gt;1</f>
        <v>0</v>
      </c>
      <c r="BQ106">
        <f t="shared" ca="1" si="163"/>
        <v>0</v>
      </c>
      <c r="BR106" s="290" t="str">
        <f t="shared" ca="1" si="137"/>
        <v/>
      </c>
      <c r="BS106" t="str">
        <f t="shared" ca="1" si="164"/>
        <v/>
      </c>
      <c r="BT106" t="str">
        <f t="shared" ca="1" si="177"/>
        <v/>
      </c>
      <c r="BU106" t="str">
        <f t="shared" ca="1" si="165"/>
        <v/>
      </c>
      <c r="BV106">
        <f t="shared" ca="1" si="166"/>
        <v>0</v>
      </c>
      <c r="BW106" t="str">
        <f t="shared" ca="1" si="167"/>
        <v/>
      </c>
      <c r="BX106" t="str">
        <f t="shared" ca="1" si="168"/>
        <v/>
      </c>
      <c r="BY106" t="str">
        <f ca="1">IF(R106="","",IF(R106&gt;Options!$B$3,"ALTER TABLE "&amp;HELPER!$B$4&amp;" ADD COLUMNS ("&amp;A106&amp;" "&amp;C106&amp;")",""))</f>
        <v/>
      </c>
      <c r="BZ106" t="str">
        <f ca="1">IF(R106="","",IF(R106&gt;Options!$B$3,A106,""))</f>
        <v/>
      </c>
      <c r="CA106" t="str">
        <f ca="1">IF(R106="","",IF(R106&gt;Options!$B$3,B106,""))</f>
        <v/>
      </c>
      <c r="CB106" t="str">
        <f t="shared" ca="1" si="169"/>
        <v/>
      </c>
      <c r="CC106">
        <f t="shared" ca="1" si="170"/>
        <v>0</v>
      </c>
      <c r="CD106" t="str">
        <f ca="1">IF(J106="","",Options!$B$23 &amp; "." &amp; J106)</f>
        <v/>
      </c>
    </row>
    <row r="107" spans="1:82">
      <c r="A107" s="161" t="str">
        <f t="array" aca="1" ref="A107" ca="1">IF(TRIM(INDIRECT("Columns!A107")) ="","",TRIM(INDIRECT("Columns!A107")))</f>
        <v/>
      </c>
      <c r="B107" s="161" t="str">
        <f t="shared" ca="1" si="138"/>
        <v/>
      </c>
      <c r="C107" s="161" t="str">
        <f t="shared" ca="1" si="139"/>
        <v/>
      </c>
      <c r="D107" s="161" t="str">
        <f t="shared" ca="1" si="140"/>
        <v/>
      </c>
      <c r="E107" s="161" t="str">
        <f t="array" aca="1" ref="E107" ca="1">IF(TRIM(INDIRECT("Columns!E107"))="","",TRIM(INDIRECT("Columns!E107")))</f>
        <v/>
      </c>
      <c r="F107" s="161" t="str">
        <f t="array" aca="1" ref="F107" ca="1">IF(TRIM(INDIRECT("Columns!G107"))="","",TRIM(INDIRECT("Columns!G107")))</f>
        <v/>
      </c>
      <c r="G107" s="161" t="str">
        <f t="array" aca="1" ref="G107" ca="1">IF(TRIM(INDIRECT("Columns!F107"))="","",TRIM(INDIRECT("Columns!F107")))</f>
        <v/>
      </c>
      <c r="H107" s="161" t="str">
        <f t="array" aca="1" ref="H107" ca="1">IF(TRIM(INDIRECT("Columns!H107"))="","",TRIM(INDIRECT("Columns!H107")))</f>
        <v/>
      </c>
      <c r="I107" s="161" t="str">
        <f t="array" aca="1" ref="I107" ca="1">IF(TRIM(INDIRECT("Columns!I107"))="","",TRIM(INDIRECT("Columns!I107")))</f>
        <v/>
      </c>
      <c r="J107" s="161" t="str">
        <f t="array" aca="1" ref="J107" ca="1">IF(TRIM(INDIRECT("Columns!J107"))="","",TRIM(INDIRECT("Columns!J107")))</f>
        <v/>
      </c>
      <c r="K107" s="161" t="str">
        <f t="array" aca="1" ref="K107" ca="1">IF(TRIM(INDIRECT("Columns!K107"))="","",TRIM(INDIRECT("Columns!K107")))</f>
        <v/>
      </c>
      <c r="L107" s="161" t="str">
        <f t="array" aca="1" ref="L107" ca="1">IF(TRIM(INDIRECT("Columns!L107"))="","",TRIM(INDIRECT("Columns!L107")))</f>
        <v/>
      </c>
      <c r="M107" s="161" t="str">
        <f t="array" aca="1" ref="M107" ca="1">IF(TRIM(INDIRECT("Columns!M107"))="","",TRIM(INDIRECT("Columns!M107")))</f>
        <v/>
      </c>
      <c r="N107" s="161" t="str">
        <f t="array" aca="1" ref="N107" ca="1">IF(TRIM(INDIRECT("Columns!N107"))="","",TRIM(INDIRECT("Columns!N107")))</f>
        <v/>
      </c>
      <c r="O107" s="227" t="str">
        <f t="array" aca="1" ref="O107" ca="1">IF(TRIM(INDIRECT("Columns!B107"))="","",TRIM(INDIRECT("Columns!B107")))</f>
        <v/>
      </c>
      <c r="P107" s="227" t="str">
        <f t="array" aca="1" ref="P107" ca="1">IF(TRIM(INDIRECT("Columns!C107"))="","",TRIM(INDIRECT("Columns!C107")))</f>
        <v/>
      </c>
      <c r="Q107" s="227" t="str">
        <f t="array" aca="1" ref="Q107" ca="1">IF(TRIM(INDIRECT("Columns!D107"))="","",TRIM(INDIRECT("Columns!D107")))</f>
        <v/>
      </c>
      <c r="R107" s="227" t="str">
        <f t="array" aca="1" ref="R107" ca="1">IF(TRIM(INDIRECT("Columns!O107"))="","",TRIM(INDIRECT("Columns!O107")))</f>
        <v/>
      </c>
      <c r="S107" t="str">
        <f t="shared" ca="1" si="141"/>
        <v/>
      </c>
      <c r="T107" t="str">
        <f t="shared" ca="1" si="142"/>
        <v/>
      </c>
      <c r="U107" t="str">
        <f t="shared" ca="1" si="143"/>
        <v/>
      </c>
      <c r="V107" t="str">
        <f t="shared" ca="1" si="144"/>
        <v/>
      </c>
      <c r="W107" t="str">
        <f t="shared" ca="1" si="145"/>
        <v/>
      </c>
      <c r="X107" t="str">
        <f t="shared" ca="1" si="146"/>
        <v/>
      </c>
      <c r="Y107" t="str">
        <f t="shared" ca="1" si="147"/>
        <v/>
      </c>
      <c r="Z107" t="str">
        <f t="shared" ca="1" si="171"/>
        <v/>
      </c>
      <c r="AA107" t="str">
        <f ca="1">IF(E107="1",   IF( A107="","",IF(OR(F107="1",H107="1",I107="1"),"","COALESCE (CAST("&amp;A107&amp;" as varchar(" &amp; Options!$B$49&amp; ")),'')")),"")</f>
        <v/>
      </c>
      <c r="AB107" t="str">
        <f ca="1">IF(E107="1", IF(C107="string",  IF( A107="","",IF(OR(F107="1",H107="1",I107="1"),"","COALESCE (CAST(lower("&amp;A107&amp;") as varchar(" &amp;Options!$B$49 &amp; ")),'')")),AA107),"")</f>
        <v/>
      </c>
      <c r="AC107" t="str">
        <f ca="1">IF(E107="4",   IF( A107="","",IF(OR(F107="1",H107="1",I107="1"),"","COALESCE (CAST("  &amp;A107&amp;" as varchar(" &amp; Options!$B$49&amp; ")),'')")),"")</f>
        <v/>
      </c>
      <c r="AD107" t="str">
        <f ca="1">IF(E107="4",   IF( A107="","",IF(OR(F107="1",H107="1",I107="1"),"","COALESCE (CAST(" &amp; HELPER!$B$94 &amp; "."  &amp;A107&amp;" as varchar(" &amp; Options!$B$49&amp; ")),'')")),"")</f>
        <v/>
      </c>
      <c r="AE107" t="str">
        <f t="shared" ca="1" si="148"/>
        <v/>
      </c>
      <c r="AF107" t="str">
        <f ca="1">IF(AE107&lt;&gt;"", HELPER!$B$93 &amp;  "." &amp; AE107,"")</f>
        <v/>
      </c>
      <c r="AG107" t="str">
        <f ca="1">IF(AE107&lt;&gt;"", HELPER!$B$94 &amp; "." &amp; AE107,"")</f>
        <v/>
      </c>
      <c r="AH107" t="str">
        <f t="shared" ca="1" si="172"/>
        <v/>
      </c>
      <c r="AI107" t="str">
        <f t="shared" ca="1" si="149"/>
        <v/>
      </c>
      <c r="AJ107" t="str">
        <f t="shared" ca="1" si="150"/>
        <v/>
      </c>
      <c r="AK107" t="str">
        <f ca="1">IF(E107="4", HELPER!$B$94 &amp;  "." &amp; A107,"")</f>
        <v/>
      </c>
      <c r="AL107" t="str">
        <f ca="1">IF(E107="4", HELPER!$B$93 &amp;  "." &amp; A107,"")</f>
        <v/>
      </c>
      <c r="AM107" t="str">
        <f t="shared" ca="1" si="151"/>
        <v/>
      </c>
      <c r="AN107" t="str">
        <f t="shared" ca="1" si="152"/>
        <v/>
      </c>
      <c r="AO107" t="str">
        <f ca="1">IF(A107&lt;&gt;"", IF(OR(F107="1",H107="1",I107="1"),""," "&amp; HELPER!$B$94 &amp; "." &amp; A107),"")</f>
        <v/>
      </c>
      <c r="AP107" t="str">
        <f t="shared" ca="1" si="153"/>
        <v/>
      </c>
      <c r="AQ107" t="str">
        <f t="shared" ca="1" si="178"/>
        <v/>
      </c>
      <c r="AS107" t="str">
        <f ca="1">IF(A107="","",  HELPER!$B$94 &amp;  "." &amp; A107)</f>
        <v/>
      </c>
      <c r="AT107" t="str">
        <f t="shared" ca="1" si="154"/>
        <v/>
      </c>
      <c r="AU107" t="str">
        <f t="shared" ca="1" si="155"/>
        <v/>
      </c>
      <c r="AV107" s="190" t="str">
        <f t="shared" ca="1" si="156"/>
        <v/>
      </c>
      <c r="AW107" t="str">
        <f t="shared" ca="1" si="157"/>
        <v/>
      </c>
      <c r="AY107" t="str">
        <f t="shared" ca="1" si="158"/>
        <v/>
      </c>
      <c r="BF107" t="str">
        <f t="shared" ca="1" si="159"/>
        <v/>
      </c>
      <c r="BH107" s="285" t="str">
        <f t="shared" ca="1" si="173"/>
        <v/>
      </c>
      <c r="BI107" t="str">
        <f t="shared" ca="1" si="160"/>
        <v/>
      </c>
      <c r="BJ107" t="str">
        <f t="shared" ca="1" si="161"/>
        <v/>
      </c>
      <c r="BK107" t="str">
        <f t="shared" ca="1" si="174"/>
        <v/>
      </c>
      <c r="BM107" t="str">
        <f t="shared" ca="1" si="175"/>
        <v/>
      </c>
      <c r="BN107" t="str">
        <f t="shared" ca="1" si="176"/>
        <v/>
      </c>
      <c r="BO107" t="str">
        <f t="shared" ca="1" si="162"/>
        <v/>
      </c>
      <c r="BP107" t="b">
        <f ca="1">COUNTIF(COLHELPER!A107:'COLHELPER'!A107,COLHELPER!A107)&gt;1</f>
        <v>0</v>
      </c>
      <c r="BQ107">
        <f t="shared" ca="1" si="163"/>
        <v>0</v>
      </c>
      <c r="BR107" s="290" t="str">
        <f t="shared" ca="1" si="137"/>
        <v/>
      </c>
      <c r="BS107" t="str">
        <f t="shared" ca="1" si="164"/>
        <v/>
      </c>
      <c r="BT107" t="str">
        <f t="shared" ca="1" si="177"/>
        <v/>
      </c>
      <c r="BU107" t="str">
        <f t="shared" ca="1" si="165"/>
        <v/>
      </c>
      <c r="BV107">
        <f t="shared" ca="1" si="166"/>
        <v>0</v>
      </c>
      <c r="BW107" t="str">
        <f t="shared" ca="1" si="167"/>
        <v/>
      </c>
      <c r="BX107" t="str">
        <f t="shared" ca="1" si="168"/>
        <v/>
      </c>
      <c r="BY107" t="str">
        <f ca="1">IF(R107="","",IF(R107&gt;Options!$B$3,"ALTER TABLE "&amp;HELPER!$B$4&amp;" ADD COLUMNS ("&amp;A107&amp;" "&amp;C107&amp;")",""))</f>
        <v/>
      </c>
      <c r="BZ107" t="str">
        <f ca="1">IF(R107="","",IF(R107&gt;Options!$B$3,A107,""))</f>
        <v/>
      </c>
      <c r="CA107" t="str">
        <f ca="1">IF(R107="","",IF(R107&gt;Options!$B$3,B107,""))</f>
        <v/>
      </c>
      <c r="CB107" t="str">
        <f t="shared" ca="1" si="169"/>
        <v/>
      </c>
      <c r="CC107">
        <f t="shared" ca="1" si="170"/>
        <v>0</v>
      </c>
      <c r="CD107" t="str">
        <f ca="1">IF(J107="","",Options!$B$23 &amp; "." &amp; J107)</f>
        <v/>
      </c>
    </row>
    <row r="108" spans="1:82">
      <c r="A108" s="161" t="str">
        <f t="array" aca="1" ref="A108" ca="1">IF(TRIM(INDIRECT("Columns!A108")) ="","",TRIM(INDIRECT("Columns!A108")))</f>
        <v/>
      </c>
      <c r="B108" s="161" t="str">
        <f t="shared" ca="1" si="138"/>
        <v/>
      </c>
      <c r="C108" s="161" t="str">
        <f t="shared" ca="1" si="139"/>
        <v/>
      </c>
      <c r="D108" s="161" t="str">
        <f t="shared" ca="1" si="140"/>
        <v/>
      </c>
      <c r="E108" s="161" t="str">
        <f t="array" aca="1" ref="E108" ca="1">IF(TRIM(INDIRECT("Columns!E108"))="","",TRIM(INDIRECT("Columns!E108")))</f>
        <v/>
      </c>
      <c r="F108" s="161" t="str">
        <f t="array" aca="1" ref="F108" ca="1">IF(TRIM(INDIRECT("Columns!G108"))="","",TRIM(INDIRECT("Columns!G108")))</f>
        <v/>
      </c>
      <c r="G108" s="161" t="str">
        <f t="array" aca="1" ref="G108" ca="1">IF(TRIM(INDIRECT("Columns!F108"))="","",TRIM(INDIRECT("Columns!F108")))</f>
        <v/>
      </c>
      <c r="H108" s="161" t="str">
        <f t="array" aca="1" ref="H108" ca="1">IF(TRIM(INDIRECT("Columns!H108"))="","",TRIM(INDIRECT("Columns!H108")))</f>
        <v/>
      </c>
      <c r="I108" s="161" t="str">
        <f t="array" aca="1" ref="I108" ca="1">IF(TRIM(INDIRECT("Columns!I108"))="","",TRIM(INDIRECT("Columns!I108")))</f>
        <v/>
      </c>
      <c r="J108" s="161" t="str">
        <f t="array" aca="1" ref="J108" ca="1">IF(TRIM(INDIRECT("Columns!J108"))="","",TRIM(INDIRECT("Columns!J108")))</f>
        <v/>
      </c>
      <c r="K108" s="161" t="str">
        <f t="array" aca="1" ref="K108" ca="1">IF(TRIM(INDIRECT("Columns!K108"))="","",TRIM(INDIRECT("Columns!K108")))</f>
        <v/>
      </c>
      <c r="L108" s="161" t="str">
        <f t="array" aca="1" ref="L108" ca="1">IF(TRIM(INDIRECT("Columns!L108"))="","",TRIM(INDIRECT("Columns!L108")))</f>
        <v/>
      </c>
      <c r="M108" s="161" t="str">
        <f t="array" aca="1" ref="M108" ca="1">IF(TRIM(INDIRECT("Columns!M108"))="","",TRIM(INDIRECT("Columns!M108")))</f>
        <v/>
      </c>
      <c r="N108" s="161" t="str">
        <f t="array" aca="1" ref="N108" ca="1">IF(TRIM(INDIRECT("Columns!N108"))="","",TRIM(INDIRECT("Columns!N108")))</f>
        <v/>
      </c>
      <c r="O108" s="227" t="str">
        <f t="array" aca="1" ref="O108" ca="1">IF(TRIM(INDIRECT("Columns!B108"))="","",TRIM(INDIRECT("Columns!B108")))</f>
        <v/>
      </c>
      <c r="P108" s="227" t="str">
        <f t="array" aca="1" ref="P108" ca="1">IF(TRIM(INDIRECT("Columns!C108"))="","",TRIM(INDIRECT("Columns!C108")))</f>
        <v/>
      </c>
      <c r="Q108" s="227" t="str">
        <f t="array" aca="1" ref="Q108" ca="1">IF(TRIM(INDIRECT("Columns!D108"))="","",TRIM(INDIRECT("Columns!D108")))</f>
        <v/>
      </c>
      <c r="R108" s="227" t="str">
        <f t="array" aca="1" ref="R108" ca="1">IF(TRIM(INDIRECT("Columns!O108"))="","",TRIM(INDIRECT("Columns!O108")))</f>
        <v/>
      </c>
      <c r="S108" t="str">
        <f t="shared" ca="1" si="141"/>
        <v/>
      </c>
      <c r="T108" t="str">
        <f t="shared" ca="1" si="142"/>
        <v/>
      </c>
      <c r="U108" t="str">
        <f t="shared" ca="1" si="143"/>
        <v/>
      </c>
      <c r="V108" t="str">
        <f t="shared" ca="1" si="144"/>
        <v/>
      </c>
      <c r="W108" t="str">
        <f t="shared" ca="1" si="145"/>
        <v/>
      </c>
      <c r="X108" t="str">
        <f t="shared" ca="1" si="146"/>
        <v/>
      </c>
      <c r="Y108" t="str">
        <f t="shared" ca="1" si="147"/>
        <v/>
      </c>
      <c r="Z108" t="str">
        <f t="shared" ca="1" si="171"/>
        <v/>
      </c>
      <c r="AA108" t="str">
        <f ca="1">IF(E108="1",   IF( A108="","",IF(OR(F108="1",H108="1",I108="1"),"","COALESCE (CAST("&amp;A108&amp;" as varchar(" &amp; Options!$B$49&amp; ")),'')")),"")</f>
        <v/>
      </c>
      <c r="AB108" t="str">
        <f ca="1">IF(E108="1", IF(C108="string",  IF( A108="","",IF(OR(F108="1",H108="1",I108="1"),"","COALESCE (CAST(lower("&amp;A108&amp;") as varchar(" &amp;Options!$B$49 &amp; ")),'')")),AA108),"")</f>
        <v/>
      </c>
      <c r="AC108" t="str">
        <f ca="1">IF(E108="4",   IF( A108="","",IF(OR(F108="1",H108="1",I108="1"),"","COALESCE (CAST("  &amp;A108&amp;" as varchar(" &amp; Options!$B$49&amp; ")),'')")),"")</f>
        <v/>
      </c>
      <c r="AD108" t="str">
        <f ca="1">IF(E108="4",   IF( A108="","",IF(OR(F108="1",H108="1",I108="1"),"","COALESCE (CAST(" &amp; HELPER!$B$94 &amp; "."  &amp;A108&amp;" as varchar(" &amp; Options!$B$49&amp; ")),'')")),"")</f>
        <v/>
      </c>
      <c r="AE108" t="str">
        <f t="shared" ca="1" si="148"/>
        <v/>
      </c>
      <c r="AF108" t="str">
        <f ca="1">IF(AE108&lt;&gt;"", HELPER!$B$93 &amp;  "." &amp; AE108,"")</f>
        <v/>
      </c>
      <c r="AG108" t="str">
        <f ca="1">IF(AE108&lt;&gt;"", HELPER!$B$94 &amp; "." &amp; AE108,"")</f>
        <v/>
      </c>
      <c r="AH108" t="str">
        <f t="shared" ca="1" si="172"/>
        <v/>
      </c>
      <c r="AI108" t="str">
        <f t="shared" ca="1" si="149"/>
        <v/>
      </c>
      <c r="AJ108" t="str">
        <f t="shared" ca="1" si="150"/>
        <v/>
      </c>
      <c r="AK108" t="str">
        <f ca="1">IF(E108="4", HELPER!$B$94 &amp;  "." &amp; A108,"")</f>
        <v/>
      </c>
      <c r="AL108" t="str">
        <f ca="1">IF(E108="4", HELPER!$B$93 &amp;  "." &amp; A108,"")</f>
        <v/>
      </c>
      <c r="AM108" t="str">
        <f t="shared" ca="1" si="151"/>
        <v/>
      </c>
      <c r="AN108" t="str">
        <f t="shared" ca="1" si="152"/>
        <v/>
      </c>
      <c r="AO108" t="str">
        <f ca="1">IF(A108&lt;&gt;"", IF(OR(F108="1",H108="1",I108="1"),""," "&amp; HELPER!$B$94 &amp; "." &amp; A108),"")</f>
        <v/>
      </c>
      <c r="AP108" t="str">
        <f t="shared" ca="1" si="153"/>
        <v/>
      </c>
      <c r="AQ108" t="str">
        <f t="shared" ca="1" si="178"/>
        <v/>
      </c>
      <c r="AS108" t="str">
        <f ca="1">IF(A108="","",  HELPER!$B$94 &amp;  "." &amp; A108)</f>
        <v/>
      </c>
      <c r="AT108" t="str">
        <f t="shared" ca="1" si="154"/>
        <v/>
      </c>
      <c r="AU108" t="str">
        <f t="shared" ca="1" si="155"/>
        <v/>
      </c>
      <c r="AV108" s="190" t="str">
        <f t="shared" ca="1" si="156"/>
        <v/>
      </c>
      <c r="AW108" t="str">
        <f t="shared" ca="1" si="157"/>
        <v/>
      </c>
      <c r="AY108" t="str">
        <f t="shared" ca="1" si="158"/>
        <v/>
      </c>
      <c r="BF108" t="str">
        <f t="shared" ca="1" si="159"/>
        <v/>
      </c>
      <c r="BH108" s="285" t="str">
        <f t="shared" ca="1" si="173"/>
        <v/>
      </c>
      <c r="BI108" t="str">
        <f t="shared" ca="1" si="160"/>
        <v/>
      </c>
      <c r="BJ108" t="str">
        <f t="shared" ca="1" si="161"/>
        <v/>
      </c>
      <c r="BK108" t="str">
        <f t="shared" ca="1" si="174"/>
        <v/>
      </c>
      <c r="BM108" t="str">
        <f t="shared" ca="1" si="175"/>
        <v/>
      </c>
      <c r="BN108" t="str">
        <f t="shared" ca="1" si="176"/>
        <v/>
      </c>
      <c r="BO108" t="str">
        <f t="shared" ca="1" si="162"/>
        <v/>
      </c>
      <c r="BP108" t="b">
        <f ca="1">COUNTIF(COLHELPER!A108:'COLHELPER'!A108,COLHELPER!A108)&gt;1</f>
        <v>0</v>
      </c>
      <c r="BQ108">
        <f t="shared" ca="1" si="163"/>
        <v>0</v>
      </c>
      <c r="BR108" s="290" t="str">
        <f t="shared" ca="1" si="137"/>
        <v/>
      </c>
      <c r="BS108" t="str">
        <f t="shared" ca="1" si="164"/>
        <v/>
      </c>
      <c r="BT108" t="str">
        <f t="shared" ca="1" si="177"/>
        <v/>
      </c>
      <c r="BU108" t="str">
        <f t="shared" ca="1" si="165"/>
        <v/>
      </c>
      <c r="BV108">
        <f t="shared" ca="1" si="166"/>
        <v>0</v>
      </c>
      <c r="BW108" t="str">
        <f t="shared" ca="1" si="167"/>
        <v/>
      </c>
      <c r="BX108" t="str">
        <f t="shared" ca="1" si="168"/>
        <v/>
      </c>
      <c r="BY108" t="str">
        <f ca="1">IF(R108="","",IF(R108&gt;Options!$B$3,"ALTER TABLE "&amp;HELPER!$B$4&amp;" ADD COLUMNS ("&amp;A108&amp;" "&amp;C108&amp;")",""))</f>
        <v/>
      </c>
      <c r="BZ108" t="str">
        <f ca="1">IF(R108="","",IF(R108&gt;Options!$B$3,A108,""))</f>
        <v/>
      </c>
      <c r="CA108" t="str">
        <f ca="1">IF(R108="","",IF(R108&gt;Options!$B$3,B108,""))</f>
        <v/>
      </c>
      <c r="CB108" t="str">
        <f t="shared" ca="1" si="169"/>
        <v/>
      </c>
      <c r="CC108">
        <f t="shared" ca="1" si="170"/>
        <v>0</v>
      </c>
      <c r="CD108" t="str">
        <f ca="1">IF(J108="","",Options!$B$23 &amp; "." &amp; J108)</f>
        <v/>
      </c>
    </row>
    <row r="109" spans="1:82">
      <c r="A109" s="161" t="str">
        <f t="array" aca="1" ref="A109" ca="1">IF(TRIM(INDIRECT("Columns!A109")) ="","",TRIM(INDIRECT("Columns!A109")))</f>
        <v/>
      </c>
      <c r="B109" s="161" t="str">
        <f t="shared" ca="1" si="138"/>
        <v/>
      </c>
      <c r="C109" s="161" t="str">
        <f t="shared" ca="1" si="139"/>
        <v/>
      </c>
      <c r="D109" s="161" t="str">
        <f t="shared" ca="1" si="140"/>
        <v/>
      </c>
      <c r="E109" s="161" t="str">
        <f t="array" aca="1" ref="E109" ca="1">IF(TRIM(INDIRECT("Columns!E109"))="","",TRIM(INDIRECT("Columns!E109")))</f>
        <v/>
      </c>
      <c r="F109" s="161" t="str">
        <f t="array" aca="1" ref="F109" ca="1">IF(TRIM(INDIRECT("Columns!G109"))="","",TRIM(INDIRECT("Columns!G109")))</f>
        <v/>
      </c>
      <c r="G109" s="161" t="str">
        <f t="array" aca="1" ref="G109" ca="1">IF(TRIM(INDIRECT("Columns!F109"))="","",TRIM(INDIRECT("Columns!F109")))</f>
        <v/>
      </c>
      <c r="H109" s="161" t="str">
        <f t="array" aca="1" ref="H109" ca="1">IF(TRIM(INDIRECT("Columns!H109"))="","",TRIM(INDIRECT("Columns!H109")))</f>
        <v/>
      </c>
      <c r="I109" s="161" t="str">
        <f t="array" aca="1" ref="I109" ca="1">IF(TRIM(INDIRECT("Columns!I109"))="","",TRIM(INDIRECT("Columns!I109")))</f>
        <v/>
      </c>
      <c r="J109" s="161" t="str">
        <f t="array" aca="1" ref="J109" ca="1">IF(TRIM(INDIRECT("Columns!J109"))="","",TRIM(INDIRECT("Columns!J109")))</f>
        <v/>
      </c>
      <c r="K109" s="161" t="str">
        <f t="array" aca="1" ref="K109" ca="1">IF(TRIM(INDIRECT("Columns!K109"))="","",TRIM(INDIRECT("Columns!K109")))</f>
        <v/>
      </c>
      <c r="L109" s="161" t="str">
        <f t="array" aca="1" ref="L109" ca="1">IF(TRIM(INDIRECT("Columns!L109"))="","",TRIM(INDIRECT("Columns!L109")))</f>
        <v/>
      </c>
      <c r="M109" s="161" t="str">
        <f t="array" aca="1" ref="M109" ca="1">IF(TRIM(INDIRECT("Columns!M109"))="","",TRIM(INDIRECT("Columns!M109")))</f>
        <v/>
      </c>
      <c r="N109" s="161" t="str">
        <f t="array" aca="1" ref="N109" ca="1">IF(TRIM(INDIRECT("Columns!N109"))="","",TRIM(INDIRECT("Columns!N109")))</f>
        <v/>
      </c>
      <c r="O109" s="227" t="str">
        <f t="array" aca="1" ref="O109" ca="1">IF(TRIM(INDIRECT("Columns!B109"))="","",TRIM(INDIRECT("Columns!B109")))</f>
        <v/>
      </c>
      <c r="P109" s="227" t="str">
        <f t="array" aca="1" ref="P109" ca="1">IF(TRIM(INDIRECT("Columns!C109"))="","",TRIM(INDIRECT("Columns!C109")))</f>
        <v/>
      </c>
      <c r="Q109" s="227" t="str">
        <f t="array" aca="1" ref="Q109" ca="1">IF(TRIM(INDIRECT("Columns!D109"))="","",TRIM(INDIRECT("Columns!D109")))</f>
        <v/>
      </c>
      <c r="R109" s="227" t="str">
        <f t="array" aca="1" ref="R109" ca="1">IF(TRIM(INDIRECT("Columns!O109"))="","",TRIM(INDIRECT("Columns!O109")))</f>
        <v/>
      </c>
      <c r="S109" t="str">
        <f t="shared" ca="1" si="141"/>
        <v/>
      </c>
      <c r="T109" t="str">
        <f t="shared" ca="1" si="142"/>
        <v/>
      </c>
      <c r="U109" t="str">
        <f t="shared" ca="1" si="143"/>
        <v/>
      </c>
      <c r="V109" t="str">
        <f t="shared" ca="1" si="144"/>
        <v/>
      </c>
      <c r="W109" t="str">
        <f t="shared" ca="1" si="145"/>
        <v/>
      </c>
      <c r="X109" t="str">
        <f t="shared" ca="1" si="146"/>
        <v/>
      </c>
      <c r="Y109" t="str">
        <f t="shared" ca="1" si="147"/>
        <v/>
      </c>
      <c r="Z109" t="str">
        <f t="shared" ca="1" si="171"/>
        <v/>
      </c>
      <c r="AA109" t="str">
        <f ca="1">IF(E109="1",   IF( A109="","",IF(OR(F109="1",H109="1",I109="1"),"","COALESCE (CAST("&amp;A109&amp;" as varchar(" &amp; Options!$B$49&amp; ")),'')")),"")</f>
        <v/>
      </c>
      <c r="AB109" t="str">
        <f ca="1">IF(E109="1", IF(C109="string",  IF( A109="","",IF(OR(F109="1",H109="1",I109="1"),"","COALESCE (CAST(lower("&amp;A109&amp;") as varchar(" &amp;Options!$B$49 &amp; ")),'')")),AA109),"")</f>
        <v/>
      </c>
      <c r="AC109" t="str">
        <f ca="1">IF(E109="4",   IF( A109="","",IF(OR(F109="1",H109="1",I109="1"),"","COALESCE (CAST("  &amp;A109&amp;" as varchar(" &amp; Options!$B$49&amp; ")),'')")),"")</f>
        <v/>
      </c>
      <c r="AD109" t="str">
        <f ca="1">IF(E109="4",   IF( A109="","",IF(OR(F109="1",H109="1",I109="1"),"","COALESCE (CAST(" &amp; HELPER!$B$94 &amp; "."  &amp;A109&amp;" as varchar(" &amp; Options!$B$49&amp; ")),'')")),"")</f>
        <v/>
      </c>
      <c r="AE109" t="str">
        <f t="shared" ca="1" si="148"/>
        <v/>
      </c>
      <c r="AF109" t="str">
        <f ca="1">IF(AE109&lt;&gt;"", HELPER!$B$93 &amp;  "." &amp; AE109,"")</f>
        <v/>
      </c>
      <c r="AG109" t="str">
        <f ca="1">IF(AE109&lt;&gt;"", HELPER!$B$94 &amp; "." &amp; AE109,"")</f>
        <v/>
      </c>
      <c r="AH109" t="str">
        <f t="shared" ca="1" si="172"/>
        <v/>
      </c>
      <c r="AI109" t="str">
        <f t="shared" ca="1" si="149"/>
        <v/>
      </c>
      <c r="AJ109" t="str">
        <f t="shared" ca="1" si="150"/>
        <v/>
      </c>
      <c r="AK109" t="str">
        <f ca="1">IF(E109="4", HELPER!$B$94 &amp;  "." &amp; A109,"")</f>
        <v/>
      </c>
      <c r="AL109" t="str">
        <f ca="1">IF(E109="4", HELPER!$B$93 &amp;  "." &amp; A109,"")</f>
        <v/>
      </c>
      <c r="AM109" t="str">
        <f t="shared" ca="1" si="151"/>
        <v/>
      </c>
      <c r="AN109" t="str">
        <f t="shared" ca="1" si="152"/>
        <v/>
      </c>
      <c r="AO109" t="str">
        <f ca="1">IF(A109&lt;&gt;"", IF(OR(F109="1",H109="1",I109="1"),""," "&amp; HELPER!$B$94 &amp; "." &amp; A109),"")</f>
        <v/>
      </c>
      <c r="AP109" t="str">
        <f t="shared" ca="1" si="153"/>
        <v/>
      </c>
      <c r="AQ109" t="str">
        <f t="shared" ca="1" si="178"/>
        <v/>
      </c>
      <c r="AS109" t="str">
        <f ca="1">IF(A109="","",  HELPER!$B$94 &amp;  "." &amp; A109)</f>
        <v/>
      </c>
      <c r="AT109" t="str">
        <f t="shared" ca="1" si="154"/>
        <v/>
      </c>
      <c r="AU109" t="str">
        <f t="shared" ca="1" si="155"/>
        <v/>
      </c>
      <c r="AV109" s="190" t="str">
        <f t="shared" ca="1" si="156"/>
        <v/>
      </c>
      <c r="AW109" t="str">
        <f t="shared" ca="1" si="157"/>
        <v/>
      </c>
      <c r="AY109" t="str">
        <f t="shared" ca="1" si="158"/>
        <v/>
      </c>
      <c r="BF109" t="str">
        <f t="shared" ca="1" si="159"/>
        <v/>
      </c>
      <c r="BH109" s="285" t="str">
        <f t="shared" ca="1" si="173"/>
        <v/>
      </c>
      <c r="BI109" t="str">
        <f t="shared" ca="1" si="160"/>
        <v/>
      </c>
      <c r="BJ109" t="str">
        <f t="shared" ca="1" si="161"/>
        <v/>
      </c>
      <c r="BK109" t="str">
        <f t="shared" ca="1" si="174"/>
        <v/>
      </c>
      <c r="BM109" t="str">
        <f t="shared" ca="1" si="175"/>
        <v/>
      </c>
      <c r="BN109" t="str">
        <f t="shared" ca="1" si="176"/>
        <v/>
      </c>
      <c r="BO109" t="str">
        <f t="shared" ca="1" si="162"/>
        <v/>
      </c>
      <c r="BP109" t="b">
        <f ca="1">COUNTIF(COLHELPER!A109:'COLHELPER'!A109,COLHELPER!A109)&gt;1</f>
        <v>0</v>
      </c>
      <c r="BQ109">
        <f t="shared" ca="1" si="163"/>
        <v>0</v>
      </c>
      <c r="BR109" s="290" t="str">
        <f t="shared" ca="1" si="137"/>
        <v/>
      </c>
      <c r="BS109" t="str">
        <f t="shared" ca="1" si="164"/>
        <v/>
      </c>
      <c r="BT109" t="str">
        <f t="shared" ca="1" si="177"/>
        <v/>
      </c>
      <c r="BU109" t="str">
        <f t="shared" ca="1" si="165"/>
        <v/>
      </c>
      <c r="BV109">
        <f t="shared" ca="1" si="166"/>
        <v>0</v>
      </c>
      <c r="BW109" t="str">
        <f t="shared" ca="1" si="167"/>
        <v/>
      </c>
      <c r="BX109" t="str">
        <f t="shared" ca="1" si="168"/>
        <v/>
      </c>
      <c r="BY109" t="str">
        <f ca="1">IF(R109="","",IF(R109&gt;Options!$B$3,"ALTER TABLE "&amp;HELPER!$B$4&amp;" ADD COLUMNS ("&amp;A109&amp;" "&amp;C109&amp;")",""))</f>
        <v/>
      </c>
      <c r="BZ109" t="str">
        <f ca="1">IF(R109="","",IF(R109&gt;Options!$B$3,A109,""))</f>
        <v/>
      </c>
      <c r="CA109" t="str">
        <f ca="1">IF(R109="","",IF(R109&gt;Options!$B$3,B109,""))</f>
        <v/>
      </c>
      <c r="CB109" t="str">
        <f t="shared" ca="1" si="169"/>
        <v/>
      </c>
      <c r="CC109">
        <f t="shared" ca="1" si="170"/>
        <v>0</v>
      </c>
      <c r="CD109" t="str">
        <f ca="1">IF(J109="","",Options!$B$23 &amp; "." &amp; J109)</f>
        <v/>
      </c>
    </row>
    <row r="110" spans="1:82">
      <c r="A110" s="161" t="str">
        <f t="array" aca="1" ref="A110" ca="1">IF(TRIM(INDIRECT("Columns!A110")) ="","",TRIM(INDIRECT("Columns!A110")))</f>
        <v/>
      </c>
      <c r="B110" s="161" t="str">
        <f t="shared" ca="1" si="138"/>
        <v/>
      </c>
      <c r="C110" s="161" t="str">
        <f t="shared" ca="1" si="139"/>
        <v/>
      </c>
      <c r="D110" s="161" t="str">
        <f t="shared" ca="1" si="140"/>
        <v/>
      </c>
      <c r="E110" s="161" t="str">
        <f t="array" aca="1" ref="E110" ca="1">IF(TRIM(INDIRECT("Columns!E110"))="","",TRIM(INDIRECT("Columns!E110")))</f>
        <v/>
      </c>
      <c r="F110" s="161" t="str">
        <f t="array" aca="1" ref="F110" ca="1">IF(TRIM(INDIRECT("Columns!G110"))="","",TRIM(INDIRECT("Columns!G110")))</f>
        <v/>
      </c>
      <c r="G110" s="161" t="str">
        <f t="array" aca="1" ref="G110" ca="1">IF(TRIM(INDIRECT("Columns!F110"))="","",TRIM(INDIRECT("Columns!F110")))</f>
        <v/>
      </c>
      <c r="H110" s="161" t="str">
        <f t="array" aca="1" ref="H110" ca="1">IF(TRIM(INDIRECT("Columns!H110"))="","",TRIM(INDIRECT("Columns!H110")))</f>
        <v/>
      </c>
      <c r="I110" s="161" t="str">
        <f t="array" aca="1" ref="I110" ca="1">IF(TRIM(INDIRECT("Columns!I110"))="","",TRIM(INDIRECT("Columns!I110")))</f>
        <v/>
      </c>
      <c r="J110" s="161" t="str">
        <f t="array" aca="1" ref="J110" ca="1">IF(TRIM(INDIRECT("Columns!J110"))="","",TRIM(INDIRECT("Columns!J110")))</f>
        <v/>
      </c>
      <c r="K110" s="161" t="str">
        <f t="array" aca="1" ref="K110" ca="1">IF(TRIM(INDIRECT("Columns!K110"))="","",TRIM(INDIRECT("Columns!K110")))</f>
        <v/>
      </c>
      <c r="L110" s="161" t="str">
        <f t="array" aca="1" ref="L110" ca="1">IF(TRIM(INDIRECT("Columns!L110"))="","",TRIM(INDIRECT("Columns!L110")))</f>
        <v/>
      </c>
      <c r="M110" s="161" t="str">
        <f t="array" aca="1" ref="M110" ca="1">IF(TRIM(INDIRECT("Columns!M110"))="","",TRIM(INDIRECT("Columns!M110")))</f>
        <v/>
      </c>
      <c r="N110" s="161" t="str">
        <f t="array" aca="1" ref="N110" ca="1">IF(TRIM(INDIRECT("Columns!N110"))="","",TRIM(INDIRECT("Columns!N110")))</f>
        <v/>
      </c>
      <c r="O110" s="227" t="str">
        <f t="array" aca="1" ref="O110" ca="1">IF(TRIM(INDIRECT("Columns!B110"))="","",TRIM(INDIRECT("Columns!B110")))</f>
        <v/>
      </c>
      <c r="P110" s="227" t="str">
        <f t="array" aca="1" ref="P110" ca="1">IF(TRIM(INDIRECT("Columns!C110"))="","",TRIM(INDIRECT("Columns!C110")))</f>
        <v/>
      </c>
      <c r="Q110" s="227" t="str">
        <f t="array" aca="1" ref="Q110" ca="1">IF(TRIM(INDIRECT("Columns!D110"))="","",TRIM(INDIRECT("Columns!D110")))</f>
        <v/>
      </c>
      <c r="R110" s="227" t="str">
        <f t="array" aca="1" ref="R110" ca="1">IF(TRIM(INDIRECT("Columns!O110"))="","",TRIM(INDIRECT("Columns!O110")))</f>
        <v/>
      </c>
      <c r="S110" t="str">
        <f t="shared" ca="1" si="141"/>
        <v/>
      </c>
      <c r="T110" t="str">
        <f t="shared" ca="1" si="142"/>
        <v/>
      </c>
      <c r="U110" t="str">
        <f t="shared" ca="1" si="143"/>
        <v/>
      </c>
      <c r="V110" t="str">
        <f t="shared" ca="1" si="144"/>
        <v/>
      </c>
      <c r="W110" t="str">
        <f t="shared" ca="1" si="145"/>
        <v/>
      </c>
      <c r="X110" t="str">
        <f t="shared" ca="1" si="146"/>
        <v/>
      </c>
      <c r="Y110" t="str">
        <f t="shared" ca="1" si="147"/>
        <v/>
      </c>
      <c r="Z110" t="str">
        <f t="shared" ca="1" si="171"/>
        <v/>
      </c>
      <c r="AA110" t="str">
        <f ca="1">IF(E110="1",   IF( A110="","",IF(OR(F110="1",H110="1",I110="1"),"","COALESCE (CAST("&amp;A110&amp;" as varchar(" &amp; Options!$B$49&amp; ")),'')")),"")</f>
        <v/>
      </c>
      <c r="AB110" t="str">
        <f ca="1">IF(E110="1", IF(C110="string",  IF( A110="","",IF(OR(F110="1",H110="1",I110="1"),"","COALESCE (CAST(lower("&amp;A110&amp;") as varchar(" &amp;Options!$B$49 &amp; ")),'')")),AA110),"")</f>
        <v/>
      </c>
      <c r="AC110" t="str">
        <f ca="1">IF(E110="4",   IF( A110="","",IF(OR(F110="1",H110="1",I110="1"),"","COALESCE (CAST("  &amp;A110&amp;" as varchar(" &amp; Options!$B$49&amp; ")),'')")),"")</f>
        <v/>
      </c>
      <c r="AD110" t="str">
        <f ca="1">IF(E110="4",   IF( A110="","",IF(OR(F110="1",H110="1",I110="1"),"","COALESCE (CAST(" &amp; HELPER!$B$94 &amp; "."  &amp;A110&amp;" as varchar(" &amp; Options!$B$49&amp; ")),'')")),"")</f>
        <v/>
      </c>
      <c r="AE110" t="str">
        <f t="shared" ca="1" si="148"/>
        <v/>
      </c>
      <c r="AF110" t="str">
        <f ca="1">IF(AE110&lt;&gt;"", HELPER!$B$93 &amp;  "." &amp; AE110,"")</f>
        <v/>
      </c>
      <c r="AG110" t="str">
        <f ca="1">IF(AE110&lt;&gt;"", HELPER!$B$94 &amp; "." &amp; AE110,"")</f>
        <v/>
      </c>
      <c r="AH110" t="str">
        <f t="shared" ca="1" si="172"/>
        <v/>
      </c>
      <c r="AI110" t="str">
        <f t="shared" ca="1" si="149"/>
        <v/>
      </c>
      <c r="AJ110" t="str">
        <f t="shared" ca="1" si="150"/>
        <v/>
      </c>
      <c r="AK110" t="str">
        <f ca="1">IF(E110="4", HELPER!$B$94 &amp;  "." &amp; A110,"")</f>
        <v/>
      </c>
      <c r="AL110" t="str">
        <f ca="1">IF(E110="4", HELPER!$B$93 &amp;  "." &amp; A110,"")</f>
        <v/>
      </c>
      <c r="AM110" t="str">
        <f t="shared" ca="1" si="151"/>
        <v/>
      </c>
      <c r="AN110" t="str">
        <f t="shared" ca="1" si="152"/>
        <v/>
      </c>
      <c r="AO110" t="str">
        <f ca="1">IF(A110&lt;&gt;"", IF(OR(F110="1",H110="1",I110="1"),""," "&amp; HELPER!$B$94 &amp; "." &amp; A110),"")</f>
        <v/>
      </c>
      <c r="AP110" t="str">
        <f t="shared" ca="1" si="153"/>
        <v/>
      </c>
      <c r="AQ110" t="str">
        <f t="shared" ca="1" si="178"/>
        <v/>
      </c>
      <c r="AS110" t="str">
        <f ca="1">IF(A110="","",  HELPER!$B$94 &amp;  "." &amp; A110)</f>
        <v/>
      </c>
      <c r="AT110" t="str">
        <f t="shared" ca="1" si="154"/>
        <v/>
      </c>
      <c r="AU110" t="str">
        <f t="shared" ca="1" si="155"/>
        <v/>
      </c>
      <c r="AV110" s="190" t="str">
        <f t="shared" ca="1" si="156"/>
        <v/>
      </c>
      <c r="AW110" t="str">
        <f t="shared" ca="1" si="157"/>
        <v/>
      </c>
      <c r="AY110" t="str">
        <f t="shared" ca="1" si="158"/>
        <v/>
      </c>
      <c r="BF110" t="str">
        <f t="shared" ca="1" si="159"/>
        <v/>
      </c>
      <c r="BH110" s="285" t="str">
        <f t="shared" ca="1" si="173"/>
        <v/>
      </c>
      <c r="BI110" t="str">
        <f t="shared" ca="1" si="160"/>
        <v/>
      </c>
      <c r="BJ110" t="str">
        <f t="shared" ca="1" si="161"/>
        <v/>
      </c>
      <c r="BK110" t="str">
        <f t="shared" ca="1" si="174"/>
        <v/>
      </c>
      <c r="BM110" t="str">
        <f t="shared" ca="1" si="175"/>
        <v/>
      </c>
      <c r="BN110" t="str">
        <f t="shared" ca="1" si="176"/>
        <v/>
      </c>
      <c r="BO110" t="str">
        <f t="shared" ca="1" si="162"/>
        <v/>
      </c>
      <c r="BP110" t="b">
        <f ca="1">COUNTIF(COLHELPER!A110:'COLHELPER'!A110,COLHELPER!A110)&gt;1</f>
        <v>0</v>
      </c>
      <c r="BQ110">
        <f t="shared" ca="1" si="163"/>
        <v>0</v>
      </c>
      <c r="BR110" s="290" t="str">
        <f t="shared" ca="1" si="137"/>
        <v/>
      </c>
      <c r="BS110" t="str">
        <f t="shared" ca="1" si="164"/>
        <v/>
      </c>
      <c r="BT110" t="str">
        <f t="shared" ca="1" si="177"/>
        <v/>
      </c>
      <c r="BU110" t="str">
        <f t="shared" ca="1" si="165"/>
        <v/>
      </c>
      <c r="BV110">
        <f t="shared" ca="1" si="166"/>
        <v>0</v>
      </c>
      <c r="BW110" t="str">
        <f t="shared" ca="1" si="167"/>
        <v/>
      </c>
      <c r="BX110" t="str">
        <f t="shared" ca="1" si="168"/>
        <v/>
      </c>
      <c r="BY110" t="str">
        <f ca="1">IF(R110="","",IF(R110&gt;Options!$B$3,"ALTER TABLE "&amp;HELPER!$B$4&amp;" ADD COLUMNS ("&amp;A110&amp;" "&amp;C110&amp;")",""))</f>
        <v/>
      </c>
      <c r="BZ110" t="str">
        <f ca="1">IF(R110="","",IF(R110&gt;Options!$B$3,A110,""))</f>
        <v/>
      </c>
      <c r="CA110" t="str">
        <f ca="1">IF(R110="","",IF(R110&gt;Options!$B$3,B110,""))</f>
        <v/>
      </c>
      <c r="CB110" t="str">
        <f t="shared" ca="1" si="169"/>
        <v/>
      </c>
      <c r="CC110">
        <f t="shared" ca="1" si="170"/>
        <v>0</v>
      </c>
      <c r="CD110" t="str">
        <f ca="1">IF(J110="","",Options!$B$23 &amp; "." &amp; J110)</f>
        <v/>
      </c>
    </row>
    <row r="111" spans="1:82">
      <c r="A111" s="161" t="str">
        <f t="array" aca="1" ref="A111" ca="1">IF(TRIM(INDIRECT("Columns!A111")) ="","",TRIM(INDIRECT("Columns!A111")))</f>
        <v/>
      </c>
      <c r="B111" s="161" t="str">
        <f t="shared" ca="1" si="138"/>
        <v/>
      </c>
      <c r="C111" s="161" t="str">
        <f t="shared" ca="1" si="139"/>
        <v/>
      </c>
      <c r="D111" s="161" t="str">
        <f t="shared" ca="1" si="140"/>
        <v/>
      </c>
      <c r="E111" s="161" t="str">
        <f t="array" aca="1" ref="E111" ca="1">IF(TRIM(INDIRECT("Columns!E111"))="","",TRIM(INDIRECT("Columns!E111")))</f>
        <v/>
      </c>
      <c r="F111" s="161" t="str">
        <f t="array" aca="1" ref="F111" ca="1">IF(TRIM(INDIRECT("Columns!G111"))="","",TRIM(INDIRECT("Columns!G111")))</f>
        <v/>
      </c>
      <c r="G111" s="161" t="str">
        <f t="array" aca="1" ref="G111" ca="1">IF(TRIM(INDIRECT("Columns!F111"))="","",TRIM(INDIRECT("Columns!F111")))</f>
        <v/>
      </c>
      <c r="H111" s="161" t="str">
        <f t="array" aca="1" ref="H111" ca="1">IF(TRIM(INDIRECT("Columns!H111"))="","",TRIM(INDIRECT("Columns!H111")))</f>
        <v/>
      </c>
      <c r="I111" s="161" t="str">
        <f t="array" aca="1" ref="I111" ca="1">IF(TRIM(INDIRECT("Columns!I111"))="","",TRIM(INDIRECT("Columns!I111")))</f>
        <v/>
      </c>
      <c r="J111" s="161" t="str">
        <f t="array" aca="1" ref="J111" ca="1">IF(TRIM(INDIRECT("Columns!J111"))="","",TRIM(INDIRECT("Columns!J111")))</f>
        <v/>
      </c>
      <c r="K111" s="161" t="str">
        <f t="array" aca="1" ref="K111" ca="1">IF(TRIM(INDIRECT("Columns!K111"))="","",TRIM(INDIRECT("Columns!K111")))</f>
        <v/>
      </c>
      <c r="L111" s="161" t="str">
        <f t="array" aca="1" ref="L111" ca="1">IF(TRIM(INDIRECT("Columns!L111"))="","",TRIM(INDIRECT("Columns!L111")))</f>
        <v/>
      </c>
      <c r="M111" s="161" t="str">
        <f t="array" aca="1" ref="M111" ca="1">IF(TRIM(INDIRECT("Columns!M111"))="","",TRIM(INDIRECT("Columns!M111")))</f>
        <v/>
      </c>
      <c r="N111" s="161" t="str">
        <f t="array" aca="1" ref="N111" ca="1">IF(TRIM(INDIRECT("Columns!N111"))="","",TRIM(INDIRECT("Columns!N111")))</f>
        <v/>
      </c>
      <c r="O111" s="227" t="str">
        <f t="array" aca="1" ref="O111" ca="1">IF(TRIM(INDIRECT("Columns!B111"))="","",TRIM(INDIRECT("Columns!B111")))</f>
        <v/>
      </c>
      <c r="P111" s="227" t="str">
        <f t="array" aca="1" ref="P111" ca="1">IF(TRIM(INDIRECT("Columns!C111"))="","",TRIM(INDIRECT("Columns!C111")))</f>
        <v/>
      </c>
      <c r="Q111" s="227" t="str">
        <f t="array" aca="1" ref="Q111" ca="1">IF(TRIM(INDIRECT("Columns!D111"))="","",TRIM(INDIRECT("Columns!D111")))</f>
        <v/>
      </c>
      <c r="R111" s="227" t="str">
        <f t="array" aca="1" ref="R111" ca="1">IF(TRIM(INDIRECT("Columns!O111"))="","",TRIM(INDIRECT("Columns!O111")))</f>
        <v/>
      </c>
      <c r="S111" t="str">
        <f t="shared" ca="1" si="141"/>
        <v/>
      </c>
      <c r="T111" t="str">
        <f t="shared" ca="1" si="142"/>
        <v/>
      </c>
      <c r="U111" t="str">
        <f t="shared" ca="1" si="143"/>
        <v/>
      </c>
      <c r="V111" t="str">
        <f t="shared" ca="1" si="144"/>
        <v/>
      </c>
      <c r="W111" t="str">
        <f t="shared" ca="1" si="145"/>
        <v/>
      </c>
      <c r="X111" t="str">
        <f t="shared" ca="1" si="146"/>
        <v/>
      </c>
      <c r="Y111" t="str">
        <f t="shared" ca="1" si="147"/>
        <v/>
      </c>
      <c r="Z111" t="str">
        <f t="shared" ca="1" si="171"/>
        <v/>
      </c>
      <c r="AA111" t="str">
        <f ca="1">IF(E111="1",   IF( A111="","",IF(OR(F111="1",H111="1",I111="1"),"","COALESCE (CAST("&amp;A111&amp;" as varchar(" &amp; Options!$B$49&amp; ")),'')")),"")</f>
        <v/>
      </c>
      <c r="AB111" t="str">
        <f ca="1">IF(E111="1", IF(C111="string",  IF( A111="","",IF(OR(F111="1",H111="1",I111="1"),"","COALESCE (CAST(lower("&amp;A111&amp;") as varchar(" &amp;Options!$B$49 &amp; ")),'')")),AA111),"")</f>
        <v/>
      </c>
      <c r="AC111" t="str">
        <f ca="1">IF(E111="4",   IF( A111="","",IF(OR(F111="1",H111="1",I111="1"),"","COALESCE (CAST("  &amp;A111&amp;" as varchar(" &amp; Options!$B$49&amp; ")),'')")),"")</f>
        <v/>
      </c>
      <c r="AD111" t="str">
        <f ca="1">IF(E111="4",   IF( A111="","",IF(OR(F111="1",H111="1",I111="1"),"","COALESCE (CAST(" &amp; HELPER!$B$94 &amp; "."  &amp;A111&amp;" as varchar(" &amp; Options!$B$49&amp; ")),'')")),"")</f>
        <v/>
      </c>
      <c r="AE111" t="str">
        <f t="shared" ca="1" si="148"/>
        <v/>
      </c>
      <c r="AF111" t="str">
        <f ca="1">IF(AE111&lt;&gt;"", HELPER!$B$93 &amp;  "." &amp; AE111,"")</f>
        <v/>
      </c>
      <c r="AG111" t="str">
        <f ca="1">IF(AE111&lt;&gt;"", HELPER!$B$94 &amp; "." &amp; AE111,"")</f>
        <v/>
      </c>
      <c r="AH111" t="str">
        <f t="shared" ca="1" si="172"/>
        <v/>
      </c>
      <c r="AI111" t="str">
        <f t="shared" ca="1" si="149"/>
        <v/>
      </c>
      <c r="AJ111" t="str">
        <f t="shared" ca="1" si="150"/>
        <v/>
      </c>
      <c r="AK111" t="str">
        <f ca="1">IF(E111="4", HELPER!$B$94 &amp;  "." &amp; A111,"")</f>
        <v/>
      </c>
      <c r="AL111" t="str">
        <f ca="1">IF(E111="4", HELPER!$B$93 &amp;  "." &amp; A111,"")</f>
        <v/>
      </c>
      <c r="AM111" t="str">
        <f t="shared" ca="1" si="151"/>
        <v/>
      </c>
      <c r="AN111" t="str">
        <f t="shared" ca="1" si="152"/>
        <v/>
      </c>
      <c r="AO111" t="str">
        <f ca="1">IF(A111&lt;&gt;"", IF(OR(F111="1",H111="1",I111="1"),""," "&amp; HELPER!$B$94 &amp; "." &amp; A111),"")</f>
        <v/>
      </c>
      <c r="AP111" t="str">
        <f t="shared" ca="1" si="153"/>
        <v/>
      </c>
      <c r="AQ111" t="str">
        <f t="shared" ca="1" si="178"/>
        <v/>
      </c>
      <c r="AS111" t="str">
        <f ca="1">IF(A111="","",  HELPER!$B$94 &amp;  "." &amp; A111)</f>
        <v/>
      </c>
      <c r="AT111" t="str">
        <f t="shared" ca="1" si="154"/>
        <v/>
      </c>
      <c r="AU111" t="str">
        <f t="shared" ca="1" si="155"/>
        <v/>
      </c>
      <c r="AV111" s="190" t="str">
        <f t="shared" ca="1" si="156"/>
        <v/>
      </c>
      <c r="AW111" t="str">
        <f t="shared" ca="1" si="157"/>
        <v/>
      </c>
      <c r="AY111" t="str">
        <f t="shared" ca="1" si="158"/>
        <v/>
      </c>
      <c r="BF111" t="str">
        <f t="shared" ca="1" si="159"/>
        <v/>
      </c>
      <c r="BH111" s="285" t="str">
        <f t="shared" ca="1" si="173"/>
        <v/>
      </c>
      <c r="BI111" t="str">
        <f t="shared" ca="1" si="160"/>
        <v/>
      </c>
      <c r="BJ111" t="str">
        <f t="shared" ca="1" si="161"/>
        <v/>
      </c>
      <c r="BK111" t="str">
        <f t="shared" ca="1" si="174"/>
        <v/>
      </c>
      <c r="BM111" t="str">
        <f t="shared" ca="1" si="175"/>
        <v/>
      </c>
      <c r="BN111" t="str">
        <f t="shared" ca="1" si="176"/>
        <v/>
      </c>
      <c r="BO111" t="str">
        <f t="shared" ca="1" si="162"/>
        <v/>
      </c>
      <c r="BP111" t="b">
        <f ca="1">COUNTIF(COLHELPER!A111:'COLHELPER'!A111,COLHELPER!A111)&gt;1</f>
        <v>0</v>
      </c>
      <c r="BQ111">
        <f t="shared" ca="1" si="163"/>
        <v>0</v>
      </c>
      <c r="BR111" s="290" t="str">
        <f t="shared" ca="1" si="137"/>
        <v/>
      </c>
      <c r="BS111" t="str">
        <f t="shared" ca="1" si="164"/>
        <v/>
      </c>
      <c r="BT111" t="str">
        <f t="shared" ca="1" si="177"/>
        <v/>
      </c>
      <c r="BU111" t="str">
        <f t="shared" ca="1" si="165"/>
        <v/>
      </c>
      <c r="BV111">
        <f t="shared" ca="1" si="166"/>
        <v>0</v>
      </c>
      <c r="BW111" t="str">
        <f t="shared" ca="1" si="167"/>
        <v/>
      </c>
      <c r="BX111" t="str">
        <f t="shared" ca="1" si="168"/>
        <v/>
      </c>
      <c r="BY111" t="str">
        <f ca="1">IF(R111="","",IF(R111&gt;Options!$B$3,"ALTER TABLE "&amp;HELPER!$B$4&amp;" ADD COLUMNS ("&amp;A111&amp;" "&amp;C111&amp;")",""))</f>
        <v/>
      </c>
      <c r="BZ111" t="str">
        <f ca="1">IF(R111="","",IF(R111&gt;Options!$B$3,A111,""))</f>
        <v/>
      </c>
      <c r="CA111" t="str">
        <f ca="1">IF(R111="","",IF(R111&gt;Options!$B$3,B111,""))</f>
        <v/>
      </c>
      <c r="CB111" t="str">
        <f t="shared" ca="1" si="169"/>
        <v/>
      </c>
      <c r="CC111">
        <f t="shared" ca="1" si="170"/>
        <v>0</v>
      </c>
      <c r="CD111" t="str">
        <f ca="1">IF(J111="","",Options!$B$23 &amp; "." &amp; J111)</f>
        <v/>
      </c>
    </row>
    <row r="112" spans="1:82">
      <c r="A112" s="161" t="str">
        <f t="array" aca="1" ref="A112" ca="1">IF(TRIM(INDIRECT("Columns!A112")) ="","",TRIM(INDIRECT("Columns!A112")))</f>
        <v/>
      </c>
      <c r="B112" s="161" t="str">
        <f t="shared" ca="1" si="138"/>
        <v/>
      </c>
      <c r="C112" s="161" t="str">
        <f t="shared" ca="1" si="139"/>
        <v/>
      </c>
      <c r="D112" s="161" t="str">
        <f t="shared" ca="1" si="140"/>
        <v/>
      </c>
      <c r="E112" s="161" t="str">
        <f t="array" aca="1" ref="E112" ca="1">IF(TRIM(INDIRECT("Columns!E112"))="","",TRIM(INDIRECT("Columns!E112")))</f>
        <v/>
      </c>
      <c r="F112" s="161" t="str">
        <f t="array" aca="1" ref="F112" ca="1">IF(TRIM(INDIRECT("Columns!G112"))="","",TRIM(INDIRECT("Columns!G112")))</f>
        <v/>
      </c>
      <c r="G112" s="161" t="str">
        <f t="array" aca="1" ref="G112" ca="1">IF(TRIM(INDIRECT("Columns!F112"))="","",TRIM(INDIRECT("Columns!F112")))</f>
        <v/>
      </c>
      <c r="H112" s="161" t="str">
        <f t="array" aca="1" ref="H112" ca="1">IF(TRIM(INDIRECT("Columns!H112"))="","",TRIM(INDIRECT("Columns!H112")))</f>
        <v/>
      </c>
      <c r="I112" s="161" t="str">
        <f t="array" aca="1" ref="I112" ca="1">IF(TRIM(INDIRECT("Columns!I112"))="","",TRIM(INDIRECT("Columns!I112")))</f>
        <v/>
      </c>
      <c r="J112" s="161" t="str">
        <f t="array" aca="1" ref="J112" ca="1">IF(TRIM(INDIRECT("Columns!J112"))="","",TRIM(INDIRECT("Columns!J112")))</f>
        <v/>
      </c>
      <c r="K112" s="161" t="str">
        <f t="array" aca="1" ref="K112" ca="1">IF(TRIM(INDIRECT("Columns!K112"))="","",TRIM(INDIRECT("Columns!K112")))</f>
        <v/>
      </c>
      <c r="L112" s="161" t="str">
        <f t="array" aca="1" ref="L112" ca="1">IF(TRIM(INDIRECT("Columns!L112"))="","",TRIM(INDIRECT("Columns!L112")))</f>
        <v/>
      </c>
      <c r="M112" s="161" t="str">
        <f t="array" aca="1" ref="M112" ca="1">IF(TRIM(INDIRECT("Columns!M112"))="","",TRIM(INDIRECT("Columns!M112")))</f>
        <v/>
      </c>
      <c r="N112" s="161" t="str">
        <f t="array" aca="1" ref="N112" ca="1">IF(TRIM(INDIRECT("Columns!N112"))="","",TRIM(INDIRECT("Columns!N112")))</f>
        <v/>
      </c>
      <c r="O112" s="227" t="str">
        <f t="array" aca="1" ref="O112" ca="1">IF(TRIM(INDIRECT("Columns!B112"))="","",TRIM(INDIRECT("Columns!B112")))</f>
        <v/>
      </c>
      <c r="P112" s="227" t="str">
        <f t="array" aca="1" ref="P112" ca="1">IF(TRIM(INDIRECT("Columns!C112"))="","",TRIM(INDIRECT("Columns!C112")))</f>
        <v/>
      </c>
      <c r="Q112" s="227" t="str">
        <f t="array" aca="1" ref="Q112" ca="1">IF(TRIM(INDIRECT("Columns!D112"))="","",TRIM(INDIRECT("Columns!D112")))</f>
        <v/>
      </c>
      <c r="R112" s="227" t="str">
        <f t="array" aca="1" ref="R112" ca="1">IF(TRIM(INDIRECT("Columns!O112"))="","",TRIM(INDIRECT("Columns!O112")))</f>
        <v/>
      </c>
      <c r="S112" t="str">
        <f t="shared" ca="1" si="141"/>
        <v/>
      </c>
      <c r="T112" t="str">
        <f t="shared" ca="1" si="142"/>
        <v/>
      </c>
      <c r="U112" t="str">
        <f t="shared" ca="1" si="143"/>
        <v/>
      </c>
      <c r="V112" t="str">
        <f t="shared" ca="1" si="144"/>
        <v/>
      </c>
      <c r="W112" t="str">
        <f t="shared" ca="1" si="145"/>
        <v/>
      </c>
      <c r="X112" t="str">
        <f t="shared" ca="1" si="146"/>
        <v/>
      </c>
      <c r="Y112" t="str">
        <f t="shared" ca="1" si="147"/>
        <v/>
      </c>
      <c r="Z112" t="str">
        <f t="shared" ca="1" si="171"/>
        <v/>
      </c>
      <c r="AA112" t="str">
        <f ca="1">IF(E112="1",   IF( A112="","",IF(OR(F112="1",H112="1",I112="1"),"","COALESCE (CAST("&amp;A112&amp;" as varchar(" &amp; Options!$B$49&amp; ")),'')")),"")</f>
        <v/>
      </c>
      <c r="AB112" t="str">
        <f ca="1">IF(E112="1", IF(C112="string",  IF( A112="","",IF(OR(F112="1",H112="1",I112="1"),"","COALESCE (CAST(lower("&amp;A112&amp;") as varchar(" &amp;Options!$B$49 &amp; ")),'')")),AA112),"")</f>
        <v/>
      </c>
      <c r="AC112" t="str">
        <f ca="1">IF(E112="4",   IF( A112="","",IF(OR(F112="1",H112="1",I112="1"),"","COALESCE (CAST("  &amp;A112&amp;" as varchar(" &amp; Options!$B$49&amp; ")),'')")),"")</f>
        <v/>
      </c>
      <c r="AD112" t="str">
        <f ca="1">IF(E112="4",   IF( A112="","",IF(OR(F112="1",H112="1",I112="1"),"","COALESCE (CAST(" &amp; HELPER!$B$94 &amp; "."  &amp;A112&amp;" as varchar(" &amp; Options!$B$49&amp; ")),'')")),"")</f>
        <v/>
      </c>
      <c r="AE112" t="str">
        <f t="shared" ca="1" si="148"/>
        <v/>
      </c>
      <c r="AF112" t="str">
        <f ca="1">IF(AE112&lt;&gt;"", HELPER!$B$93 &amp;  "." &amp; AE112,"")</f>
        <v/>
      </c>
      <c r="AG112" t="str">
        <f ca="1">IF(AE112&lt;&gt;"", HELPER!$B$94 &amp; "." &amp; AE112,"")</f>
        <v/>
      </c>
      <c r="AH112" t="str">
        <f t="shared" ca="1" si="172"/>
        <v/>
      </c>
      <c r="AI112" t="str">
        <f t="shared" ca="1" si="149"/>
        <v/>
      </c>
      <c r="AJ112" t="str">
        <f t="shared" ca="1" si="150"/>
        <v/>
      </c>
      <c r="AK112" t="str">
        <f ca="1">IF(E112="4", HELPER!$B$94 &amp;  "." &amp; A112,"")</f>
        <v/>
      </c>
      <c r="AL112" t="str">
        <f ca="1">IF(E112="4", HELPER!$B$93 &amp;  "." &amp; A112,"")</f>
        <v/>
      </c>
      <c r="AM112" t="str">
        <f t="shared" ca="1" si="151"/>
        <v/>
      </c>
      <c r="AN112" t="str">
        <f t="shared" ca="1" si="152"/>
        <v/>
      </c>
      <c r="AO112" t="str">
        <f ca="1">IF(A112&lt;&gt;"", IF(OR(F112="1",H112="1",I112="1"),""," "&amp; HELPER!$B$94 &amp; "." &amp; A112),"")</f>
        <v/>
      </c>
      <c r="AP112" t="str">
        <f t="shared" ca="1" si="153"/>
        <v/>
      </c>
      <c r="AQ112" t="str">
        <f t="shared" ca="1" si="178"/>
        <v/>
      </c>
      <c r="AS112" t="str">
        <f ca="1">IF(A112="","",  HELPER!$B$94 &amp;  "." &amp; A112)</f>
        <v/>
      </c>
      <c r="AT112" t="str">
        <f t="shared" ca="1" si="154"/>
        <v/>
      </c>
      <c r="AU112" t="str">
        <f t="shared" ca="1" si="155"/>
        <v/>
      </c>
      <c r="AV112" s="190" t="str">
        <f t="shared" ca="1" si="156"/>
        <v/>
      </c>
      <c r="AW112" t="str">
        <f t="shared" ca="1" si="157"/>
        <v/>
      </c>
      <c r="AY112" t="str">
        <f t="shared" ca="1" si="158"/>
        <v/>
      </c>
      <c r="BF112" t="str">
        <f t="shared" ca="1" si="159"/>
        <v/>
      </c>
      <c r="BH112" s="285" t="str">
        <f t="shared" ca="1" si="173"/>
        <v/>
      </c>
      <c r="BI112" t="str">
        <f t="shared" ca="1" si="160"/>
        <v/>
      </c>
      <c r="BJ112" t="str">
        <f t="shared" ca="1" si="161"/>
        <v/>
      </c>
      <c r="BK112" t="str">
        <f t="shared" ca="1" si="174"/>
        <v/>
      </c>
      <c r="BM112" t="str">
        <f t="shared" ca="1" si="175"/>
        <v/>
      </c>
      <c r="BN112" t="str">
        <f t="shared" ca="1" si="176"/>
        <v/>
      </c>
      <c r="BO112" t="str">
        <f t="shared" ca="1" si="162"/>
        <v/>
      </c>
      <c r="BP112" t="b">
        <f ca="1">COUNTIF(COLHELPER!A112:'COLHELPER'!A112,COLHELPER!A112)&gt;1</f>
        <v>0</v>
      </c>
      <c r="BQ112">
        <f t="shared" ca="1" si="163"/>
        <v>0</v>
      </c>
      <c r="BR112" s="290" t="str">
        <f t="shared" ca="1" si="137"/>
        <v/>
      </c>
      <c r="BS112" t="str">
        <f t="shared" ca="1" si="164"/>
        <v/>
      </c>
      <c r="BT112" t="str">
        <f t="shared" ca="1" si="177"/>
        <v/>
      </c>
      <c r="BU112" t="str">
        <f t="shared" ca="1" si="165"/>
        <v/>
      </c>
      <c r="BV112">
        <f t="shared" ca="1" si="166"/>
        <v>0</v>
      </c>
      <c r="BW112" t="str">
        <f t="shared" ca="1" si="167"/>
        <v/>
      </c>
      <c r="BX112" t="str">
        <f t="shared" ca="1" si="168"/>
        <v/>
      </c>
      <c r="BY112" t="str">
        <f ca="1">IF(R112="","",IF(R112&gt;Options!$B$3,"ALTER TABLE "&amp;HELPER!$B$4&amp;" ADD COLUMNS ("&amp;A112&amp;" "&amp;C112&amp;")",""))</f>
        <v/>
      </c>
      <c r="BZ112" t="str">
        <f ca="1">IF(R112="","",IF(R112&gt;Options!$B$3,A112,""))</f>
        <v/>
      </c>
      <c r="CA112" t="str">
        <f ca="1">IF(R112="","",IF(R112&gt;Options!$B$3,B112,""))</f>
        <v/>
      </c>
      <c r="CB112" t="str">
        <f t="shared" ca="1" si="169"/>
        <v/>
      </c>
      <c r="CC112">
        <f t="shared" ca="1" si="170"/>
        <v>0</v>
      </c>
      <c r="CD112" t="str">
        <f ca="1">IF(J112="","",Options!$B$23 &amp; "." &amp; J112)</f>
        <v/>
      </c>
    </row>
    <row r="113" spans="1:82">
      <c r="A113" s="161" t="str">
        <f t="array" aca="1" ref="A113" ca="1">IF(TRIM(INDIRECT("Columns!A113")) ="","",TRIM(INDIRECT("Columns!A113")))</f>
        <v/>
      </c>
      <c r="B113" s="161" t="str">
        <f t="shared" ca="1" si="138"/>
        <v/>
      </c>
      <c r="C113" s="161" t="str">
        <f t="shared" ca="1" si="139"/>
        <v/>
      </c>
      <c r="D113" s="161" t="str">
        <f t="shared" ca="1" si="140"/>
        <v/>
      </c>
      <c r="E113" s="161" t="str">
        <f t="array" aca="1" ref="E113" ca="1">IF(TRIM(INDIRECT("Columns!E113"))="","",TRIM(INDIRECT("Columns!E113")))</f>
        <v/>
      </c>
      <c r="F113" s="161" t="str">
        <f t="array" aca="1" ref="F113" ca="1">IF(TRIM(INDIRECT("Columns!G113"))="","",TRIM(INDIRECT("Columns!G113")))</f>
        <v/>
      </c>
      <c r="G113" s="161" t="str">
        <f t="array" aca="1" ref="G113" ca="1">IF(TRIM(INDIRECT("Columns!F113"))="","",TRIM(INDIRECT("Columns!F113")))</f>
        <v/>
      </c>
      <c r="H113" s="161" t="str">
        <f t="array" aca="1" ref="H113" ca="1">IF(TRIM(INDIRECT("Columns!H113"))="","",TRIM(INDIRECT("Columns!H113")))</f>
        <v/>
      </c>
      <c r="I113" s="161" t="str">
        <f t="array" aca="1" ref="I113" ca="1">IF(TRIM(INDIRECT("Columns!I113"))="","",TRIM(INDIRECT("Columns!I113")))</f>
        <v/>
      </c>
      <c r="J113" s="161" t="str">
        <f t="array" aca="1" ref="J113" ca="1">IF(TRIM(INDIRECT("Columns!J113"))="","",TRIM(INDIRECT("Columns!J113")))</f>
        <v/>
      </c>
      <c r="K113" s="161" t="str">
        <f t="array" aca="1" ref="K113" ca="1">IF(TRIM(INDIRECT("Columns!K113"))="","",TRIM(INDIRECT("Columns!K113")))</f>
        <v/>
      </c>
      <c r="L113" s="161" t="str">
        <f t="array" aca="1" ref="L113" ca="1">IF(TRIM(INDIRECT("Columns!L113"))="","",TRIM(INDIRECT("Columns!L113")))</f>
        <v/>
      </c>
      <c r="M113" s="161" t="str">
        <f t="array" aca="1" ref="M113" ca="1">IF(TRIM(INDIRECT("Columns!M113"))="","",TRIM(INDIRECT("Columns!M113")))</f>
        <v/>
      </c>
      <c r="N113" s="161" t="str">
        <f t="array" aca="1" ref="N113" ca="1">IF(TRIM(INDIRECT("Columns!N113"))="","",TRIM(INDIRECT("Columns!N113")))</f>
        <v/>
      </c>
      <c r="O113" s="227" t="str">
        <f t="array" aca="1" ref="O113" ca="1">IF(TRIM(INDIRECT("Columns!B113"))="","",TRIM(INDIRECT("Columns!B113")))</f>
        <v/>
      </c>
      <c r="P113" s="227" t="str">
        <f t="array" aca="1" ref="P113" ca="1">IF(TRIM(INDIRECT("Columns!C113"))="","",TRIM(INDIRECT("Columns!C113")))</f>
        <v/>
      </c>
      <c r="Q113" s="227" t="str">
        <f t="array" aca="1" ref="Q113" ca="1">IF(TRIM(INDIRECT("Columns!D113"))="","",TRIM(INDIRECT("Columns!D113")))</f>
        <v/>
      </c>
      <c r="R113" s="227" t="str">
        <f t="array" aca="1" ref="R113" ca="1">IF(TRIM(INDIRECT("Columns!O113"))="","",TRIM(INDIRECT("Columns!O113")))</f>
        <v/>
      </c>
      <c r="S113" t="str">
        <f t="shared" ca="1" si="141"/>
        <v/>
      </c>
      <c r="T113" t="str">
        <f t="shared" ca="1" si="142"/>
        <v/>
      </c>
      <c r="U113" t="str">
        <f t="shared" ca="1" si="143"/>
        <v/>
      </c>
      <c r="V113" t="str">
        <f t="shared" ca="1" si="144"/>
        <v/>
      </c>
      <c r="W113" t="str">
        <f t="shared" ca="1" si="145"/>
        <v/>
      </c>
      <c r="X113" t="str">
        <f t="shared" ca="1" si="146"/>
        <v/>
      </c>
      <c r="Y113" t="str">
        <f t="shared" ca="1" si="147"/>
        <v/>
      </c>
      <c r="Z113" t="str">
        <f t="shared" ca="1" si="171"/>
        <v/>
      </c>
      <c r="AA113" t="str">
        <f ca="1">IF(E113="1",   IF( A113="","",IF(OR(F113="1",H113="1",I113="1"),"","COALESCE (CAST("&amp;A113&amp;" as varchar(" &amp; Options!$B$49&amp; ")),'')")),"")</f>
        <v/>
      </c>
      <c r="AB113" t="str">
        <f ca="1">IF(E113="1", IF(C113="string",  IF( A113="","",IF(OR(F113="1",H113="1",I113="1"),"","COALESCE (CAST(lower("&amp;A113&amp;") as varchar(" &amp;Options!$B$49 &amp; ")),'')")),AA113),"")</f>
        <v/>
      </c>
      <c r="AC113" t="str">
        <f ca="1">IF(E113="4",   IF( A113="","",IF(OR(F113="1",H113="1",I113="1"),"","COALESCE (CAST("  &amp;A113&amp;" as varchar(" &amp; Options!$B$49&amp; ")),'')")),"")</f>
        <v/>
      </c>
      <c r="AD113" t="str">
        <f ca="1">IF(E113="4",   IF( A113="","",IF(OR(F113="1",H113="1",I113="1"),"","COALESCE (CAST(" &amp; HELPER!$B$94 &amp; "."  &amp;A113&amp;" as varchar(" &amp; Options!$B$49&amp; ")),'')")),"")</f>
        <v/>
      </c>
      <c r="AE113" t="str">
        <f t="shared" ca="1" si="148"/>
        <v/>
      </c>
      <c r="AF113" t="str">
        <f ca="1">IF(AE113&lt;&gt;"", HELPER!$B$93 &amp;  "." &amp; AE113,"")</f>
        <v/>
      </c>
      <c r="AG113" t="str">
        <f ca="1">IF(AE113&lt;&gt;"", HELPER!$B$94 &amp; "." &amp; AE113,"")</f>
        <v/>
      </c>
      <c r="AH113" t="str">
        <f t="shared" ca="1" si="172"/>
        <v/>
      </c>
      <c r="AI113" t="str">
        <f t="shared" ca="1" si="149"/>
        <v/>
      </c>
      <c r="AJ113" t="str">
        <f t="shared" ca="1" si="150"/>
        <v/>
      </c>
      <c r="AK113" t="str">
        <f ca="1">IF(E113="4", HELPER!$B$94 &amp;  "." &amp; A113,"")</f>
        <v/>
      </c>
      <c r="AL113" t="str">
        <f ca="1">IF(E113="4", HELPER!$B$93 &amp;  "." &amp; A113,"")</f>
        <v/>
      </c>
      <c r="AM113" t="str">
        <f t="shared" ca="1" si="151"/>
        <v/>
      </c>
      <c r="AN113" t="str">
        <f t="shared" ca="1" si="152"/>
        <v/>
      </c>
      <c r="AO113" t="str">
        <f ca="1">IF(A113&lt;&gt;"", IF(OR(F113="1",H113="1",I113="1"),""," "&amp; HELPER!$B$94 &amp; "." &amp; A113),"")</f>
        <v/>
      </c>
      <c r="AP113" t="str">
        <f t="shared" ca="1" si="153"/>
        <v/>
      </c>
      <c r="AQ113" t="str">
        <f t="shared" ca="1" si="178"/>
        <v/>
      </c>
      <c r="AS113" t="str">
        <f ca="1">IF(A113="","",  HELPER!$B$94 &amp;  "." &amp; A113)</f>
        <v/>
      </c>
      <c r="AT113" t="str">
        <f t="shared" ca="1" si="154"/>
        <v/>
      </c>
      <c r="AU113" t="str">
        <f t="shared" ca="1" si="155"/>
        <v/>
      </c>
      <c r="AV113" s="190" t="str">
        <f t="shared" ca="1" si="156"/>
        <v/>
      </c>
      <c r="AW113" t="str">
        <f t="shared" ca="1" si="157"/>
        <v/>
      </c>
      <c r="AY113" t="str">
        <f t="shared" ca="1" si="158"/>
        <v/>
      </c>
      <c r="BF113" t="str">
        <f t="shared" ca="1" si="159"/>
        <v/>
      </c>
      <c r="BH113" s="285" t="str">
        <f t="shared" ca="1" si="173"/>
        <v/>
      </c>
      <c r="BI113" t="str">
        <f t="shared" ca="1" si="160"/>
        <v/>
      </c>
      <c r="BJ113" t="str">
        <f t="shared" ca="1" si="161"/>
        <v/>
      </c>
      <c r="BK113" t="str">
        <f t="shared" ca="1" si="174"/>
        <v/>
      </c>
      <c r="BM113" t="str">
        <f t="shared" ca="1" si="175"/>
        <v/>
      </c>
      <c r="BN113" t="str">
        <f t="shared" ca="1" si="176"/>
        <v/>
      </c>
      <c r="BO113" t="str">
        <f t="shared" ca="1" si="162"/>
        <v/>
      </c>
      <c r="BP113" t="b">
        <f ca="1">COUNTIF(COLHELPER!A113:'COLHELPER'!A113,COLHELPER!A113)&gt;1</f>
        <v>0</v>
      </c>
      <c r="BQ113">
        <f t="shared" ca="1" si="163"/>
        <v>0</v>
      </c>
      <c r="BR113" s="290" t="str">
        <f t="shared" ca="1" si="137"/>
        <v/>
      </c>
      <c r="BS113" t="str">
        <f t="shared" ca="1" si="164"/>
        <v/>
      </c>
      <c r="BT113" t="str">
        <f t="shared" ca="1" si="177"/>
        <v/>
      </c>
      <c r="BU113" t="str">
        <f t="shared" ca="1" si="165"/>
        <v/>
      </c>
      <c r="BV113">
        <f t="shared" ca="1" si="166"/>
        <v>0</v>
      </c>
      <c r="BW113" t="str">
        <f t="shared" ca="1" si="167"/>
        <v/>
      </c>
      <c r="BX113" t="str">
        <f t="shared" ca="1" si="168"/>
        <v/>
      </c>
      <c r="BY113" t="str">
        <f ca="1">IF(R113="","",IF(R113&gt;Options!$B$3,"ALTER TABLE "&amp;HELPER!$B$4&amp;" ADD COLUMNS ("&amp;A113&amp;" "&amp;C113&amp;")",""))</f>
        <v/>
      </c>
      <c r="BZ113" t="str">
        <f ca="1">IF(R113="","",IF(R113&gt;Options!$B$3,A113,""))</f>
        <v/>
      </c>
      <c r="CA113" t="str">
        <f ca="1">IF(R113="","",IF(R113&gt;Options!$B$3,B113,""))</f>
        <v/>
      </c>
      <c r="CB113" t="str">
        <f t="shared" ca="1" si="169"/>
        <v/>
      </c>
      <c r="CC113">
        <f t="shared" ca="1" si="170"/>
        <v>0</v>
      </c>
      <c r="CD113" t="str">
        <f ca="1">IF(J113="","",Options!$B$23 &amp; "." &amp; J113)</f>
        <v/>
      </c>
    </row>
    <row r="114" spans="1:82">
      <c r="A114" s="161" t="str">
        <f t="array" aca="1" ref="A114" ca="1">IF(TRIM(INDIRECT("Columns!A114")) ="","",TRIM(INDIRECT("Columns!A114")))</f>
        <v/>
      </c>
      <c r="B114" s="161" t="str">
        <f t="shared" ca="1" si="138"/>
        <v/>
      </c>
      <c r="C114" s="161" t="str">
        <f t="shared" ca="1" si="139"/>
        <v/>
      </c>
      <c r="D114" s="161" t="str">
        <f t="shared" ca="1" si="140"/>
        <v/>
      </c>
      <c r="E114" s="161" t="str">
        <f t="array" aca="1" ref="E114" ca="1">IF(TRIM(INDIRECT("Columns!E114"))="","",TRIM(INDIRECT("Columns!E114")))</f>
        <v/>
      </c>
      <c r="F114" s="161" t="str">
        <f t="array" aca="1" ref="F114" ca="1">IF(TRIM(INDIRECT("Columns!G114"))="","",TRIM(INDIRECT("Columns!G114")))</f>
        <v/>
      </c>
      <c r="G114" s="161" t="str">
        <f t="array" aca="1" ref="G114" ca="1">IF(TRIM(INDIRECT("Columns!F114"))="","",TRIM(INDIRECT("Columns!F114")))</f>
        <v/>
      </c>
      <c r="H114" s="161" t="str">
        <f t="array" aca="1" ref="H114" ca="1">IF(TRIM(INDIRECT("Columns!H114"))="","",TRIM(INDIRECT("Columns!H114")))</f>
        <v/>
      </c>
      <c r="I114" s="161" t="str">
        <f t="array" aca="1" ref="I114" ca="1">IF(TRIM(INDIRECT("Columns!I114"))="","",TRIM(INDIRECT("Columns!I114")))</f>
        <v/>
      </c>
      <c r="J114" s="161" t="str">
        <f t="array" aca="1" ref="J114" ca="1">IF(TRIM(INDIRECT("Columns!J114"))="","",TRIM(INDIRECT("Columns!J114")))</f>
        <v/>
      </c>
      <c r="K114" s="161" t="str">
        <f t="array" aca="1" ref="K114" ca="1">IF(TRIM(INDIRECT("Columns!K114"))="","",TRIM(INDIRECT("Columns!K114")))</f>
        <v/>
      </c>
      <c r="L114" s="161" t="str">
        <f t="array" aca="1" ref="L114" ca="1">IF(TRIM(INDIRECT("Columns!L114"))="","",TRIM(INDIRECT("Columns!L114")))</f>
        <v/>
      </c>
      <c r="M114" s="161" t="str">
        <f t="array" aca="1" ref="M114" ca="1">IF(TRIM(INDIRECT("Columns!M114"))="","",TRIM(INDIRECT("Columns!M114")))</f>
        <v/>
      </c>
      <c r="N114" s="161" t="str">
        <f t="array" aca="1" ref="N114" ca="1">IF(TRIM(INDIRECT("Columns!N114"))="","",TRIM(INDIRECT("Columns!N114")))</f>
        <v/>
      </c>
      <c r="O114" s="227" t="str">
        <f t="array" aca="1" ref="O114" ca="1">IF(TRIM(INDIRECT("Columns!B114"))="","",TRIM(INDIRECT("Columns!B114")))</f>
        <v/>
      </c>
      <c r="P114" s="227" t="str">
        <f t="array" aca="1" ref="P114" ca="1">IF(TRIM(INDIRECT("Columns!C114"))="","",TRIM(INDIRECT("Columns!C114")))</f>
        <v/>
      </c>
      <c r="Q114" s="227" t="str">
        <f t="array" aca="1" ref="Q114" ca="1">IF(TRIM(INDIRECT("Columns!D114"))="","",TRIM(INDIRECT("Columns!D114")))</f>
        <v/>
      </c>
      <c r="R114" s="227" t="str">
        <f t="array" aca="1" ref="R114" ca="1">IF(TRIM(INDIRECT("Columns!O114"))="","",TRIM(INDIRECT("Columns!O114")))</f>
        <v/>
      </c>
      <c r="S114" t="str">
        <f t="shared" ca="1" si="141"/>
        <v/>
      </c>
      <c r="T114" t="str">
        <f t="shared" ca="1" si="142"/>
        <v/>
      </c>
      <c r="U114" t="str">
        <f t="shared" ca="1" si="143"/>
        <v/>
      </c>
      <c r="V114" t="str">
        <f t="shared" ca="1" si="144"/>
        <v/>
      </c>
      <c r="W114" t="str">
        <f t="shared" ca="1" si="145"/>
        <v/>
      </c>
      <c r="X114" t="str">
        <f t="shared" ca="1" si="146"/>
        <v/>
      </c>
      <c r="Y114" t="str">
        <f t="shared" ca="1" si="147"/>
        <v/>
      </c>
      <c r="Z114" t="str">
        <f t="shared" ca="1" si="171"/>
        <v/>
      </c>
      <c r="AA114" t="str">
        <f ca="1">IF(E114="1",   IF( A114="","",IF(OR(F114="1",H114="1",I114="1"),"","COALESCE (CAST("&amp;A114&amp;" as varchar(" &amp; Options!$B$49&amp; ")),'')")),"")</f>
        <v/>
      </c>
      <c r="AB114" t="str">
        <f ca="1">IF(E114="1", IF(C114="string",  IF( A114="","",IF(OR(F114="1",H114="1",I114="1"),"","COALESCE (CAST(lower("&amp;A114&amp;") as varchar(" &amp;Options!$B$49 &amp; ")),'')")),AA114),"")</f>
        <v/>
      </c>
      <c r="AC114" t="str">
        <f ca="1">IF(E114="4",   IF( A114="","",IF(OR(F114="1",H114="1",I114="1"),"","COALESCE (CAST("  &amp;A114&amp;" as varchar(" &amp; Options!$B$49&amp; ")),'')")),"")</f>
        <v/>
      </c>
      <c r="AD114" t="str">
        <f ca="1">IF(E114="4",   IF( A114="","",IF(OR(F114="1",H114="1",I114="1"),"","COALESCE (CAST(" &amp; HELPER!$B$94 &amp; "."  &amp;A114&amp;" as varchar(" &amp; Options!$B$49&amp; ")),'')")),"")</f>
        <v/>
      </c>
      <c r="AE114" t="str">
        <f t="shared" ca="1" si="148"/>
        <v/>
      </c>
      <c r="AF114" t="str">
        <f ca="1">IF(AE114&lt;&gt;"", HELPER!$B$93 &amp;  "." &amp; AE114,"")</f>
        <v/>
      </c>
      <c r="AG114" t="str">
        <f ca="1">IF(AE114&lt;&gt;"", HELPER!$B$94 &amp; "." &amp; AE114,"")</f>
        <v/>
      </c>
      <c r="AH114" t="str">
        <f t="shared" ca="1" si="172"/>
        <v/>
      </c>
      <c r="AI114" t="str">
        <f t="shared" ca="1" si="149"/>
        <v/>
      </c>
      <c r="AJ114" t="str">
        <f t="shared" ca="1" si="150"/>
        <v/>
      </c>
      <c r="AK114" t="str">
        <f ca="1">IF(E114="4", HELPER!$B$94 &amp;  "." &amp; A114,"")</f>
        <v/>
      </c>
      <c r="AL114" t="str">
        <f ca="1">IF(E114="4", HELPER!$B$93 &amp;  "." &amp; A114,"")</f>
        <v/>
      </c>
      <c r="AM114" t="str">
        <f t="shared" ca="1" si="151"/>
        <v/>
      </c>
      <c r="AN114" t="str">
        <f t="shared" ca="1" si="152"/>
        <v/>
      </c>
      <c r="AO114" t="str">
        <f ca="1">IF(A114&lt;&gt;"", IF(OR(F114="1",H114="1",I114="1"),""," "&amp; HELPER!$B$94 &amp; "." &amp; A114),"")</f>
        <v/>
      </c>
      <c r="AP114" t="str">
        <f t="shared" ca="1" si="153"/>
        <v/>
      </c>
      <c r="AQ114" t="str">
        <f t="shared" ca="1" si="178"/>
        <v/>
      </c>
      <c r="AS114" t="str">
        <f ca="1">IF(A114="","",  HELPER!$B$94 &amp;  "." &amp; A114)</f>
        <v/>
      </c>
      <c r="AT114" t="str">
        <f t="shared" ca="1" si="154"/>
        <v/>
      </c>
      <c r="AU114" t="str">
        <f t="shared" ca="1" si="155"/>
        <v/>
      </c>
      <c r="AV114" s="190" t="str">
        <f t="shared" ca="1" si="156"/>
        <v/>
      </c>
      <c r="AW114" t="str">
        <f t="shared" ca="1" si="157"/>
        <v/>
      </c>
      <c r="AY114" t="str">
        <f t="shared" ca="1" si="158"/>
        <v/>
      </c>
      <c r="BF114" t="str">
        <f t="shared" ca="1" si="159"/>
        <v/>
      </c>
      <c r="BH114" s="285" t="str">
        <f t="shared" ca="1" si="173"/>
        <v/>
      </c>
      <c r="BI114" t="str">
        <f t="shared" ca="1" si="160"/>
        <v/>
      </c>
      <c r="BJ114" t="str">
        <f t="shared" ca="1" si="161"/>
        <v/>
      </c>
      <c r="BK114" t="str">
        <f t="shared" ca="1" si="174"/>
        <v/>
      </c>
      <c r="BM114" t="str">
        <f t="shared" ca="1" si="175"/>
        <v/>
      </c>
      <c r="BN114" t="str">
        <f t="shared" ca="1" si="176"/>
        <v/>
      </c>
      <c r="BO114" t="str">
        <f t="shared" ca="1" si="162"/>
        <v/>
      </c>
      <c r="BP114" t="b">
        <f ca="1">COUNTIF(COLHELPER!A114:'COLHELPER'!A114,COLHELPER!A114)&gt;1</f>
        <v>0</v>
      </c>
      <c r="BQ114">
        <f t="shared" ca="1" si="163"/>
        <v>0</v>
      </c>
      <c r="BR114" s="290" t="str">
        <f t="shared" ca="1" si="137"/>
        <v/>
      </c>
      <c r="BS114" t="str">
        <f t="shared" ca="1" si="164"/>
        <v/>
      </c>
      <c r="BT114" t="str">
        <f t="shared" ca="1" si="177"/>
        <v/>
      </c>
      <c r="BU114" t="str">
        <f t="shared" ca="1" si="165"/>
        <v/>
      </c>
      <c r="BV114">
        <f t="shared" ca="1" si="166"/>
        <v>0</v>
      </c>
      <c r="BW114" t="str">
        <f t="shared" ca="1" si="167"/>
        <v/>
      </c>
      <c r="BX114" t="str">
        <f t="shared" ca="1" si="168"/>
        <v/>
      </c>
      <c r="BY114" t="str">
        <f ca="1">IF(R114="","",IF(R114&gt;Options!$B$3,"ALTER TABLE "&amp;HELPER!$B$4&amp;" ADD COLUMNS ("&amp;A114&amp;" "&amp;C114&amp;")",""))</f>
        <v/>
      </c>
      <c r="BZ114" t="str">
        <f ca="1">IF(R114="","",IF(R114&gt;Options!$B$3,A114,""))</f>
        <v/>
      </c>
      <c r="CA114" t="str">
        <f ca="1">IF(R114="","",IF(R114&gt;Options!$B$3,B114,""))</f>
        <v/>
      </c>
      <c r="CB114" t="str">
        <f t="shared" ca="1" si="169"/>
        <v/>
      </c>
      <c r="CC114">
        <f t="shared" ca="1" si="170"/>
        <v>0</v>
      </c>
      <c r="CD114" t="str">
        <f ca="1">IF(J114="","",Options!$B$23 &amp; "." &amp; J114)</f>
        <v/>
      </c>
    </row>
    <row r="115" spans="1:82">
      <c r="A115" s="161" t="str">
        <f t="array" aca="1" ref="A115" ca="1">IF(TRIM(INDIRECT("Columns!A115")) ="","",TRIM(INDIRECT("Columns!A115")))</f>
        <v/>
      </c>
      <c r="B115" s="161" t="str">
        <f t="shared" ca="1" si="138"/>
        <v/>
      </c>
      <c r="C115" s="161" t="str">
        <f t="shared" ca="1" si="139"/>
        <v/>
      </c>
      <c r="D115" s="161" t="str">
        <f t="shared" ca="1" si="140"/>
        <v/>
      </c>
      <c r="E115" s="161" t="str">
        <f t="array" aca="1" ref="E115" ca="1">IF(TRIM(INDIRECT("Columns!E115"))="","",TRIM(INDIRECT("Columns!E115")))</f>
        <v/>
      </c>
      <c r="F115" s="161" t="str">
        <f t="array" aca="1" ref="F115" ca="1">IF(TRIM(INDIRECT("Columns!G115"))="","",TRIM(INDIRECT("Columns!G115")))</f>
        <v/>
      </c>
      <c r="G115" s="161" t="str">
        <f t="array" aca="1" ref="G115" ca="1">IF(TRIM(INDIRECT("Columns!F115"))="","",TRIM(INDIRECT("Columns!F115")))</f>
        <v/>
      </c>
      <c r="H115" s="161" t="str">
        <f t="array" aca="1" ref="H115" ca="1">IF(TRIM(INDIRECT("Columns!H115"))="","",TRIM(INDIRECT("Columns!H115")))</f>
        <v/>
      </c>
      <c r="I115" s="161" t="str">
        <f t="array" aca="1" ref="I115" ca="1">IF(TRIM(INDIRECT("Columns!I115"))="","",TRIM(INDIRECT("Columns!I115")))</f>
        <v/>
      </c>
      <c r="J115" s="161" t="str">
        <f t="array" aca="1" ref="J115" ca="1">IF(TRIM(INDIRECT("Columns!J115"))="","",TRIM(INDIRECT("Columns!J115")))</f>
        <v/>
      </c>
      <c r="K115" s="161" t="str">
        <f t="array" aca="1" ref="K115" ca="1">IF(TRIM(INDIRECT("Columns!K115"))="","",TRIM(INDIRECT("Columns!K115")))</f>
        <v/>
      </c>
      <c r="L115" s="161" t="str">
        <f t="array" aca="1" ref="L115" ca="1">IF(TRIM(INDIRECT("Columns!L115"))="","",TRIM(INDIRECT("Columns!L115")))</f>
        <v/>
      </c>
      <c r="M115" s="161" t="str">
        <f t="array" aca="1" ref="M115" ca="1">IF(TRIM(INDIRECT("Columns!M115"))="","",TRIM(INDIRECT("Columns!M115")))</f>
        <v/>
      </c>
      <c r="N115" s="161" t="str">
        <f t="array" aca="1" ref="N115" ca="1">IF(TRIM(INDIRECT("Columns!N115"))="","",TRIM(INDIRECT("Columns!N115")))</f>
        <v/>
      </c>
      <c r="O115" s="227" t="str">
        <f t="array" aca="1" ref="O115" ca="1">IF(TRIM(INDIRECT("Columns!B115"))="","",TRIM(INDIRECT("Columns!B115")))</f>
        <v/>
      </c>
      <c r="P115" s="227" t="str">
        <f t="array" aca="1" ref="P115" ca="1">IF(TRIM(INDIRECT("Columns!C115"))="","",TRIM(INDIRECT("Columns!C115")))</f>
        <v/>
      </c>
      <c r="Q115" s="227" t="str">
        <f t="array" aca="1" ref="Q115" ca="1">IF(TRIM(INDIRECT("Columns!D115"))="","",TRIM(INDIRECT("Columns!D115")))</f>
        <v/>
      </c>
      <c r="R115" s="227" t="str">
        <f t="array" aca="1" ref="R115" ca="1">IF(TRIM(INDIRECT("Columns!O115"))="","",TRIM(INDIRECT("Columns!O115")))</f>
        <v/>
      </c>
      <c r="S115" t="str">
        <f t="shared" ca="1" si="141"/>
        <v/>
      </c>
      <c r="T115" t="str">
        <f t="shared" ca="1" si="142"/>
        <v/>
      </c>
      <c r="U115" t="str">
        <f t="shared" ca="1" si="143"/>
        <v/>
      </c>
      <c r="V115" t="str">
        <f t="shared" ca="1" si="144"/>
        <v/>
      </c>
      <c r="W115" t="str">
        <f t="shared" ca="1" si="145"/>
        <v/>
      </c>
      <c r="X115" t="str">
        <f t="shared" ca="1" si="146"/>
        <v/>
      </c>
      <c r="Y115" t="str">
        <f t="shared" ca="1" si="147"/>
        <v/>
      </c>
      <c r="Z115" t="str">
        <f t="shared" ca="1" si="171"/>
        <v/>
      </c>
      <c r="AA115" t="str">
        <f ca="1">IF(E115="1",   IF( A115="","",IF(OR(F115="1",H115="1",I115="1"),"","COALESCE (CAST("&amp;A115&amp;" as varchar(" &amp; Options!$B$49&amp; ")),'')")),"")</f>
        <v/>
      </c>
      <c r="AB115" t="str">
        <f ca="1">IF(E115="1", IF(C115="string",  IF( A115="","",IF(OR(F115="1",H115="1",I115="1"),"","COALESCE (CAST(lower("&amp;A115&amp;") as varchar(" &amp;Options!$B$49 &amp; ")),'')")),AA115),"")</f>
        <v/>
      </c>
      <c r="AC115" t="str">
        <f ca="1">IF(E115="4",   IF( A115="","",IF(OR(F115="1",H115="1",I115="1"),"","COALESCE (CAST("  &amp;A115&amp;" as varchar(" &amp; Options!$B$49&amp; ")),'')")),"")</f>
        <v/>
      </c>
      <c r="AD115" t="str">
        <f ca="1">IF(E115="4",   IF( A115="","",IF(OR(F115="1",H115="1",I115="1"),"","COALESCE (CAST(" &amp; HELPER!$B$94 &amp; "."  &amp;A115&amp;" as varchar(" &amp; Options!$B$49&amp; ")),'')")),"")</f>
        <v/>
      </c>
      <c r="AE115" t="str">
        <f t="shared" ca="1" si="148"/>
        <v/>
      </c>
      <c r="AF115" t="str">
        <f ca="1">IF(AE115&lt;&gt;"", HELPER!$B$93 &amp;  "." &amp; AE115,"")</f>
        <v/>
      </c>
      <c r="AG115" t="str">
        <f ca="1">IF(AE115&lt;&gt;"", HELPER!$B$94 &amp; "." &amp; AE115,"")</f>
        <v/>
      </c>
      <c r="AH115" t="str">
        <f t="shared" ca="1" si="172"/>
        <v/>
      </c>
      <c r="AI115" t="str">
        <f t="shared" ca="1" si="149"/>
        <v/>
      </c>
      <c r="AJ115" t="str">
        <f t="shared" ca="1" si="150"/>
        <v/>
      </c>
      <c r="AK115" t="str">
        <f ca="1">IF(E115="4", HELPER!$B$94 &amp;  "." &amp; A115,"")</f>
        <v/>
      </c>
      <c r="AL115" t="str">
        <f ca="1">IF(E115="4", HELPER!$B$93 &amp;  "." &amp; A115,"")</f>
        <v/>
      </c>
      <c r="AM115" t="str">
        <f t="shared" ca="1" si="151"/>
        <v/>
      </c>
      <c r="AN115" t="str">
        <f t="shared" ca="1" si="152"/>
        <v/>
      </c>
      <c r="AO115" t="str">
        <f ca="1">IF(A115&lt;&gt;"", IF(OR(F115="1",H115="1",I115="1"),""," "&amp; HELPER!$B$94 &amp; "." &amp; A115),"")</f>
        <v/>
      </c>
      <c r="AP115" t="str">
        <f t="shared" ca="1" si="153"/>
        <v/>
      </c>
      <c r="AQ115" t="str">
        <f t="shared" ca="1" si="178"/>
        <v/>
      </c>
      <c r="AS115" t="str">
        <f ca="1">IF(A115="","",  HELPER!$B$94 &amp;  "." &amp; A115)</f>
        <v/>
      </c>
      <c r="AT115" t="str">
        <f t="shared" ca="1" si="154"/>
        <v/>
      </c>
      <c r="AU115" t="str">
        <f t="shared" ca="1" si="155"/>
        <v/>
      </c>
      <c r="AV115" s="190" t="str">
        <f t="shared" ca="1" si="156"/>
        <v/>
      </c>
      <c r="AW115" t="str">
        <f t="shared" ca="1" si="157"/>
        <v/>
      </c>
      <c r="AY115" t="str">
        <f t="shared" ca="1" si="158"/>
        <v/>
      </c>
      <c r="BF115" t="str">
        <f t="shared" ca="1" si="159"/>
        <v/>
      </c>
      <c r="BH115" s="285" t="str">
        <f t="shared" ca="1" si="173"/>
        <v/>
      </c>
      <c r="BI115" t="str">
        <f t="shared" ca="1" si="160"/>
        <v/>
      </c>
      <c r="BJ115" t="str">
        <f t="shared" ca="1" si="161"/>
        <v/>
      </c>
      <c r="BK115" t="str">
        <f t="shared" ca="1" si="174"/>
        <v/>
      </c>
      <c r="BM115" t="str">
        <f t="shared" ca="1" si="175"/>
        <v/>
      </c>
      <c r="BN115" t="str">
        <f t="shared" ca="1" si="176"/>
        <v/>
      </c>
      <c r="BO115" t="str">
        <f t="shared" ca="1" si="162"/>
        <v/>
      </c>
      <c r="BP115" t="b">
        <f ca="1">COUNTIF(COLHELPER!A115:'COLHELPER'!A115,COLHELPER!A115)&gt;1</f>
        <v>0</v>
      </c>
      <c r="BQ115">
        <f t="shared" ca="1" si="163"/>
        <v>0</v>
      </c>
      <c r="BR115" s="290" t="str">
        <f t="shared" ca="1" si="137"/>
        <v/>
      </c>
      <c r="BS115" t="str">
        <f t="shared" ca="1" si="164"/>
        <v/>
      </c>
      <c r="BT115" t="str">
        <f t="shared" ca="1" si="177"/>
        <v/>
      </c>
      <c r="BU115" t="str">
        <f t="shared" ca="1" si="165"/>
        <v/>
      </c>
      <c r="BV115">
        <f t="shared" ca="1" si="166"/>
        <v>0</v>
      </c>
      <c r="BW115" t="str">
        <f t="shared" ca="1" si="167"/>
        <v/>
      </c>
      <c r="BX115" t="str">
        <f t="shared" ca="1" si="168"/>
        <v/>
      </c>
      <c r="BY115" t="str">
        <f ca="1">IF(R115="","",IF(R115&gt;Options!$B$3,"ALTER TABLE "&amp;HELPER!$B$4&amp;" ADD COLUMNS ("&amp;A115&amp;" "&amp;C115&amp;")",""))</f>
        <v/>
      </c>
      <c r="BZ115" t="str">
        <f ca="1">IF(R115="","",IF(R115&gt;Options!$B$3,A115,""))</f>
        <v/>
      </c>
      <c r="CA115" t="str">
        <f ca="1">IF(R115="","",IF(R115&gt;Options!$B$3,B115,""))</f>
        <v/>
      </c>
      <c r="CB115" t="str">
        <f t="shared" ca="1" si="169"/>
        <v/>
      </c>
      <c r="CC115">
        <f t="shared" ca="1" si="170"/>
        <v>0</v>
      </c>
      <c r="CD115" t="str">
        <f ca="1">IF(J115="","",Options!$B$23 &amp; "." &amp; J115)</f>
        <v/>
      </c>
    </row>
    <row r="116" spans="1:82">
      <c r="A116" s="161" t="str">
        <f t="array" aca="1" ref="A116" ca="1">IF(TRIM(INDIRECT("Columns!A116")) ="","",TRIM(INDIRECT("Columns!A116")))</f>
        <v/>
      </c>
      <c r="B116" s="161" t="str">
        <f t="shared" ca="1" si="138"/>
        <v/>
      </c>
      <c r="C116" s="161" t="str">
        <f t="shared" ca="1" si="139"/>
        <v/>
      </c>
      <c r="D116" s="161" t="str">
        <f t="shared" ca="1" si="140"/>
        <v/>
      </c>
      <c r="E116" s="161" t="str">
        <f t="array" aca="1" ref="E116" ca="1">IF(TRIM(INDIRECT("Columns!E116"))="","",TRIM(INDIRECT("Columns!E116")))</f>
        <v/>
      </c>
      <c r="F116" s="161" t="str">
        <f t="array" aca="1" ref="F116" ca="1">IF(TRIM(INDIRECT("Columns!G116"))="","",TRIM(INDIRECT("Columns!G116")))</f>
        <v/>
      </c>
      <c r="G116" s="161" t="str">
        <f t="array" aca="1" ref="G116" ca="1">IF(TRIM(INDIRECT("Columns!F116"))="","",TRIM(INDIRECT("Columns!F116")))</f>
        <v/>
      </c>
      <c r="H116" s="161" t="str">
        <f t="array" aca="1" ref="H116" ca="1">IF(TRIM(INDIRECT("Columns!H116"))="","",TRIM(INDIRECT("Columns!H116")))</f>
        <v/>
      </c>
      <c r="I116" s="161" t="str">
        <f t="array" aca="1" ref="I116" ca="1">IF(TRIM(INDIRECT("Columns!I116"))="","",TRIM(INDIRECT("Columns!I116")))</f>
        <v/>
      </c>
      <c r="J116" s="161" t="str">
        <f t="array" aca="1" ref="J116" ca="1">IF(TRIM(INDIRECT("Columns!J116"))="","",TRIM(INDIRECT("Columns!J116")))</f>
        <v/>
      </c>
      <c r="K116" s="161" t="str">
        <f t="array" aca="1" ref="K116" ca="1">IF(TRIM(INDIRECT("Columns!K116"))="","",TRIM(INDIRECT("Columns!K116")))</f>
        <v/>
      </c>
      <c r="L116" s="161" t="str">
        <f t="array" aca="1" ref="L116" ca="1">IF(TRIM(INDIRECT("Columns!L116"))="","",TRIM(INDIRECT("Columns!L116")))</f>
        <v/>
      </c>
      <c r="M116" s="161" t="str">
        <f t="array" aca="1" ref="M116" ca="1">IF(TRIM(INDIRECT("Columns!M116"))="","",TRIM(INDIRECT("Columns!M116")))</f>
        <v/>
      </c>
      <c r="N116" s="161" t="str">
        <f t="array" aca="1" ref="N116" ca="1">IF(TRIM(INDIRECT("Columns!N116"))="","",TRIM(INDIRECT("Columns!N116")))</f>
        <v/>
      </c>
      <c r="O116" s="227" t="str">
        <f t="array" aca="1" ref="O116" ca="1">IF(TRIM(INDIRECT("Columns!B116"))="","",TRIM(INDIRECT("Columns!B116")))</f>
        <v/>
      </c>
      <c r="P116" s="227" t="str">
        <f t="array" aca="1" ref="P116" ca="1">IF(TRIM(INDIRECT("Columns!C116"))="","",TRIM(INDIRECT("Columns!C116")))</f>
        <v/>
      </c>
      <c r="Q116" s="227" t="str">
        <f t="array" aca="1" ref="Q116" ca="1">IF(TRIM(INDIRECT("Columns!D116"))="","",TRIM(INDIRECT("Columns!D116")))</f>
        <v/>
      </c>
      <c r="R116" s="227" t="str">
        <f t="array" aca="1" ref="R116" ca="1">IF(TRIM(INDIRECT("Columns!O116"))="","",TRIM(INDIRECT("Columns!O116")))</f>
        <v/>
      </c>
      <c r="S116" t="str">
        <f t="shared" ca="1" si="141"/>
        <v/>
      </c>
      <c r="T116" t="str">
        <f t="shared" ca="1" si="142"/>
        <v/>
      </c>
      <c r="U116" t="str">
        <f t="shared" ca="1" si="143"/>
        <v/>
      </c>
      <c r="V116" t="str">
        <f t="shared" ca="1" si="144"/>
        <v/>
      </c>
      <c r="W116" t="str">
        <f t="shared" ca="1" si="145"/>
        <v/>
      </c>
      <c r="X116" t="str">
        <f t="shared" ca="1" si="146"/>
        <v/>
      </c>
      <c r="Y116" t="str">
        <f t="shared" ca="1" si="147"/>
        <v/>
      </c>
      <c r="Z116" t="str">
        <f t="shared" ca="1" si="171"/>
        <v/>
      </c>
      <c r="AA116" t="str">
        <f ca="1">IF(E116="1",   IF( A116="","",IF(OR(F116="1",H116="1",I116="1"),"","COALESCE (CAST("&amp;A116&amp;" as varchar(" &amp; Options!$B$49&amp; ")),'')")),"")</f>
        <v/>
      </c>
      <c r="AB116" t="str">
        <f ca="1">IF(E116="1", IF(C116="string",  IF( A116="","",IF(OR(F116="1",H116="1",I116="1"),"","COALESCE (CAST(lower("&amp;A116&amp;") as varchar(" &amp;Options!$B$49 &amp; ")),'')")),AA116),"")</f>
        <v/>
      </c>
      <c r="AC116" t="str">
        <f ca="1">IF(E116="4",   IF( A116="","",IF(OR(F116="1",H116="1",I116="1"),"","COALESCE (CAST("  &amp;A116&amp;" as varchar(" &amp; Options!$B$49&amp; ")),'')")),"")</f>
        <v/>
      </c>
      <c r="AD116" t="str">
        <f ca="1">IF(E116="4",   IF( A116="","",IF(OR(F116="1",H116="1",I116="1"),"","COALESCE (CAST(" &amp; HELPER!$B$94 &amp; "."  &amp;A116&amp;" as varchar(" &amp; Options!$B$49&amp; ")),'')")),"")</f>
        <v/>
      </c>
      <c r="AE116" t="str">
        <f t="shared" ca="1" si="148"/>
        <v/>
      </c>
      <c r="AF116" t="str">
        <f ca="1">IF(AE116&lt;&gt;"", HELPER!$B$93 &amp;  "." &amp; AE116,"")</f>
        <v/>
      </c>
      <c r="AG116" t="str">
        <f ca="1">IF(AE116&lt;&gt;"", HELPER!$B$94 &amp; "." &amp; AE116,"")</f>
        <v/>
      </c>
      <c r="AH116" t="str">
        <f t="shared" ca="1" si="172"/>
        <v/>
      </c>
      <c r="AI116" t="str">
        <f t="shared" ca="1" si="149"/>
        <v/>
      </c>
      <c r="AJ116" t="str">
        <f t="shared" ca="1" si="150"/>
        <v/>
      </c>
      <c r="AK116" t="str">
        <f ca="1">IF(E116="4", HELPER!$B$94 &amp;  "." &amp; A116,"")</f>
        <v/>
      </c>
      <c r="AL116" t="str">
        <f ca="1">IF(E116="4", HELPER!$B$93 &amp;  "." &amp; A116,"")</f>
        <v/>
      </c>
      <c r="AM116" t="str">
        <f t="shared" ca="1" si="151"/>
        <v/>
      </c>
      <c r="AN116" t="str">
        <f t="shared" ca="1" si="152"/>
        <v/>
      </c>
      <c r="AO116" t="str">
        <f ca="1">IF(A116&lt;&gt;"", IF(OR(F116="1",H116="1",I116="1"),""," "&amp; HELPER!$B$94 &amp; "." &amp; A116),"")</f>
        <v/>
      </c>
      <c r="AP116" t="str">
        <f t="shared" ca="1" si="153"/>
        <v/>
      </c>
      <c r="AQ116" t="str">
        <f t="shared" ca="1" si="178"/>
        <v/>
      </c>
      <c r="AS116" t="str">
        <f ca="1">IF(A116="","",  HELPER!$B$94 &amp;  "." &amp; A116)</f>
        <v/>
      </c>
      <c r="AT116" t="str">
        <f t="shared" ca="1" si="154"/>
        <v/>
      </c>
      <c r="AU116" t="str">
        <f t="shared" ca="1" si="155"/>
        <v/>
      </c>
      <c r="AV116" s="190" t="str">
        <f t="shared" ca="1" si="156"/>
        <v/>
      </c>
      <c r="AW116" t="str">
        <f t="shared" ca="1" si="157"/>
        <v/>
      </c>
      <c r="AY116" t="str">
        <f t="shared" ca="1" si="158"/>
        <v/>
      </c>
      <c r="BF116" t="str">
        <f t="shared" ca="1" si="159"/>
        <v/>
      </c>
      <c r="BH116" s="285" t="str">
        <f t="shared" ca="1" si="173"/>
        <v/>
      </c>
      <c r="BI116" t="str">
        <f t="shared" ca="1" si="160"/>
        <v/>
      </c>
      <c r="BJ116" t="str">
        <f t="shared" ca="1" si="161"/>
        <v/>
      </c>
      <c r="BK116" t="str">
        <f t="shared" ca="1" si="174"/>
        <v/>
      </c>
      <c r="BM116" t="str">
        <f t="shared" ca="1" si="175"/>
        <v/>
      </c>
      <c r="BN116" t="str">
        <f t="shared" ca="1" si="176"/>
        <v/>
      </c>
      <c r="BO116" t="str">
        <f t="shared" ca="1" si="162"/>
        <v/>
      </c>
      <c r="BP116" t="b">
        <f ca="1">COUNTIF(COLHELPER!A116:'COLHELPER'!A116,COLHELPER!A116)&gt;1</f>
        <v>0</v>
      </c>
      <c r="BQ116">
        <f t="shared" ca="1" si="163"/>
        <v>0</v>
      </c>
      <c r="BR116" s="290" t="str">
        <f t="shared" ca="1" si="137"/>
        <v/>
      </c>
      <c r="BS116" t="str">
        <f t="shared" ca="1" si="164"/>
        <v/>
      </c>
      <c r="BT116" t="str">
        <f t="shared" ca="1" si="177"/>
        <v/>
      </c>
      <c r="BU116" t="str">
        <f t="shared" ca="1" si="165"/>
        <v/>
      </c>
      <c r="BV116">
        <f t="shared" ca="1" si="166"/>
        <v>0</v>
      </c>
      <c r="BW116" t="str">
        <f t="shared" ca="1" si="167"/>
        <v/>
      </c>
      <c r="BX116" t="str">
        <f t="shared" ca="1" si="168"/>
        <v/>
      </c>
      <c r="BY116" t="str">
        <f ca="1">IF(R116="","",IF(R116&gt;Options!$B$3,"ALTER TABLE "&amp;HELPER!$B$4&amp;" ADD COLUMNS ("&amp;A116&amp;" "&amp;C116&amp;")",""))</f>
        <v/>
      </c>
      <c r="BZ116" t="str">
        <f ca="1">IF(R116="","",IF(R116&gt;Options!$B$3,A116,""))</f>
        <v/>
      </c>
      <c r="CA116" t="str">
        <f ca="1">IF(R116="","",IF(R116&gt;Options!$B$3,B116,""))</f>
        <v/>
      </c>
      <c r="CB116" t="str">
        <f t="shared" ca="1" si="169"/>
        <v/>
      </c>
      <c r="CC116">
        <f t="shared" ca="1" si="170"/>
        <v>0</v>
      </c>
      <c r="CD116" t="str">
        <f ca="1">IF(J116="","",Options!$B$23 &amp; "." &amp; J116)</f>
        <v/>
      </c>
    </row>
    <row r="117" spans="1:82">
      <c r="A117" s="161" t="str">
        <f t="array" aca="1" ref="A117" ca="1">IF(TRIM(INDIRECT("Columns!A117")) ="","",TRIM(INDIRECT("Columns!A117")))</f>
        <v/>
      </c>
      <c r="B117" s="161" t="str">
        <f t="shared" ca="1" si="138"/>
        <v/>
      </c>
      <c r="C117" s="161" t="str">
        <f t="shared" ca="1" si="139"/>
        <v/>
      </c>
      <c r="D117" s="161" t="str">
        <f t="shared" ca="1" si="140"/>
        <v/>
      </c>
      <c r="E117" s="161" t="str">
        <f t="array" aca="1" ref="E117" ca="1">IF(TRIM(INDIRECT("Columns!E117"))="","",TRIM(INDIRECT("Columns!E117")))</f>
        <v/>
      </c>
      <c r="F117" s="161" t="str">
        <f t="array" aca="1" ref="F117" ca="1">IF(TRIM(INDIRECT("Columns!G117"))="","",TRIM(INDIRECT("Columns!G117")))</f>
        <v/>
      </c>
      <c r="G117" s="161" t="str">
        <f t="array" aca="1" ref="G117" ca="1">IF(TRIM(INDIRECT("Columns!F117"))="","",TRIM(INDIRECT("Columns!F117")))</f>
        <v/>
      </c>
      <c r="H117" s="161" t="str">
        <f t="array" aca="1" ref="H117" ca="1">IF(TRIM(INDIRECT("Columns!H117"))="","",TRIM(INDIRECT("Columns!H117")))</f>
        <v/>
      </c>
      <c r="I117" s="161" t="str">
        <f t="array" aca="1" ref="I117" ca="1">IF(TRIM(INDIRECT("Columns!I117"))="","",TRIM(INDIRECT("Columns!I117")))</f>
        <v/>
      </c>
      <c r="J117" s="161" t="str">
        <f t="array" aca="1" ref="J117" ca="1">IF(TRIM(INDIRECT("Columns!J117"))="","",TRIM(INDIRECT("Columns!J117")))</f>
        <v/>
      </c>
      <c r="K117" s="161" t="str">
        <f t="array" aca="1" ref="K117" ca="1">IF(TRIM(INDIRECT("Columns!K117"))="","",TRIM(INDIRECT("Columns!K117")))</f>
        <v/>
      </c>
      <c r="L117" s="161" t="str">
        <f t="array" aca="1" ref="L117" ca="1">IF(TRIM(INDIRECT("Columns!L117"))="","",TRIM(INDIRECT("Columns!L117")))</f>
        <v/>
      </c>
      <c r="M117" s="161" t="str">
        <f t="array" aca="1" ref="M117" ca="1">IF(TRIM(INDIRECT("Columns!M117"))="","",TRIM(INDIRECT("Columns!M117")))</f>
        <v/>
      </c>
      <c r="N117" s="161" t="str">
        <f t="array" aca="1" ref="N117" ca="1">IF(TRIM(INDIRECT("Columns!N117"))="","",TRIM(INDIRECT("Columns!N117")))</f>
        <v/>
      </c>
      <c r="O117" s="227" t="str">
        <f t="array" aca="1" ref="O117" ca="1">IF(TRIM(INDIRECT("Columns!B117"))="","",TRIM(INDIRECT("Columns!B117")))</f>
        <v/>
      </c>
      <c r="P117" s="227" t="str">
        <f t="array" aca="1" ref="P117" ca="1">IF(TRIM(INDIRECT("Columns!C117"))="","",TRIM(INDIRECT("Columns!C117")))</f>
        <v/>
      </c>
      <c r="Q117" s="227" t="str">
        <f t="array" aca="1" ref="Q117" ca="1">IF(TRIM(INDIRECT("Columns!D117"))="","",TRIM(INDIRECT("Columns!D117")))</f>
        <v/>
      </c>
      <c r="R117" s="227" t="str">
        <f t="array" aca="1" ref="R117" ca="1">IF(TRIM(INDIRECT("Columns!O117"))="","",TRIM(INDIRECT("Columns!O117")))</f>
        <v/>
      </c>
      <c r="S117" t="str">
        <f t="shared" ca="1" si="141"/>
        <v/>
      </c>
      <c r="T117" t="str">
        <f t="shared" ca="1" si="142"/>
        <v/>
      </c>
      <c r="U117" t="str">
        <f t="shared" ca="1" si="143"/>
        <v/>
      </c>
      <c r="V117" t="str">
        <f t="shared" ca="1" si="144"/>
        <v/>
      </c>
      <c r="W117" t="str">
        <f t="shared" ca="1" si="145"/>
        <v/>
      </c>
      <c r="X117" t="str">
        <f t="shared" ca="1" si="146"/>
        <v/>
      </c>
      <c r="Y117" t="str">
        <f t="shared" ca="1" si="147"/>
        <v/>
      </c>
      <c r="Z117" t="str">
        <f t="shared" ca="1" si="171"/>
        <v/>
      </c>
      <c r="AA117" t="str">
        <f ca="1">IF(E117="1",   IF( A117="","",IF(OR(F117="1",H117="1",I117="1"),"","COALESCE (CAST("&amp;A117&amp;" as varchar(" &amp; Options!$B$49&amp; ")),'')")),"")</f>
        <v/>
      </c>
      <c r="AB117" t="str">
        <f ca="1">IF(E117="1", IF(C117="string",  IF( A117="","",IF(OR(F117="1",H117="1",I117="1"),"","COALESCE (CAST(lower("&amp;A117&amp;") as varchar(" &amp;Options!$B$49 &amp; ")),'')")),AA117),"")</f>
        <v/>
      </c>
      <c r="AC117" t="str">
        <f ca="1">IF(E117="4",   IF( A117="","",IF(OR(F117="1",H117="1",I117="1"),"","COALESCE (CAST("  &amp;A117&amp;" as varchar(" &amp; Options!$B$49&amp; ")),'')")),"")</f>
        <v/>
      </c>
      <c r="AD117" t="str">
        <f ca="1">IF(E117="4",   IF( A117="","",IF(OR(F117="1",H117="1",I117="1"),"","COALESCE (CAST(" &amp; HELPER!$B$94 &amp; "."  &amp;A117&amp;" as varchar(" &amp; Options!$B$49&amp; ")),'')")),"")</f>
        <v/>
      </c>
      <c r="AE117" t="str">
        <f t="shared" ca="1" si="148"/>
        <v/>
      </c>
      <c r="AF117" t="str">
        <f ca="1">IF(AE117&lt;&gt;"", HELPER!$B$93 &amp;  "." &amp; AE117,"")</f>
        <v/>
      </c>
      <c r="AG117" t="str">
        <f ca="1">IF(AE117&lt;&gt;"", HELPER!$B$94 &amp; "." &amp; AE117,"")</f>
        <v/>
      </c>
      <c r="AH117" t="str">
        <f t="shared" ca="1" si="172"/>
        <v/>
      </c>
      <c r="AI117" t="str">
        <f t="shared" ca="1" si="149"/>
        <v/>
      </c>
      <c r="AJ117" t="str">
        <f t="shared" ca="1" si="150"/>
        <v/>
      </c>
      <c r="AK117" t="str">
        <f ca="1">IF(E117="4", HELPER!$B$94 &amp;  "." &amp; A117,"")</f>
        <v/>
      </c>
      <c r="AL117" t="str">
        <f ca="1">IF(E117="4", HELPER!$B$93 &amp;  "." &amp; A117,"")</f>
        <v/>
      </c>
      <c r="AM117" t="str">
        <f t="shared" ca="1" si="151"/>
        <v/>
      </c>
      <c r="AN117" t="str">
        <f t="shared" ca="1" si="152"/>
        <v/>
      </c>
      <c r="AO117" t="str">
        <f ca="1">IF(A117&lt;&gt;"", IF(OR(F117="1",H117="1",I117="1"),""," "&amp; HELPER!$B$94 &amp; "." &amp; A117),"")</f>
        <v/>
      </c>
      <c r="AP117" t="str">
        <f t="shared" ca="1" si="153"/>
        <v/>
      </c>
      <c r="AQ117" t="str">
        <f t="shared" ca="1" si="178"/>
        <v/>
      </c>
      <c r="AS117" t="str">
        <f ca="1">IF(A117="","",  HELPER!$B$94 &amp;  "." &amp; A117)</f>
        <v/>
      </c>
      <c r="AT117" t="str">
        <f t="shared" ca="1" si="154"/>
        <v/>
      </c>
      <c r="AU117" t="str">
        <f t="shared" ca="1" si="155"/>
        <v/>
      </c>
      <c r="AV117" s="190" t="str">
        <f t="shared" ca="1" si="156"/>
        <v/>
      </c>
      <c r="AW117" t="str">
        <f t="shared" ca="1" si="157"/>
        <v/>
      </c>
      <c r="AY117" t="str">
        <f t="shared" ca="1" si="158"/>
        <v/>
      </c>
      <c r="BF117" t="str">
        <f t="shared" ca="1" si="159"/>
        <v/>
      </c>
      <c r="BH117" s="285" t="str">
        <f t="shared" ca="1" si="173"/>
        <v/>
      </c>
      <c r="BI117" t="str">
        <f t="shared" ca="1" si="160"/>
        <v/>
      </c>
      <c r="BJ117" t="str">
        <f t="shared" ca="1" si="161"/>
        <v/>
      </c>
      <c r="BK117" t="str">
        <f t="shared" ca="1" si="174"/>
        <v/>
      </c>
      <c r="BM117" t="str">
        <f t="shared" ca="1" si="175"/>
        <v/>
      </c>
      <c r="BN117" t="str">
        <f t="shared" ca="1" si="176"/>
        <v/>
      </c>
      <c r="BO117" t="str">
        <f t="shared" ca="1" si="162"/>
        <v/>
      </c>
      <c r="BP117" t="b">
        <f ca="1">COUNTIF(COLHELPER!A117:'COLHELPER'!A117,COLHELPER!A117)&gt;1</f>
        <v>0</v>
      </c>
      <c r="BQ117">
        <f t="shared" ca="1" si="163"/>
        <v>0</v>
      </c>
      <c r="BR117" s="290" t="str">
        <f t="shared" ca="1" si="137"/>
        <v/>
      </c>
      <c r="BS117" t="str">
        <f t="shared" ca="1" si="164"/>
        <v/>
      </c>
      <c r="BT117" t="str">
        <f t="shared" ca="1" si="177"/>
        <v/>
      </c>
      <c r="BU117" t="str">
        <f t="shared" ca="1" si="165"/>
        <v/>
      </c>
      <c r="BV117">
        <f t="shared" ca="1" si="166"/>
        <v>0</v>
      </c>
      <c r="BW117" t="str">
        <f t="shared" ca="1" si="167"/>
        <v/>
      </c>
      <c r="BX117" t="str">
        <f t="shared" ca="1" si="168"/>
        <v/>
      </c>
      <c r="BY117" t="str">
        <f ca="1">IF(R117="","",IF(R117&gt;Options!$B$3,"ALTER TABLE "&amp;HELPER!$B$4&amp;" ADD COLUMNS ("&amp;A117&amp;" "&amp;C117&amp;")",""))</f>
        <v/>
      </c>
      <c r="BZ117" t="str">
        <f ca="1">IF(R117="","",IF(R117&gt;Options!$B$3,A117,""))</f>
        <v/>
      </c>
      <c r="CA117" t="str">
        <f ca="1">IF(R117="","",IF(R117&gt;Options!$B$3,B117,""))</f>
        <v/>
      </c>
      <c r="CB117" t="str">
        <f t="shared" ca="1" si="169"/>
        <v/>
      </c>
      <c r="CC117">
        <f t="shared" ca="1" si="170"/>
        <v>0</v>
      </c>
      <c r="CD117" t="str">
        <f ca="1">IF(J117="","",Options!$B$23 &amp; "." &amp; J117)</f>
        <v/>
      </c>
    </row>
    <row r="118" spans="1:82">
      <c r="A118" s="161" t="str">
        <f t="array" aca="1" ref="A118" ca="1">IF(TRIM(INDIRECT("Columns!A118")) ="","",TRIM(INDIRECT("Columns!A118")))</f>
        <v/>
      </c>
      <c r="B118" s="161" t="str">
        <f t="shared" ca="1" si="138"/>
        <v/>
      </c>
      <c r="C118" s="161" t="str">
        <f t="shared" ca="1" si="139"/>
        <v/>
      </c>
      <c r="D118" s="161" t="str">
        <f t="shared" ca="1" si="140"/>
        <v/>
      </c>
      <c r="E118" s="161" t="str">
        <f t="array" aca="1" ref="E118" ca="1">IF(TRIM(INDIRECT("Columns!E118"))="","",TRIM(INDIRECT("Columns!E118")))</f>
        <v/>
      </c>
      <c r="F118" s="161" t="str">
        <f t="array" aca="1" ref="F118" ca="1">IF(TRIM(INDIRECT("Columns!G118"))="","",TRIM(INDIRECT("Columns!G118")))</f>
        <v/>
      </c>
      <c r="G118" s="161" t="str">
        <f t="array" aca="1" ref="G118" ca="1">IF(TRIM(INDIRECT("Columns!F118"))="","",TRIM(INDIRECT("Columns!F118")))</f>
        <v/>
      </c>
      <c r="H118" s="161" t="str">
        <f t="array" aca="1" ref="H118" ca="1">IF(TRIM(INDIRECT("Columns!H118"))="","",TRIM(INDIRECT("Columns!H118")))</f>
        <v/>
      </c>
      <c r="I118" s="161" t="str">
        <f t="array" aca="1" ref="I118" ca="1">IF(TRIM(INDIRECT("Columns!I118"))="","",TRIM(INDIRECT("Columns!I118")))</f>
        <v/>
      </c>
      <c r="J118" s="161" t="str">
        <f t="array" aca="1" ref="J118" ca="1">IF(TRIM(INDIRECT("Columns!J118"))="","",TRIM(INDIRECT("Columns!J118")))</f>
        <v/>
      </c>
      <c r="K118" s="161" t="str">
        <f t="array" aca="1" ref="K118" ca="1">IF(TRIM(INDIRECT("Columns!K118"))="","",TRIM(INDIRECT("Columns!K118")))</f>
        <v/>
      </c>
      <c r="L118" s="161" t="str">
        <f t="array" aca="1" ref="L118" ca="1">IF(TRIM(INDIRECT("Columns!L118"))="","",TRIM(INDIRECT("Columns!L118")))</f>
        <v/>
      </c>
      <c r="M118" s="161" t="str">
        <f t="array" aca="1" ref="M118" ca="1">IF(TRIM(INDIRECT("Columns!M118"))="","",TRIM(INDIRECT("Columns!M118")))</f>
        <v/>
      </c>
      <c r="N118" s="161" t="str">
        <f t="array" aca="1" ref="N118" ca="1">IF(TRIM(INDIRECT("Columns!N118"))="","",TRIM(INDIRECT("Columns!N118")))</f>
        <v/>
      </c>
      <c r="O118" s="227" t="str">
        <f t="array" aca="1" ref="O118" ca="1">IF(TRIM(INDIRECT("Columns!B118"))="","",TRIM(INDIRECT("Columns!B118")))</f>
        <v/>
      </c>
      <c r="P118" s="227" t="str">
        <f t="array" aca="1" ref="P118" ca="1">IF(TRIM(INDIRECT("Columns!C118"))="","",TRIM(INDIRECT("Columns!C118")))</f>
        <v/>
      </c>
      <c r="Q118" s="227" t="str">
        <f t="array" aca="1" ref="Q118" ca="1">IF(TRIM(INDIRECT("Columns!D118"))="","",TRIM(INDIRECT("Columns!D118")))</f>
        <v/>
      </c>
      <c r="R118" s="227" t="str">
        <f t="array" aca="1" ref="R118" ca="1">IF(TRIM(INDIRECT("Columns!O118"))="","",TRIM(INDIRECT("Columns!O118")))</f>
        <v/>
      </c>
      <c r="S118" t="str">
        <f t="shared" ca="1" si="141"/>
        <v/>
      </c>
      <c r="T118" t="str">
        <f t="shared" ca="1" si="142"/>
        <v/>
      </c>
      <c r="U118" t="str">
        <f t="shared" ca="1" si="143"/>
        <v/>
      </c>
      <c r="V118" t="str">
        <f t="shared" ca="1" si="144"/>
        <v/>
      </c>
      <c r="W118" t="str">
        <f t="shared" ca="1" si="145"/>
        <v/>
      </c>
      <c r="X118" t="str">
        <f t="shared" ca="1" si="146"/>
        <v/>
      </c>
      <c r="Y118" t="str">
        <f t="shared" ca="1" si="147"/>
        <v/>
      </c>
      <c r="Z118" t="str">
        <f t="shared" ca="1" si="171"/>
        <v/>
      </c>
      <c r="AA118" t="str">
        <f ca="1">IF(E118="1",   IF( A118="","",IF(OR(F118="1",H118="1",I118="1"),"","COALESCE (CAST("&amp;A118&amp;" as varchar(" &amp; Options!$B$49&amp; ")),'')")),"")</f>
        <v/>
      </c>
      <c r="AB118" t="str">
        <f ca="1">IF(E118="1", IF(C118="string",  IF( A118="","",IF(OR(F118="1",H118="1",I118="1"),"","COALESCE (CAST(lower("&amp;A118&amp;") as varchar(" &amp;Options!$B$49 &amp; ")),'')")),AA118),"")</f>
        <v/>
      </c>
      <c r="AC118" t="str">
        <f ca="1">IF(E118="4",   IF( A118="","",IF(OR(F118="1",H118="1",I118="1"),"","COALESCE (CAST("  &amp;A118&amp;" as varchar(" &amp; Options!$B$49&amp; ")),'')")),"")</f>
        <v/>
      </c>
      <c r="AD118" t="str">
        <f ca="1">IF(E118="4",   IF( A118="","",IF(OR(F118="1",H118="1",I118="1"),"","COALESCE (CAST(" &amp; HELPER!$B$94 &amp; "."  &amp;A118&amp;" as varchar(" &amp; Options!$B$49&amp; ")),'')")),"")</f>
        <v/>
      </c>
      <c r="AE118" t="str">
        <f t="shared" ca="1" si="148"/>
        <v/>
      </c>
      <c r="AF118" t="str">
        <f ca="1">IF(AE118&lt;&gt;"", HELPER!$B$93 &amp;  "." &amp; AE118,"")</f>
        <v/>
      </c>
      <c r="AG118" t="str">
        <f ca="1">IF(AE118&lt;&gt;"", HELPER!$B$94 &amp; "." &amp; AE118,"")</f>
        <v/>
      </c>
      <c r="AH118" t="str">
        <f t="shared" ca="1" si="172"/>
        <v/>
      </c>
      <c r="AI118" t="str">
        <f t="shared" ca="1" si="149"/>
        <v/>
      </c>
      <c r="AJ118" t="str">
        <f t="shared" ca="1" si="150"/>
        <v/>
      </c>
      <c r="AK118" t="str">
        <f ca="1">IF(E118="4", HELPER!$B$94 &amp;  "." &amp; A118,"")</f>
        <v/>
      </c>
      <c r="AL118" t="str">
        <f ca="1">IF(E118="4", HELPER!$B$93 &amp;  "." &amp; A118,"")</f>
        <v/>
      </c>
      <c r="AM118" t="str">
        <f t="shared" ca="1" si="151"/>
        <v/>
      </c>
      <c r="AN118" t="str">
        <f t="shared" ca="1" si="152"/>
        <v/>
      </c>
      <c r="AO118" t="str">
        <f ca="1">IF(A118&lt;&gt;"", IF(OR(F118="1",H118="1",I118="1"),""," "&amp; HELPER!$B$94 &amp; "." &amp; A118),"")</f>
        <v/>
      </c>
      <c r="AP118" t="str">
        <f t="shared" ca="1" si="153"/>
        <v/>
      </c>
      <c r="AQ118" t="str">
        <f t="shared" ca="1" si="178"/>
        <v/>
      </c>
      <c r="AS118" t="str">
        <f ca="1">IF(A118="","",  HELPER!$B$94 &amp;  "." &amp; A118)</f>
        <v/>
      </c>
      <c r="AT118" t="str">
        <f t="shared" ca="1" si="154"/>
        <v/>
      </c>
      <c r="AU118" t="str">
        <f t="shared" ca="1" si="155"/>
        <v/>
      </c>
      <c r="AV118" s="190" t="str">
        <f t="shared" ca="1" si="156"/>
        <v/>
      </c>
      <c r="AW118" t="str">
        <f t="shared" ca="1" si="157"/>
        <v/>
      </c>
      <c r="AY118" t="str">
        <f t="shared" ca="1" si="158"/>
        <v/>
      </c>
      <c r="BF118" t="str">
        <f t="shared" ca="1" si="159"/>
        <v/>
      </c>
      <c r="BH118" s="285" t="str">
        <f t="shared" ca="1" si="173"/>
        <v/>
      </c>
      <c r="BI118" t="str">
        <f t="shared" ca="1" si="160"/>
        <v/>
      </c>
      <c r="BJ118" t="str">
        <f t="shared" ca="1" si="161"/>
        <v/>
      </c>
      <c r="BK118" t="str">
        <f t="shared" ca="1" si="174"/>
        <v/>
      </c>
      <c r="BM118" t="str">
        <f t="shared" ca="1" si="175"/>
        <v/>
      </c>
      <c r="BN118" t="str">
        <f t="shared" ca="1" si="176"/>
        <v/>
      </c>
      <c r="BO118" t="str">
        <f t="shared" ca="1" si="162"/>
        <v/>
      </c>
      <c r="BP118" t="b">
        <f ca="1">COUNTIF(COLHELPER!A118:'COLHELPER'!A118,COLHELPER!A118)&gt;1</f>
        <v>0</v>
      </c>
      <c r="BQ118">
        <f t="shared" ca="1" si="163"/>
        <v>0</v>
      </c>
      <c r="BR118" s="290" t="str">
        <f t="shared" ca="1" si="137"/>
        <v/>
      </c>
      <c r="BS118" t="str">
        <f t="shared" ca="1" si="164"/>
        <v/>
      </c>
      <c r="BT118" t="str">
        <f t="shared" ca="1" si="177"/>
        <v/>
      </c>
      <c r="BU118" t="str">
        <f t="shared" ca="1" si="165"/>
        <v/>
      </c>
      <c r="BV118">
        <f t="shared" ca="1" si="166"/>
        <v>0</v>
      </c>
      <c r="BW118" t="str">
        <f t="shared" ca="1" si="167"/>
        <v/>
      </c>
      <c r="BX118" t="str">
        <f t="shared" ca="1" si="168"/>
        <v/>
      </c>
      <c r="BY118" t="str">
        <f ca="1">IF(R118="","",IF(R118&gt;Options!$B$3,"ALTER TABLE "&amp;HELPER!$B$4&amp;" ADD COLUMNS ("&amp;A118&amp;" "&amp;C118&amp;")",""))</f>
        <v/>
      </c>
      <c r="BZ118" t="str">
        <f ca="1">IF(R118="","",IF(R118&gt;Options!$B$3,A118,""))</f>
        <v/>
      </c>
      <c r="CA118" t="str">
        <f ca="1">IF(R118="","",IF(R118&gt;Options!$B$3,B118,""))</f>
        <v/>
      </c>
      <c r="CB118" t="str">
        <f t="shared" ca="1" si="169"/>
        <v/>
      </c>
      <c r="CC118">
        <f t="shared" ca="1" si="170"/>
        <v>0</v>
      </c>
      <c r="CD118" t="str">
        <f ca="1">IF(J118="","",Options!$B$23 &amp; "." &amp; J118)</f>
        <v/>
      </c>
    </row>
    <row r="119" spans="1:82">
      <c r="A119" s="161" t="str">
        <f t="array" aca="1" ref="A119" ca="1">IF(TRIM(INDIRECT("Columns!A119")) ="","",TRIM(INDIRECT("Columns!A119")))</f>
        <v/>
      </c>
      <c r="B119" s="161" t="str">
        <f t="shared" ca="1" si="138"/>
        <v/>
      </c>
      <c r="C119" s="161" t="str">
        <f t="shared" ca="1" si="139"/>
        <v/>
      </c>
      <c r="D119" s="161" t="str">
        <f t="shared" ca="1" si="140"/>
        <v/>
      </c>
      <c r="E119" s="161" t="str">
        <f t="array" aca="1" ref="E119" ca="1">IF(TRIM(INDIRECT("Columns!E119"))="","",TRIM(INDIRECT("Columns!E119")))</f>
        <v/>
      </c>
      <c r="F119" s="161" t="str">
        <f t="array" aca="1" ref="F119" ca="1">IF(TRIM(INDIRECT("Columns!G119"))="","",TRIM(INDIRECT("Columns!G119")))</f>
        <v/>
      </c>
      <c r="G119" s="161" t="str">
        <f t="array" aca="1" ref="G119" ca="1">IF(TRIM(INDIRECT("Columns!F119"))="","",TRIM(INDIRECT("Columns!F119")))</f>
        <v/>
      </c>
      <c r="H119" s="161" t="str">
        <f t="array" aca="1" ref="H119" ca="1">IF(TRIM(INDIRECT("Columns!H119"))="","",TRIM(INDIRECT("Columns!H119")))</f>
        <v/>
      </c>
      <c r="I119" s="161" t="str">
        <f t="array" aca="1" ref="I119" ca="1">IF(TRIM(INDIRECT("Columns!I119"))="","",TRIM(INDIRECT("Columns!I119")))</f>
        <v/>
      </c>
      <c r="J119" s="161" t="str">
        <f t="array" aca="1" ref="J119" ca="1">IF(TRIM(INDIRECT("Columns!J119"))="","",TRIM(INDIRECT("Columns!J119")))</f>
        <v/>
      </c>
      <c r="K119" s="161" t="str">
        <f t="array" aca="1" ref="K119" ca="1">IF(TRIM(INDIRECT("Columns!K119"))="","",TRIM(INDIRECT("Columns!K119")))</f>
        <v/>
      </c>
      <c r="L119" s="161" t="str">
        <f t="array" aca="1" ref="L119" ca="1">IF(TRIM(INDIRECT("Columns!L119"))="","",TRIM(INDIRECT("Columns!L119")))</f>
        <v/>
      </c>
      <c r="M119" s="161" t="str">
        <f t="array" aca="1" ref="M119" ca="1">IF(TRIM(INDIRECT("Columns!M119"))="","",TRIM(INDIRECT("Columns!M119")))</f>
        <v/>
      </c>
      <c r="N119" s="161" t="str">
        <f t="array" aca="1" ref="N119" ca="1">IF(TRIM(INDIRECT("Columns!N119"))="","",TRIM(INDIRECT("Columns!N119")))</f>
        <v/>
      </c>
      <c r="O119" s="227" t="str">
        <f t="array" aca="1" ref="O119" ca="1">IF(TRIM(INDIRECT("Columns!B119"))="","",TRIM(INDIRECT("Columns!B119")))</f>
        <v/>
      </c>
      <c r="P119" s="227" t="str">
        <f t="array" aca="1" ref="P119" ca="1">IF(TRIM(INDIRECT("Columns!C119"))="","",TRIM(INDIRECT("Columns!C119")))</f>
        <v/>
      </c>
      <c r="Q119" s="227" t="str">
        <f t="array" aca="1" ref="Q119" ca="1">IF(TRIM(INDIRECT("Columns!D119"))="","",TRIM(INDIRECT("Columns!D119")))</f>
        <v/>
      </c>
      <c r="R119" s="227" t="str">
        <f t="array" aca="1" ref="R119" ca="1">IF(TRIM(INDIRECT("Columns!O119"))="","",TRIM(INDIRECT("Columns!O119")))</f>
        <v/>
      </c>
      <c r="S119" t="str">
        <f t="shared" ca="1" si="141"/>
        <v/>
      </c>
      <c r="T119" t="str">
        <f t="shared" ca="1" si="142"/>
        <v/>
      </c>
      <c r="U119" t="str">
        <f t="shared" ca="1" si="143"/>
        <v/>
      </c>
      <c r="V119" t="str">
        <f t="shared" ca="1" si="144"/>
        <v/>
      </c>
      <c r="W119" t="str">
        <f t="shared" ca="1" si="145"/>
        <v/>
      </c>
      <c r="X119" t="str">
        <f t="shared" ca="1" si="146"/>
        <v/>
      </c>
      <c r="Y119" t="str">
        <f t="shared" ca="1" si="147"/>
        <v/>
      </c>
      <c r="Z119" t="str">
        <f t="shared" ca="1" si="171"/>
        <v/>
      </c>
      <c r="AA119" t="str">
        <f ca="1">IF(E119="1",   IF( A119="","",IF(OR(F119="1",H119="1",I119="1"),"","COALESCE (CAST("&amp;A119&amp;" as varchar(" &amp; Options!$B$49&amp; ")),'')")),"")</f>
        <v/>
      </c>
      <c r="AB119" t="str">
        <f ca="1">IF(E119="1", IF(C119="string",  IF( A119="","",IF(OR(F119="1",H119="1",I119="1"),"","COALESCE (CAST(lower("&amp;A119&amp;") as varchar(" &amp;Options!$B$49 &amp; ")),'')")),AA119),"")</f>
        <v/>
      </c>
      <c r="AC119" t="str">
        <f ca="1">IF(E119="4",   IF( A119="","",IF(OR(F119="1",H119="1",I119="1"),"","COALESCE (CAST("  &amp;A119&amp;" as varchar(" &amp; Options!$B$49&amp; ")),'')")),"")</f>
        <v/>
      </c>
      <c r="AD119" t="str">
        <f ca="1">IF(E119="4",   IF( A119="","",IF(OR(F119="1",H119="1",I119="1"),"","COALESCE (CAST(" &amp; HELPER!$B$94 &amp; "."  &amp;A119&amp;" as varchar(" &amp; Options!$B$49&amp; ")),'')")),"")</f>
        <v/>
      </c>
      <c r="AE119" t="str">
        <f t="shared" ca="1" si="148"/>
        <v/>
      </c>
      <c r="AF119" t="str">
        <f ca="1">IF(AE119&lt;&gt;"", HELPER!$B$93 &amp;  "." &amp; AE119,"")</f>
        <v/>
      </c>
      <c r="AG119" t="str">
        <f ca="1">IF(AE119&lt;&gt;"", HELPER!$B$94 &amp; "." &amp; AE119,"")</f>
        <v/>
      </c>
      <c r="AH119" t="str">
        <f t="shared" ca="1" si="172"/>
        <v/>
      </c>
      <c r="AI119" t="str">
        <f t="shared" ca="1" si="149"/>
        <v/>
      </c>
      <c r="AJ119" t="str">
        <f t="shared" ca="1" si="150"/>
        <v/>
      </c>
      <c r="AK119" t="str">
        <f ca="1">IF(E119="4", HELPER!$B$94 &amp;  "." &amp; A119,"")</f>
        <v/>
      </c>
      <c r="AL119" t="str">
        <f ca="1">IF(E119="4", HELPER!$B$93 &amp;  "." &amp; A119,"")</f>
        <v/>
      </c>
      <c r="AM119" t="str">
        <f t="shared" ca="1" si="151"/>
        <v/>
      </c>
      <c r="AN119" t="str">
        <f t="shared" ca="1" si="152"/>
        <v/>
      </c>
      <c r="AO119" t="str">
        <f ca="1">IF(A119&lt;&gt;"", IF(OR(F119="1",H119="1",I119="1"),""," "&amp; HELPER!$B$94 &amp; "." &amp; A119),"")</f>
        <v/>
      </c>
      <c r="AP119" t="str">
        <f t="shared" ca="1" si="153"/>
        <v/>
      </c>
      <c r="AQ119" t="str">
        <f t="shared" ca="1" si="178"/>
        <v/>
      </c>
      <c r="AS119" t="str">
        <f ca="1">IF(A119="","",  HELPER!$B$94 &amp;  "." &amp; A119)</f>
        <v/>
      </c>
      <c r="AT119" t="str">
        <f t="shared" ca="1" si="154"/>
        <v/>
      </c>
      <c r="AU119" t="str">
        <f t="shared" ca="1" si="155"/>
        <v/>
      </c>
      <c r="AV119" s="190" t="str">
        <f t="shared" ca="1" si="156"/>
        <v/>
      </c>
      <c r="AW119" t="str">
        <f t="shared" ca="1" si="157"/>
        <v/>
      </c>
      <c r="AY119" t="str">
        <f t="shared" ca="1" si="158"/>
        <v/>
      </c>
      <c r="BF119" t="str">
        <f t="shared" ca="1" si="159"/>
        <v/>
      </c>
      <c r="BH119" s="285" t="str">
        <f t="shared" ca="1" si="173"/>
        <v/>
      </c>
      <c r="BI119" t="str">
        <f t="shared" ca="1" si="160"/>
        <v/>
      </c>
      <c r="BJ119" t="str">
        <f t="shared" ca="1" si="161"/>
        <v/>
      </c>
      <c r="BK119" t="str">
        <f t="shared" ca="1" si="174"/>
        <v/>
      </c>
      <c r="BM119" t="str">
        <f t="shared" ca="1" si="175"/>
        <v/>
      </c>
      <c r="BN119" t="str">
        <f t="shared" ca="1" si="176"/>
        <v/>
      </c>
      <c r="BO119" t="str">
        <f t="shared" ca="1" si="162"/>
        <v/>
      </c>
      <c r="BP119" t="b">
        <f ca="1">COUNTIF(COLHELPER!A119:'COLHELPER'!A119,COLHELPER!A119)&gt;1</f>
        <v>0</v>
      </c>
      <c r="BQ119">
        <f t="shared" ca="1" si="163"/>
        <v>0</v>
      </c>
      <c r="BR119" s="290" t="str">
        <f t="shared" ca="1" si="137"/>
        <v/>
      </c>
      <c r="BS119" t="str">
        <f t="shared" ca="1" si="164"/>
        <v/>
      </c>
      <c r="BT119" t="str">
        <f t="shared" ca="1" si="177"/>
        <v/>
      </c>
      <c r="BU119" t="str">
        <f t="shared" ca="1" si="165"/>
        <v/>
      </c>
      <c r="BV119">
        <f t="shared" ca="1" si="166"/>
        <v>0</v>
      </c>
      <c r="BW119" t="str">
        <f t="shared" ca="1" si="167"/>
        <v/>
      </c>
      <c r="BX119" t="str">
        <f t="shared" ca="1" si="168"/>
        <v/>
      </c>
      <c r="BY119" t="str">
        <f ca="1">IF(R119="","",IF(R119&gt;Options!$B$3,"ALTER TABLE "&amp;HELPER!$B$4&amp;" ADD COLUMNS ("&amp;A119&amp;" "&amp;C119&amp;")",""))</f>
        <v/>
      </c>
      <c r="BZ119" t="str">
        <f ca="1">IF(R119="","",IF(R119&gt;Options!$B$3,A119,""))</f>
        <v/>
      </c>
      <c r="CA119" t="str">
        <f ca="1">IF(R119="","",IF(R119&gt;Options!$B$3,B119,""))</f>
        <v/>
      </c>
      <c r="CB119" t="str">
        <f t="shared" ca="1" si="169"/>
        <v/>
      </c>
      <c r="CC119">
        <f t="shared" ca="1" si="170"/>
        <v>0</v>
      </c>
      <c r="CD119" t="str">
        <f ca="1">IF(J119="","",Options!$B$23 &amp; "." &amp; J119)</f>
        <v/>
      </c>
    </row>
    <row r="120" spans="1:82">
      <c r="A120" s="161" t="str">
        <f t="array" aca="1" ref="A120" ca="1">IF(TRIM(INDIRECT("Columns!A120")) ="","",TRIM(INDIRECT("Columns!A120")))</f>
        <v/>
      </c>
      <c r="B120" s="161" t="str">
        <f t="shared" ca="1" si="138"/>
        <v/>
      </c>
      <c r="C120" s="161" t="str">
        <f t="shared" ca="1" si="139"/>
        <v/>
      </c>
      <c r="D120" s="161" t="str">
        <f t="shared" ca="1" si="140"/>
        <v/>
      </c>
      <c r="E120" s="161" t="str">
        <f t="array" aca="1" ref="E120" ca="1">IF(TRIM(INDIRECT("Columns!E120"))="","",TRIM(INDIRECT("Columns!E120")))</f>
        <v/>
      </c>
      <c r="F120" s="161" t="str">
        <f t="array" aca="1" ref="F120" ca="1">IF(TRIM(INDIRECT("Columns!G120"))="","",TRIM(INDIRECT("Columns!G120")))</f>
        <v/>
      </c>
      <c r="G120" s="161" t="str">
        <f t="array" aca="1" ref="G120" ca="1">IF(TRIM(INDIRECT("Columns!F120"))="","",TRIM(INDIRECT("Columns!F120")))</f>
        <v/>
      </c>
      <c r="H120" s="161" t="str">
        <f t="array" aca="1" ref="H120" ca="1">IF(TRIM(INDIRECT("Columns!H120"))="","",TRIM(INDIRECT("Columns!H120")))</f>
        <v/>
      </c>
      <c r="I120" s="161" t="str">
        <f t="array" aca="1" ref="I120" ca="1">IF(TRIM(INDIRECT("Columns!I120"))="","",TRIM(INDIRECT("Columns!I120")))</f>
        <v/>
      </c>
      <c r="J120" s="161" t="str">
        <f t="array" aca="1" ref="J120" ca="1">IF(TRIM(INDIRECT("Columns!J120"))="","",TRIM(INDIRECT("Columns!J120")))</f>
        <v/>
      </c>
      <c r="K120" s="161" t="str">
        <f t="array" aca="1" ref="K120" ca="1">IF(TRIM(INDIRECT("Columns!K120"))="","",TRIM(INDIRECT("Columns!K120")))</f>
        <v/>
      </c>
      <c r="L120" s="161" t="str">
        <f t="array" aca="1" ref="L120" ca="1">IF(TRIM(INDIRECT("Columns!L120"))="","",TRIM(INDIRECT("Columns!L120")))</f>
        <v/>
      </c>
      <c r="M120" s="161" t="str">
        <f t="array" aca="1" ref="M120" ca="1">IF(TRIM(INDIRECT("Columns!M120"))="","",TRIM(INDIRECT("Columns!M120")))</f>
        <v/>
      </c>
      <c r="N120" s="161" t="str">
        <f t="array" aca="1" ref="N120" ca="1">IF(TRIM(INDIRECT("Columns!N120"))="","",TRIM(INDIRECT("Columns!N120")))</f>
        <v/>
      </c>
      <c r="O120" s="227" t="str">
        <f t="array" aca="1" ref="O120" ca="1">IF(TRIM(INDIRECT("Columns!B120"))="","",TRIM(INDIRECT("Columns!B120")))</f>
        <v/>
      </c>
      <c r="P120" s="227" t="str">
        <f t="array" aca="1" ref="P120" ca="1">IF(TRIM(INDIRECT("Columns!C120"))="","",TRIM(INDIRECT("Columns!C120")))</f>
        <v/>
      </c>
      <c r="Q120" s="227" t="str">
        <f t="array" aca="1" ref="Q120" ca="1">IF(TRIM(INDIRECT("Columns!D120"))="","",TRIM(INDIRECT("Columns!D120")))</f>
        <v/>
      </c>
      <c r="R120" s="227" t="str">
        <f t="array" aca="1" ref="R120" ca="1">IF(TRIM(INDIRECT("Columns!O120"))="","",TRIM(INDIRECT("Columns!O120")))</f>
        <v/>
      </c>
      <c r="S120" t="str">
        <f t="shared" ca="1" si="141"/>
        <v/>
      </c>
      <c r="T120" t="str">
        <f t="shared" ca="1" si="142"/>
        <v/>
      </c>
      <c r="U120" t="str">
        <f t="shared" ca="1" si="143"/>
        <v/>
      </c>
      <c r="V120" t="str">
        <f t="shared" ca="1" si="144"/>
        <v/>
      </c>
      <c r="W120" t="str">
        <f t="shared" ca="1" si="145"/>
        <v/>
      </c>
      <c r="X120" t="str">
        <f t="shared" ca="1" si="146"/>
        <v/>
      </c>
      <c r="Y120" t="str">
        <f t="shared" ca="1" si="147"/>
        <v/>
      </c>
      <c r="Z120" t="str">
        <f t="shared" ca="1" si="171"/>
        <v/>
      </c>
      <c r="AA120" t="str">
        <f ca="1">IF(E120="1",   IF( A120="","",IF(OR(F120="1",H120="1",I120="1"),"","COALESCE (CAST("&amp;A120&amp;" as varchar(" &amp; Options!$B$49&amp; ")),'')")),"")</f>
        <v/>
      </c>
      <c r="AB120" t="str">
        <f ca="1">IF(E120="1", IF(C120="string",  IF( A120="","",IF(OR(F120="1",H120="1",I120="1"),"","COALESCE (CAST(lower("&amp;A120&amp;") as varchar(" &amp;Options!$B$49 &amp; ")),'')")),AA120),"")</f>
        <v/>
      </c>
      <c r="AC120" t="str">
        <f ca="1">IF(E120="4",   IF( A120="","",IF(OR(F120="1",H120="1",I120="1"),"","COALESCE (CAST("  &amp;A120&amp;" as varchar(" &amp; Options!$B$49&amp; ")),'')")),"")</f>
        <v/>
      </c>
      <c r="AD120" t="str">
        <f ca="1">IF(E120="4",   IF( A120="","",IF(OR(F120="1",H120="1",I120="1"),"","COALESCE (CAST(" &amp; HELPER!$B$94 &amp; "."  &amp;A120&amp;" as varchar(" &amp; Options!$B$49&amp; ")),'')")),"")</f>
        <v/>
      </c>
      <c r="AE120" t="str">
        <f t="shared" ca="1" si="148"/>
        <v/>
      </c>
      <c r="AF120" t="str">
        <f ca="1">IF(AE120&lt;&gt;"", HELPER!$B$93 &amp;  "." &amp; AE120,"")</f>
        <v/>
      </c>
      <c r="AG120" t="str">
        <f ca="1">IF(AE120&lt;&gt;"", HELPER!$B$94 &amp; "." &amp; AE120,"")</f>
        <v/>
      </c>
      <c r="AH120" t="str">
        <f t="shared" ca="1" si="172"/>
        <v/>
      </c>
      <c r="AI120" t="str">
        <f t="shared" ca="1" si="149"/>
        <v/>
      </c>
      <c r="AJ120" t="str">
        <f t="shared" ca="1" si="150"/>
        <v/>
      </c>
      <c r="AK120" t="str">
        <f ca="1">IF(E120="4", HELPER!$B$94 &amp;  "." &amp; A120,"")</f>
        <v/>
      </c>
      <c r="AL120" t="str">
        <f ca="1">IF(E120="4", HELPER!$B$93 &amp;  "." &amp; A120,"")</f>
        <v/>
      </c>
      <c r="AM120" t="str">
        <f t="shared" ca="1" si="151"/>
        <v/>
      </c>
      <c r="AN120" t="str">
        <f t="shared" ca="1" si="152"/>
        <v/>
      </c>
      <c r="AO120" t="str">
        <f ca="1">IF(A120&lt;&gt;"", IF(OR(F120="1",H120="1",I120="1"),""," "&amp; HELPER!$B$94 &amp; "." &amp; A120),"")</f>
        <v/>
      </c>
      <c r="AP120" t="str">
        <f t="shared" ca="1" si="153"/>
        <v/>
      </c>
      <c r="AQ120" t="str">
        <f t="shared" ca="1" si="178"/>
        <v/>
      </c>
      <c r="AS120" t="str">
        <f ca="1">IF(A120="","",  HELPER!$B$94 &amp;  "." &amp; A120)</f>
        <v/>
      </c>
      <c r="AT120" t="str">
        <f t="shared" ca="1" si="154"/>
        <v/>
      </c>
      <c r="AU120" t="str">
        <f t="shared" ca="1" si="155"/>
        <v/>
      </c>
      <c r="AV120" s="190" t="str">
        <f t="shared" ca="1" si="156"/>
        <v/>
      </c>
      <c r="AW120" t="str">
        <f t="shared" ca="1" si="157"/>
        <v/>
      </c>
      <c r="AY120" t="str">
        <f t="shared" ca="1" si="158"/>
        <v/>
      </c>
      <c r="BF120" t="str">
        <f t="shared" ca="1" si="159"/>
        <v/>
      </c>
      <c r="BH120" s="285" t="str">
        <f t="shared" ca="1" si="173"/>
        <v/>
      </c>
      <c r="BI120" t="str">
        <f t="shared" ca="1" si="160"/>
        <v/>
      </c>
      <c r="BJ120" t="str">
        <f t="shared" ca="1" si="161"/>
        <v/>
      </c>
      <c r="BK120" t="str">
        <f t="shared" ca="1" si="174"/>
        <v/>
      </c>
      <c r="BM120" t="str">
        <f t="shared" ca="1" si="175"/>
        <v/>
      </c>
      <c r="BN120" t="str">
        <f t="shared" ca="1" si="176"/>
        <v/>
      </c>
      <c r="BO120" t="str">
        <f t="shared" ca="1" si="162"/>
        <v/>
      </c>
      <c r="BP120" t="b">
        <f ca="1">COUNTIF(COLHELPER!A120:'COLHELPER'!A120,COLHELPER!A120)&gt;1</f>
        <v>0</v>
      </c>
      <c r="BQ120">
        <f t="shared" ca="1" si="163"/>
        <v>0</v>
      </c>
      <c r="BR120" s="290" t="str">
        <f t="shared" ca="1" si="137"/>
        <v/>
      </c>
      <c r="BS120" t="str">
        <f t="shared" ca="1" si="164"/>
        <v/>
      </c>
      <c r="BT120" t="str">
        <f t="shared" ca="1" si="177"/>
        <v/>
      </c>
      <c r="BU120" t="str">
        <f t="shared" ca="1" si="165"/>
        <v/>
      </c>
      <c r="BV120">
        <f t="shared" ca="1" si="166"/>
        <v>0</v>
      </c>
      <c r="BW120" t="str">
        <f t="shared" ca="1" si="167"/>
        <v/>
      </c>
      <c r="BX120" t="str">
        <f t="shared" ca="1" si="168"/>
        <v/>
      </c>
      <c r="BY120" t="str">
        <f ca="1">IF(R120="","",IF(R120&gt;Options!$B$3,"ALTER TABLE "&amp;HELPER!$B$4&amp;" ADD COLUMNS ("&amp;A120&amp;" "&amp;C120&amp;")",""))</f>
        <v/>
      </c>
      <c r="BZ120" t="str">
        <f ca="1">IF(R120="","",IF(R120&gt;Options!$B$3,A120,""))</f>
        <v/>
      </c>
      <c r="CA120" t="str">
        <f ca="1">IF(R120="","",IF(R120&gt;Options!$B$3,B120,""))</f>
        <v/>
      </c>
      <c r="CB120" t="str">
        <f t="shared" ca="1" si="169"/>
        <v/>
      </c>
      <c r="CC120">
        <f t="shared" ca="1" si="170"/>
        <v>0</v>
      </c>
      <c r="CD120" t="str">
        <f ca="1">IF(J120="","",Options!$B$23 &amp; "." &amp; J120)</f>
        <v/>
      </c>
    </row>
    <row r="121" spans="1:82">
      <c r="A121" s="161" t="str">
        <f t="array" aca="1" ref="A121" ca="1">IF(TRIM(INDIRECT("Columns!A121")) ="","",TRIM(INDIRECT("Columns!A121")))</f>
        <v/>
      </c>
      <c r="B121" s="161" t="str">
        <f t="shared" ca="1" si="138"/>
        <v/>
      </c>
      <c r="C121" s="161" t="str">
        <f t="shared" ca="1" si="139"/>
        <v/>
      </c>
      <c r="D121" s="161" t="str">
        <f t="shared" ca="1" si="140"/>
        <v/>
      </c>
      <c r="E121" s="161" t="str">
        <f t="array" aca="1" ref="E121" ca="1">IF(TRIM(INDIRECT("Columns!E121"))="","",TRIM(INDIRECT("Columns!E121")))</f>
        <v/>
      </c>
      <c r="F121" s="161" t="str">
        <f t="array" aca="1" ref="F121" ca="1">IF(TRIM(INDIRECT("Columns!G121"))="","",TRIM(INDIRECT("Columns!G121")))</f>
        <v/>
      </c>
      <c r="G121" s="161" t="str">
        <f t="array" aca="1" ref="G121" ca="1">IF(TRIM(INDIRECT("Columns!F121"))="","",TRIM(INDIRECT("Columns!F121")))</f>
        <v/>
      </c>
      <c r="H121" s="161" t="str">
        <f t="array" aca="1" ref="H121" ca="1">IF(TRIM(INDIRECT("Columns!H121"))="","",TRIM(INDIRECT("Columns!H121")))</f>
        <v/>
      </c>
      <c r="I121" s="161" t="str">
        <f t="array" aca="1" ref="I121" ca="1">IF(TRIM(INDIRECT("Columns!I121"))="","",TRIM(INDIRECT("Columns!I121")))</f>
        <v/>
      </c>
      <c r="J121" s="161" t="str">
        <f t="array" aca="1" ref="J121" ca="1">IF(TRIM(INDIRECT("Columns!J121"))="","",TRIM(INDIRECT("Columns!J121")))</f>
        <v/>
      </c>
      <c r="K121" s="161" t="str">
        <f t="array" aca="1" ref="K121" ca="1">IF(TRIM(INDIRECT("Columns!K121"))="","",TRIM(INDIRECT("Columns!K121")))</f>
        <v/>
      </c>
      <c r="L121" s="161" t="str">
        <f t="array" aca="1" ref="L121" ca="1">IF(TRIM(INDIRECT("Columns!L121"))="","",TRIM(INDIRECT("Columns!L121")))</f>
        <v/>
      </c>
      <c r="M121" s="161" t="str">
        <f t="array" aca="1" ref="M121" ca="1">IF(TRIM(INDIRECT("Columns!M121"))="","",TRIM(INDIRECT("Columns!M121")))</f>
        <v/>
      </c>
      <c r="N121" s="161" t="str">
        <f t="array" aca="1" ref="N121" ca="1">IF(TRIM(INDIRECT("Columns!N121"))="","",TRIM(INDIRECT("Columns!N121")))</f>
        <v/>
      </c>
      <c r="O121" s="227" t="str">
        <f t="array" aca="1" ref="O121" ca="1">IF(TRIM(INDIRECT("Columns!B121"))="","",TRIM(INDIRECT("Columns!B121")))</f>
        <v/>
      </c>
      <c r="P121" s="227" t="str">
        <f t="array" aca="1" ref="P121" ca="1">IF(TRIM(INDIRECT("Columns!C121"))="","",TRIM(INDIRECT("Columns!C121")))</f>
        <v/>
      </c>
      <c r="Q121" s="227" t="str">
        <f t="array" aca="1" ref="Q121" ca="1">IF(TRIM(INDIRECT("Columns!D121"))="","",TRIM(INDIRECT("Columns!D121")))</f>
        <v/>
      </c>
      <c r="R121" s="227" t="str">
        <f t="array" aca="1" ref="R121" ca="1">IF(TRIM(INDIRECT("Columns!O121"))="","",TRIM(INDIRECT("Columns!O121")))</f>
        <v/>
      </c>
      <c r="S121" t="str">
        <f t="shared" ca="1" si="141"/>
        <v/>
      </c>
      <c r="T121" t="str">
        <f t="shared" ca="1" si="142"/>
        <v/>
      </c>
      <c r="U121" t="str">
        <f t="shared" ca="1" si="143"/>
        <v/>
      </c>
      <c r="V121" t="str">
        <f t="shared" ca="1" si="144"/>
        <v/>
      </c>
      <c r="W121" t="str">
        <f t="shared" ca="1" si="145"/>
        <v/>
      </c>
      <c r="X121" t="str">
        <f t="shared" ca="1" si="146"/>
        <v/>
      </c>
      <c r="Y121" t="str">
        <f t="shared" ca="1" si="147"/>
        <v/>
      </c>
      <c r="Z121" t="str">
        <f t="shared" ca="1" si="171"/>
        <v/>
      </c>
      <c r="AA121" t="str">
        <f ca="1">IF(E121="1",   IF( A121="","",IF(OR(F121="1",H121="1",I121="1"),"","COALESCE (CAST("&amp;A121&amp;" as varchar(" &amp; Options!$B$49&amp; ")),'')")),"")</f>
        <v/>
      </c>
      <c r="AB121" t="str">
        <f ca="1">IF(E121="1", IF(C121="string",  IF( A121="","",IF(OR(F121="1",H121="1",I121="1"),"","COALESCE (CAST(lower("&amp;A121&amp;") as varchar(" &amp;Options!$B$49 &amp; ")),'')")),AA121),"")</f>
        <v/>
      </c>
      <c r="AC121" t="str">
        <f ca="1">IF(E121="4",   IF( A121="","",IF(OR(F121="1",H121="1",I121="1"),"","COALESCE (CAST("  &amp;A121&amp;" as varchar(" &amp; Options!$B$49&amp; ")),'')")),"")</f>
        <v/>
      </c>
      <c r="AD121" t="str">
        <f ca="1">IF(E121="4",   IF( A121="","",IF(OR(F121="1",H121="1",I121="1"),"","COALESCE (CAST(" &amp; HELPER!$B$94 &amp; "."  &amp;A121&amp;" as varchar(" &amp; Options!$B$49&amp; ")),'')")),"")</f>
        <v/>
      </c>
      <c r="AE121" t="str">
        <f t="shared" ca="1" si="148"/>
        <v/>
      </c>
      <c r="AF121" t="str">
        <f ca="1">IF(AE121&lt;&gt;"", HELPER!$B$93 &amp;  "." &amp; AE121,"")</f>
        <v/>
      </c>
      <c r="AG121" t="str">
        <f ca="1">IF(AE121&lt;&gt;"", HELPER!$B$94 &amp; "." &amp; AE121,"")</f>
        <v/>
      </c>
      <c r="AH121" t="str">
        <f t="shared" ca="1" si="172"/>
        <v/>
      </c>
      <c r="AI121" t="str">
        <f t="shared" ca="1" si="149"/>
        <v/>
      </c>
      <c r="AJ121" t="str">
        <f t="shared" ca="1" si="150"/>
        <v/>
      </c>
      <c r="AK121" t="str">
        <f ca="1">IF(E121="4", HELPER!$B$94 &amp;  "." &amp; A121,"")</f>
        <v/>
      </c>
      <c r="AL121" t="str">
        <f ca="1">IF(E121="4", HELPER!$B$93 &amp;  "." &amp; A121,"")</f>
        <v/>
      </c>
      <c r="AM121" t="str">
        <f t="shared" ca="1" si="151"/>
        <v/>
      </c>
      <c r="AN121" t="str">
        <f t="shared" ca="1" si="152"/>
        <v/>
      </c>
      <c r="AO121" t="str">
        <f ca="1">IF(A121&lt;&gt;"", IF(OR(F121="1",H121="1",I121="1"),""," "&amp; HELPER!$B$94 &amp; "." &amp; A121),"")</f>
        <v/>
      </c>
      <c r="AP121" t="str">
        <f t="shared" ca="1" si="153"/>
        <v/>
      </c>
      <c r="AQ121" t="str">
        <f t="shared" ca="1" si="178"/>
        <v/>
      </c>
      <c r="AS121" t="str">
        <f ca="1">IF(A121="","",  HELPER!$B$94 &amp;  "." &amp; A121)</f>
        <v/>
      </c>
      <c r="AT121" t="str">
        <f t="shared" ca="1" si="154"/>
        <v/>
      </c>
      <c r="AU121" t="str">
        <f t="shared" ca="1" si="155"/>
        <v/>
      </c>
      <c r="AV121" s="190" t="str">
        <f t="shared" ca="1" si="156"/>
        <v/>
      </c>
      <c r="AW121" t="str">
        <f t="shared" ca="1" si="157"/>
        <v/>
      </c>
      <c r="AY121" t="str">
        <f t="shared" ca="1" si="158"/>
        <v/>
      </c>
      <c r="BF121" t="str">
        <f t="shared" ca="1" si="159"/>
        <v/>
      </c>
      <c r="BH121" s="285" t="str">
        <f t="shared" ca="1" si="173"/>
        <v/>
      </c>
      <c r="BI121" t="str">
        <f t="shared" ca="1" si="160"/>
        <v/>
      </c>
      <c r="BJ121" t="str">
        <f t="shared" ca="1" si="161"/>
        <v/>
      </c>
      <c r="BK121" t="str">
        <f t="shared" ca="1" si="174"/>
        <v/>
      </c>
      <c r="BM121" t="str">
        <f t="shared" ca="1" si="175"/>
        <v/>
      </c>
      <c r="BN121" t="str">
        <f t="shared" ca="1" si="176"/>
        <v/>
      </c>
      <c r="BO121" t="str">
        <f t="shared" ca="1" si="162"/>
        <v/>
      </c>
      <c r="BP121" t="b">
        <f ca="1">COUNTIF(COLHELPER!A121:'COLHELPER'!A121,COLHELPER!A121)&gt;1</f>
        <v>0</v>
      </c>
      <c r="BQ121">
        <f t="shared" ca="1" si="163"/>
        <v>0</v>
      </c>
      <c r="BR121" s="290" t="str">
        <f t="shared" ca="1" si="137"/>
        <v/>
      </c>
      <c r="BS121" t="str">
        <f t="shared" ca="1" si="164"/>
        <v/>
      </c>
      <c r="BT121" t="str">
        <f t="shared" ca="1" si="177"/>
        <v/>
      </c>
      <c r="BU121" t="str">
        <f t="shared" ca="1" si="165"/>
        <v/>
      </c>
      <c r="BV121">
        <f t="shared" ca="1" si="166"/>
        <v>0</v>
      </c>
      <c r="BW121" t="str">
        <f t="shared" ca="1" si="167"/>
        <v/>
      </c>
      <c r="BX121" t="str">
        <f t="shared" ca="1" si="168"/>
        <v/>
      </c>
      <c r="BY121" t="str">
        <f ca="1">IF(R121="","",IF(R121&gt;Options!$B$3,"ALTER TABLE "&amp;HELPER!$B$4&amp;" ADD COLUMNS ("&amp;A121&amp;" "&amp;C121&amp;")",""))</f>
        <v/>
      </c>
      <c r="BZ121" t="str">
        <f ca="1">IF(R121="","",IF(R121&gt;Options!$B$3,A121,""))</f>
        <v/>
      </c>
      <c r="CA121" t="str">
        <f ca="1">IF(R121="","",IF(R121&gt;Options!$B$3,B121,""))</f>
        <v/>
      </c>
      <c r="CB121" t="str">
        <f t="shared" ca="1" si="169"/>
        <v/>
      </c>
      <c r="CC121">
        <f t="shared" ca="1" si="170"/>
        <v>0</v>
      </c>
      <c r="CD121" t="str">
        <f ca="1">IF(J121="","",Options!$B$23 &amp; "." &amp; J121)</f>
        <v/>
      </c>
    </row>
    <row r="122" spans="1:82">
      <c r="A122" s="161" t="str">
        <f t="array" aca="1" ref="A122" ca="1">IF(TRIM(INDIRECT("Columns!A122")) ="","",TRIM(INDIRECT("Columns!A122")))</f>
        <v/>
      </c>
      <c r="B122" s="161" t="str">
        <f t="shared" ca="1" si="138"/>
        <v/>
      </c>
      <c r="C122" s="161" t="str">
        <f t="shared" ca="1" si="139"/>
        <v/>
      </c>
      <c r="D122" s="161" t="str">
        <f t="shared" ca="1" si="140"/>
        <v/>
      </c>
      <c r="E122" s="161" t="str">
        <f t="array" aca="1" ref="E122" ca="1">IF(TRIM(INDIRECT("Columns!E122"))="","",TRIM(INDIRECT("Columns!E122")))</f>
        <v/>
      </c>
      <c r="F122" s="161" t="str">
        <f t="array" aca="1" ref="F122" ca="1">IF(TRIM(INDIRECT("Columns!G122"))="","",TRIM(INDIRECT("Columns!G122")))</f>
        <v/>
      </c>
      <c r="G122" s="161" t="str">
        <f t="array" aca="1" ref="G122" ca="1">IF(TRIM(INDIRECT("Columns!F122"))="","",TRIM(INDIRECT("Columns!F122")))</f>
        <v/>
      </c>
      <c r="H122" s="161" t="str">
        <f t="array" aca="1" ref="H122" ca="1">IF(TRIM(INDIRECT("Columns!H122"))="","",TRIM(INDIRECT("Columns!H122")))</f>
        <v/>
      </c>
      <c r="I122" s="161" t="str">
        <f t="array" aca="1" ref="I122" ca="1">IF(TRIM(INDIRECT("Columns!I122"))="","",TRIM(INDIRECT("Columns!I122")))</f>
        <v/>
      </c>
      <c r="J122" s="161" t="str">
        <f t="array" aca="1" ref="J122" ca="1">IF(TRIM(INDIRECT("Columns!J122"))="","",TRIM(INDIRECT("Columns!J122")))</f>
        <v/>
      </c>
      <c r="K122" s="161" t="str">
        <f t="array" aca="1" ref="K122" ca="1">IF(TRIM(INDIRECT("Columns!K122"))="","",TRIM(INDIRECT("Columns!K122")))</f>
        <v/>
      </c>
      <c r="L122" s="161" t="str">
        <f t="array" aca="1" ref="L122" ca="1">IF(TRIM(INDIRECT("Columns!L122"))="","",TRIM(INDIRECT("Columns!L122")))</f>
        <v/>
      </c>
      <c r="M122" s="161" t="str">
        <f t="array" aca="1" ref="M122" ca="1">IF(TRIM(INDIRECT("Columns!M122"))="","",TRIM(INDIRECT("Columns!M122")))</f>
        <v/>
      </c>
      <c r="N122" s="161" t="str">
        <f t="array" aca="1" ref="N122" ca="1">IF(TRIM(INDIRECT("Columns!N122"))="","",TRIM(INDIRECT("Columns!N122")))</f>
        <v/>
      </c>
      <c r="O122" s="227" t="str">
        <f t="array" aca="1" ref="O122" ca="1">IF(TRIM(INDIRECT("Columns!B122"))="","",TRIM(INDIRECT("Columns!B122")))</f>
        <v/>
      </c>
      <c r="P122" s="227" t="str">
        <f t="array" aca="1" ref="P122" ca="1">IF(TRIM(INDIRECT("Columns!C122"))="","",TRIM(INDIRECT("Columns!C122")))</f>
        <v/>
      </c>
      <c r="Q122" s="227" t="str">
        <f t="array" aca="1" ref="Q122" ca="1">IF(TRIM(INDIRECT("Columns!D122"))="","",TRIM(INDIRECT("Columns!D122")))</f>
        <v/>
      </c>
      <c r="R122" s="227" t="str">
        <f t="array" aca="1" ref="R122" ca="1">IF(TRIM(INDIRECT("Columns!O122"))="","",TRIM(INDIRECT("Columns!O122")))</f>
        <v/>
      </c>
      <c r="S122" t="str">
        <f t="shared" ca="1" si="141"/>
        <v/>
      </c>
      <c r="T122" t="str">
        <f t="shared" ca="1" si="142"/>
        <v/>
      </c>
      <c r="U122" t="str">
        <f t="shared" ca="1" si="143"/>
        <v/>
      </c>
      <c r="V122" t="str">
        <f t="shared" ca="1" si="144"/>
        <v/>
      </c>
      <c r="W122" t="str">
        <f t="shared" ca="1" si="145"/>
        <v/>
      </c>
      <c r="X122" t="str">
        <f t="shared" ca="1" si="146"/>
        <v/>
      </c>
      <c r="Y122" t="str">
        <f t="shared" ca="1" si="147"/>
        <v/>
      </c>
      <c r="Z122" t="str">
        <f t="shared" ca="1" si="171"/>
        <v/>
      </c>
      <c r="AA122" t="str">
        <f ca="1">IF(E122="1",   IF( A122="","",IF(OR(F122="1",H122="1",I122="1"),"","COALESCE (CAST("&amp;A122&amp;" as varchar(" &amp; Options!$B$49&amp; ")),'')")),"")</f>
        <v/>
      </c>
      <c r="AB122" t="str">
        <f ca="1">IF(E122="1", IF(C122="string",  IF( A122="","",IF(OR(F122="1",H122="1",I122="1"),"","COALESCE (CAST(lower("&amp;A122&amp;") as varchar(" &amp;Options!$B$49 &amp; ")),'')")),AA122),"")</f>
        <v/>
      </c>
      <c r="AC122" t="str">
        <f ca="1">IF(E122="4",   IF( A122="","",IF(OR(F122="1",H122="1",I122="1"),"","COALESCE (CAST("  &amp;A122&amp;" as varchar(" &amp; Options!$B$49&amp; ")),'')")),"")</f>
        <v/>
      </c>
      <c r="AD122" t="str">
        <f ca="1">IF(E122="4",   IF( A122="","",IF(OR(F122="1",H122="1",I122="1"),"","COALESCE (CAST(" &amp; HELPER!$B$94 &amp; "."  &amp;A122&amp;" as varchar(" &amp; Options!$B$49&amp; ")),'')")),"")</f>
        <v/>
      </c>
      <c r="AE122" t="str">
        <f t="shared" ca="1" si="148"/>
        <v/>
      </c>
      <c r="AF122" t="str">
        <f ca="1">IF(AE122&lt;&gt;"", HELPER!$B$93 &amp;  "." &amp; AE122,"")</f>
        <v/>
      </c>
      <c r="AG122" t="str">
        <f ca="1">IF(AE122&lt;&gt;"", HELPER!$B$94 &amp; "." &amp; AE122,"")</f>
        <v/>
      </c>
      <c r="AH122" t="str">
        <f t="shared" ca="1" si="172"/>
        <v/>
      </c>
      <c r="AI122" t="str">
        <f t="shared" ca="1" si="149"/>
        <v/>
      </c>
      <c r="AJ122" t="str">
        <f t="shared" ca="1" si="150"/>
        <v/>
      </c>
      <c r="AK122" t="str">
        <f ca="1">IF(E122="4", HELPER!$B$94 &amp;  "." &amp; A122,"")</f>
        <v/>
      </c>
      <c r="AL122" t="str">
        <f ca="1">IF(E122="4", HELPER!$B$93 &amp;  "." &amp; A122,"")</f>
        <v/>
      </c>
      <c r="AM122" t="str">
        <f t="shared" ca="1" si="151"/>
        <v/>
      </c>
      <c r="AN122" t="str">
        <f t="shared" ca="1" si="152"/>
        <v/>
      </c>
      <c r="AO122" t="str">
        <f ca="1">IF(A122&lt;&gt;"", IF(OR(F122="1",H122="1",I122="1"),""," "&amp; HELPER!$B$94 &amp; "." &amp; A122),"")</f>
        <v/>
      </c>
      <c r="AP122" t="str">
        <f t="shared" ca="1" si="153"/>
        <v/>
      </c>
      <c r="AQ122" t="str">
        <f t="shared" ca="1" si="178"/>
        <v/>
      </c>
      <c r="AS122" t="str">
        <f ca="1">IF(A122="","",  HELPER!$B$94 &amp;  "." &amp; A122)</f>
        <v/>
      </c>
      <c r="AT122" t="str">
        <f t="shared" ca="1" si="154"/>
        <v/>
      </c>
      <c r="AU122" t="str">
        <f t="shared" ca="1" si="155"/>
        <v/>
      </c>
      <c r="AV122" s="190" t="str">
        <f t="shared" ca="1" si="156"/>
        <v/>
      </c>
      <c r="AW122" t="str">
        <f t="shared" ca="1" si="157"/>
        <v/>
      </c>
      <c r="AY122" t="str">
        <f t="shared" ca="1" si="158"/>
        <v/>
      </c>
      <c r="BF122" t="str">
        <f t="shared" ca="1" si="159"/>
        <v/>
      </c>
      <c r="BH122" s="285" t="str">
        <f t="shared" ca="1" si="173"/>
        <v/>
      </c>
      <c r="BI122" t="str">
        <f t="shared" ca="1" si="160"/>
        <v/>
      </c>
      <c r="BJ122" t="str">
        <f t="shared" ca="1" si="161"/>
        <v/>
      </c>
      <c r="BK122" t="str">
        <f t="shared" ca="1" si="174"/>
        <v/>
      </c>
      <c r="BM122" t="str">
        <f t="shared" ca="1" si="175"/>
        <v/>
      </c>
      <c r="BN122" t="str">
        <f t="shared" ca="1" si="176"/>
        <v/>
      </c>
      <c r="BO122" t="str">
        <f t="shared" ca="1" si="162"/>
        <v/>
      </c>
      <c r="BP122" t="b">
        <f ca="1">COUNTIF(COLHELPER!A122:'COLHELPER'!A122,COLHELPER!A122)&gt;1</f>
        <v>0</v>
      </c>
      <c r="BQ122">
        <f t="shared" ca="1" si="163"/>
        <v>0</v>
      </c>
      <c r="BR122" s="290" t="str">
        <f t="shared" ca="1" si="137"/>
        <v/>
      </c>
      <c r="BS122" t="str">
        <f t="shared" ca="1" si="164"/>
        <v/>
      </c>
      <c r="BT122" t="str">
        <f t="shared" ca="1" si="177"/>
        <v/>
      </c>
      <c r="BU122" t="str">
        <f t="shared" ca="1" si="165"/>
        <v/>
      </c>
      <c r="BV122">
        <f t="shared" ca="1" si="166"/>
        <v>0</v>
      </c>
      <c r="BW122" t="str">
        <f t="shared" ca="1" si="167"/>
        <v/>
      </c>
      <c r="BX122" t="str">
        <f t="shared" ca="1" si="168"/>
        <v/>
      </c>
      <c r="BY122" t="str">
        <f ca="1">IF(R122="","",IF(R122&gt;Options!$B$3,"ALTER TABLE "&amp;HELPER!$B$4&amp;" ADD COLUMNS ("&amp;A122&amp;" "&amp;C122&amp;")",""))</f>
        <v/>
      </c>
      <c r="BZ122" t="str">
        <f ca="1">IF(R122="","",IF(R122&gt;Options!$B$3,A122,""))</f>
        <v/>
      </c>
      <c r="CA122" t="str">
        <f ca="1">IF(R122="","",IF(R122&gt;Options!$B$3,B122,""))</f>
        <v/>
      </c>
      <c r="CB122" t="str">
        <f t="shared" ca="1" si="169"/>
        <v/>
      </c>
      <c r="CC122">
        <f t="shared" ca="1" si="170"/>
        <v>0</v>
      </c>
      <c r="CD122" t="str">
        <f ca="1">IF(J122="","",Options!$B$23 &amp; "." &amp; J122)</f>
        <v/>
      </c>
    </row>
    <row r="123" spans="1:82">
      <c r="A123" s="161" t="str">
        <f t="array" aca="1" ref="A123" ca="1">IF(TRIM(INDIRECT("Columns!A123")) ="","",TRIM(INDIRECT("Columns!A123")))</f>
        <v/>
      </c>
      <c r="B123" s="161" t="str">
        <f t="shared" ca="1" si="138"/>
        <v/>
      </c>
      <c r="C123" s="161" t="str">
        <f t="shared" ca="1" si="139"/>
        <v/>
      </c>
      <c r="D123" s="161" t="str">
        <f t="shared" ca="1" si="140"/>
        <v/>
      </c>
      <c r="E123" s="161" t="str">
        <f t="array" aca="1" ref="E123" ca="1">IF(TRIM(INDIRECT("Columns!E123"))="","",TRIM(INDIRECT("Columns!E123")))</f>
        <v/>
      </c>
      <c r="F123" s="161" t="str">
        <f t="array" aca="1" ref="F123" ca="1">IF(TRIM(INDIRECT("Columns!G123"))="","",TRIM(INDIRECT("Columns!G123")))</f>
        <v/>
      </c>
      <c r="G123" s="161" t="str">
        <f t="array" aca="1" ref="G123" ca="1">IF(TRIM(INDIRECT("Columns!F123"))="","",TRIM(INDIRECT("Columns!F123")))</f>
        <v/>
      </c>
      <c r="H123" s="161" t="str">
        <f t="array" aca="1" ref="H123" ca="1">IF(TRIM(INDIRECT("Columns!H123"))="","",TRIM(INDIRECT("Columns!H123")))</f>
        <v/>
      </c>
      <c r="I123" s="161" t="str">
        <f t="array" aca="1" ref="I123" ca="1">IF(TRIM(INDIRECT("Columns!I123"))="","",TRIM(INDIRECT("Columns!I123")))</f>
        <v/>
      </c>
      <c r="J123" s="161" t="str">
        <f t="array" aca="1" ref="J123" ca="1">IF(TRIM(INDIRECT("Columns!J123"))="","",TRIM(INDIRECT("Columns!J123")))</f>
        <v/>
      </c>
      <c r="K123" s="161" t="str">
        <f t="array" aca="1" ref="K123" ca="1">IF(TRIM(INDIRECT("Columns!K123"))="","",TRIM(INDIRECT("Columns!K123")))</f>
        <v/>
      </c>
      <c r="L123" s="161" t="str">
        <f t="array" aca="1" ref="L123" ca="1">IF(TRIM(INDIRECT("Columns!L123"))="","",TRIM(INDIRECT("Columns!L123")))</f>
        <v/>
      </c>
      <c r="M123" s="161" t="str">
        <f t="array" aca="1" ref="M123" ca="1">IF(TRIM(INDIRECT("Columns!M123"))="","",TRIM(INDIRECT("Columns!M123")))</f>
        <v/>
      </c>
      <c r="N123" s="161" t="str">
        <f t="array" aca="1" ref="N123" ca="1">IF(TRIM(INDIRECT("Columns!N123"))="","",TRIM(INDIRECT("Columns!N123")))</f>
        <v/>
      </c>
      <c r="O123" s="227" t="str">
        <f t="array" aca="1" ref="O123" ca="1">IF(TRIM(INDIRECT("Columns!B123"))="","",TRIM(INDIRECT("Columns!B123")))</f>
        <v/>
      </c>
      <c r="P123" s="227" t="str">
        <f t="array" aca="1" ref="P123" ca="1">IF(TRIM(INDIRECT("Columns!C123"))="","",TRIM(INDIRECT("Columns!C123")))</f>
        <v/>
      </c>
      <c r="Q123" s="227" t="str">
        <f t="array" aca="1" ref="Q123" ca="1">IF(TRIM(INDIRECT("Columns!D123"))="","",TRIM(INDIRECT("Columns!D123")))</f>
        <v/>
      </c>
      <c r="R123" s="227" t="str">
        <f t="array" aca="1" ref="R123" ca="1">IF(TRIM(INDIRECT("Columns!O123"))="","",TRIM(INDIRECT("Columns!O123")))</f>
        <v/>
      </c>
      <c r="S123" t="str">
        <f t="shared" ca="1" si="141"/>
        <v/>
      </c>
      <c r="T123" t="str">
        <f t="shared" ca="1" si="142"/>
        <v/>
      </c>
      <c r="U123" t="str">
        <f t="shared" ca="1" si="143"/>
        <v/>
      </c>
      <c r="V123" t="str">
        <f t="shared" ca="1" si="144"/>
        <v/>
      </c>
      <c r="W123" t="str">
        <f t="shared" ca="1" si="145"/>
        <v/>
      </c>
      <c r="X123" t="str">
        <f t="shared" ca="1" si="146"/>
        <v/>
      </c>
      <c r="Y123" t="str">
        <f t="shared" ca="1" si="147"/>
        <v/>
      </c>
      <c r="Z123" t="str">
        <f t="shared" ca="1" si="171"/>
        <v/>
      </c>
      <c r="AA123" t="str">
        <f ca="1">IF(E123="1",   IF( A123="","",IF(OR(F123="1",H123="1",I123="1"),"","COALESCE (CAST("&amp;A123&amp;" as varchar(" &amp; Options!$B$49&amp; ")),'')")),"")</f>
        <v/>
      </c>
      <c r="AB123" t="str">
        <f ca="1">IF(E123="1", IF(C123="string",  IF( A123="","",IF(OR(F123="1",H123="1",I123="1"),"","COALESCE (CAST(lower("&amp;A123&amp;") as varchar(" &amp;Options!$B$49 &amp; ")),'')")),AA123),"")</f>
        <v/>
      </c>
      <c r="AC123" t="str">
        <f ca="1">IF(E123="4",   IF( A123="","",IF(OR(F123="1",H123="1",I123="1"),"","COALESCE (CAST("  &amp;A123&amp;" as varchar(" &amp; Options!$B$49&amp; ")),'')")),"")</f>
        <v/>
      </c>
      <c r="AD123" t="str">
        <f ca="1">IF(E123="4",   IF( A123="","",IF(OR(F123="1",H123="1",I123="1"),"","COALESCE (CAST(" &amp; HELPER!$B$94 &amp; "."  &amp;A123&amp;" as varchar(" &amp; Options!$B$49&amp; ")),'')")),"")</f>
        <v/>
      </c>
      <c r="AE123" t="str">
        <f t="shared" ca="1" si="148"/>
        <v/>
      </c>
      <c r="AF123" t="str">
        <f ca="1">IF(AE123&lt;&gt;"", HELPER!$B$93 &amp;  "." &amp; AE123,"")</f>
        <v/>
      </c>
      <c r="AG123" t="str">
        <f ca="1">IF(AE123&lt;&gt;"", HELPER!$B$94 &amp; "." &amp; AE123,"")</f>
        <v/>
      </c>
      <c r="AH123" t="str">
        <f t="shared" ca="1" si="172"/>
        <v/>
      </c>
      <c r="AI123" t="str">
        <f t="shared" ca="1" si="149"/>
        <v/>
      </c>
      <c r="AJ123" t="str">
        <f t="shared" ca="1" si="150"/>
        <v/>
      </c>
      <c r="AK123" t="str">
        <f ca="1">IF(E123="4", HELPER!$B$94 &amp;  "." &amp; A123,"")</f>
        <v/>
      </c>
      <c r="AL123" t="str">
        <f ca="1">IF(E123="4", HELPER!$B$93 &amp;  "." &amp; A123,"")</f>
        <v/>
      </c>
      <c r="AM123" t="str">
        <f t="shared" ca="1" si="151"/>
        <v/>
      </c>
      <c r="AN123" t="str">
        <f t="shared" ca="1" si="152"/>
        <v/>
      </c>
      <c r="AO123" t="str">
        <f ca="1">IF(A123&lt;&gt;"", IF(OR(F123="1",H123="1",I123="1"),""," "&amp; HELPER!$B$94 &amp; "." &amp; A123),"")</f>
        <v/>
      </c>
      <c r="AP123" t="str">
        <f t="shared" ca="1" si="153"/>
        <v/>
      </c>
      <c r="AQ123" t="str">
        <f t="shared" ca="1" si="178"/>
        <v/>
      </c>
      <c r="AS123" t="str">
        <f ca="1">IF(A123="","",  HELPER!$B$94 &amp;  "." &amp; A123)</f>
        <v/>
      </c>
      <c r="AT123" t="str">
        <f t="shared" ca="1" si="154"/>
        <v/>
      </c>
      <c r="AU123" t="str">
        <f t="shared" ca="1" si="155"/>
        <v/>
      </c>
      <c r="AV123" s="190" t="str">
        <f t="shared" ca="1" si="156"/>
        <v/>
      </c>
      <c r="AW123" t="str">
        <f t="shared" ca="1" si="157"/>
        <v/>
      </c>
      <c r="AY123" t="str">
        <f t="shared" ca="1" si="158"/>
        <v/>
      </c>
      <c r="BF123" t="str">
        <f t="shared" ca="1" si="159"/>
        <v/>
      </c>
      <c r="BH123" s="285" t="str">
        <f t="shared" ca="1" si="173"/>
        <v/>
      </c>
      <c r="BI123" t="str">
        <f t="shared" ca="1" si="160"/>
        <v/>
      </c>
      <c r="BJ123" t="str">
        <f t="shared" ca="1" si="161"/>
        <v/>
      </c>
      <c r="BK123" t="str">
        <f t="shared" ca="1" si="174"/>
        <v/>
      </c>
      <c r="BM123" t="str">
        <f t="shared" ca="1" si="175"/>
        <v/>
      </c>
      <c r="BN123" t="str">
        <f t="shared" ca="1" si="176"/>
        <v/>
      </c>
      <c r="BO123" t="str">
        <f t="shared" ca="1" si="162"/>
        <v/>
      </c>
      <c r="BP123" t="b">
        <f ca="1">COUNTIF(COLHELPER!A123:'COLHELPER'!A123,COLHELPER!A123)&gt;1</f>
        <v>0</v>
      </c>
      <c r="BQ123">
        <f t="shared" ca="1" si="163"/>
        <v>0</v>
      </c>
      <c r="BR123" s="290" t="str">
        <f t="shared" ca="1" si="137"/>
        <v/>
      </c>
      <c r="BS123" t="str">
        <f t="shared" ca="1" si="164"/>
        <v/>
      </c>
      <c r="BT123" t="str">
        <f t="shared" ca="1" si="177"/>
        <v/>
      </c>
      <c r="BU123" t="str">
        <f t="shared" ca="1" si="165"/>
        <v/>
      </c>
      <c r="BV123">
        <f t="shared" ca="1" si="166"/>
        <v>0</v>
      </c>
      <c r="BW123" t="str">
        <f t="shared" ca="1" si="167"/>
        <v/>
      </c>
      <c r="BX123" t="str">
        <f t="shared" ca="1" si="168"/>
        <v/>
      </c>
      <c r="BY123" t="str">
        <f ca="1">IF(R123="","",IF(R123&gt;Options!$B$3,"ALTER TABLE "&amp;HELPER!$B$4&amp;" ADD COLUMNS ("&amp;A123&amp;" "&amp;C123&amp;")",""))</f>
        <v/>
      </c>
      <c r="BZ123" t="str">
        <f ca="1">IF(R123="","",IF(R123&gt;Options!$B$3,A123,""))</f>
        <v/>
      </c>
      <c r="CA123" t="str">
        <f ca="1">IF(R123="","",IF(R123&gt;Options!$B$3,B123,""))</f>
        <v/>
      </c>
      <c r="CB123" t="str">
        <f t="shared" ca="1" si="169"/>
        <v/>
      </c>
      <c r="CC123">
        <f t="shared" ca="1" si="170"/>
        <v>0</v>
      </c>
      <c r="CD123" t="str">
        <f ca="1">IF(J123="","",Options!$B$23 &amp; "." &amp; J123)</f>
        <v/>
      </c>
    </row>
    <row r="124" spans="1:82">
      <c r="A124" s="161" t="str">
        <f t="array" aca="1" ref="A124" ca="1">IF(TRIM(INDIRECT("Columns!A124")) ="","",TRIM(INDIRECT("Columns!A124")))</f>
        <v/>
      </c>
      <c r="B124" s="161" t="str">
        <f t="shared" ca="1" si="138"/>
        <v/>
      </c>
      <c r="C124" s="161" t="str">
        <f t="shared" ca="1" si="139"/>
        <v/>
      </c>
      <c r="D124" s="161" t="str">
        <f t="shared" ca="1" si="140"/>
        <v/>
      </c>
      <c r="E124" s="161" t="str">
        <f t="array" aca="1" ref="E124" ca="1">IF(TRIM(INDIRECT("Columns!E124"))="","",TRIM(INDIRECT("Columns!E124")))</f>
        <v/>
      </c>
      <c r="F124" s="161" t="str">
        <f t="array" aca="1" ref="F124" ca="1">IF(TRIM(INDIRECT("Columns!G124"))="","",TRIM(INDIRECT("Columns!G124")))</f>
        <v/>
      </c>
      <c r="G124" s="161" t="str">
        <f t="array" aca="1" ref="G124" ca="1">IF(TRIM(INDIRECT("Columns!F124"))="","",TRIM(INDIRECT("Columns!F124")))</f>
        <v/>
      </c>
      <c r="H124" s="161" t="str">
        <f t="array" aca="1" ref="H124" ca="1">IF(TRIM(INDIRECT("Columns!H124"))="","",TRIM(INDIRECT("Columns!H124")))</f>
        <v/>
      </c>
      <c r="I124" s="161" t="str">
        <f t="array" aca="1" ref="I124" ca="1">IF(TRIM(INDIRECT("Columns!I124"))="","",TRIM(INDIRECT("Columns!I124")))</f>
        <v/>
      </c>
      <c r="J124" s="161" t="str">
        <f t="array" aca="1" ref="J124" ca="1">IF(TRIM(INDIRECT("Columns!J124"))="","",TRIM(INDIRECT("Columns!J124")))</f>
        <v/>
      </c>
      <c r="K124" s="161" t="str">
        <f t="array" aca="1" ref="K124" ca="1">IF(TRIM(INDIRECT("Columns!K124"))="","",TRIM(INDIRECT("Columns!K124")))</f>
        <v/>
      </c>
      <c r="L124" s="161" t="str">
        <f t="array" aca="1" ref="L124" ca="1">IF(TRIM(INDIRECT("Columns!L124"))="","",TRIM(INDIRECT("Columns!L124")))</f>
        <v/>
      </c>
      <c r="M124" s="161" t="str">
        <f t="array" aca="1" ref="M124" ca="1">IF(TRIM(INDIRECT("Columns!M124"))="","",TRIM(INDIRECT("Columns!M124")))</f>
        <v/>
      </c>
      <c r="N124" s="161" t="str">
        <f t="array" aca="1" ref="N124" ca="1">IF(TRIM(INDIRECT("Columns!N124"))="","",TRIM(INDIRECT("Columns!N124")))</f>
        <v/>
      </c>
      <c r="O124" s="227" t="str">
        <f t="array" aca="1" ref="O124" ca="1">IF(TRIM(INDIRECT("Columns!B124"))="","",TRIM(INDIRECT("Columns!B124")))</f>
        <v/>
      </c>
      <c r="P124" s="227" t="str">
        <f t="array" aca="1" ref="P124" ca="1">IF(TRIM(INDIRECT("Columns!C124"))="","",TRIM(INDIRECT("Columns!C124")))</f>
        <v/>
      </c>
      <c r="Q124" s="227" t="str">
        <f t="array" aca="1" ref="Q124" ca="1">IF(TRIM(INDIRECT("Columns!D124"))="","",TRIM(INDIRECT("Columns!D124")))</f>
        <v/>
      </c>
      <c r="R124" s="227" t="str">
        <f t="array" aca="1" ref="R124" ca="1">IF(TRIM(INDIRECT("Columns!O124"))="","",TRIM(INDIRECT("Columns!O124")))</f>
        <v/>
      </c>
      <c r="S124" t="str">
        <f t="shared" ca="1" si="141"/>
        <v/>
      </c>
      <c r="T124" t="str">
        <f t="shared" ca="1" si="142"/>
        <v/>
      </c>
      <c r="U124" t="str">
        <f t="shared" ca="1" si="143"/>
        <v/>
      </c>
      <c r="V124" t="str">
        <f t="shared" ca="1" si="144"/>
        <v/>
      </c>
      <c r="W124" t="str">
        <f t="shared" ca="1" si="145"/>
        <v/>
      </c>
      <c r="X124" t="str">
        <f t="shared" ca="1" si="146"/>
        <v/>
      </c>
      <c r="Y124" t="str">
        <f t="shared" ca="1" si="147"/>
        <v/>
      </c>
      <c r="Z124" t="str">
        <f t="shared" ca="1" si="171"/>
        <v/>
      </c>
      <c r="AA124" t="str">
        <f ca="1">IF(E124="1",   IF( A124="","",IF(OR(F124="1",H124="1",I124="1"),"","COALESCE (CAST("&amp;A124&amp;" as varchar(" &amp; Options!$B$49&amp; ")),'')")),"")</f>
        <v/>
      </c>
      <c r="AB124" t="str">
        <f ca="1">IF(E124="1", IF(C124="string",  IF( A124="","",IF(OR(F124="1",H124="1",I124="1"),"","COALESCE (CAST(lower("&amp;A124&amp;") as varchar(" &amp;Options!$B$49 &amp; ")),'')")),AA124),"")</f>
        <v/>
      </c>
      <c r="AC124" t="str">
        <f ca="1">IF(E124="4",   IF( A124="","",IF(OR(F124="1",H124="1",I124="1"),"","COALESCE (CAST("  &amp;A124&amp;" as varchar(" &amp; Options!$B$49&amp; ")),'')")),"")</f>
        <v/>
      </c>
      <c r="AD124" t="str">
        <f ca="1">IF(E124="4",   IF( A124="","",IF(OR(F124="1",H124="1",I124="1"),"","COALESCE (CAST(" &amp; HELPER!$B$94 &amp; "."  &amp;A124&amp;" as varchar(" &amp; Options!$B$49&amp; ")),'')")),"")</f>
        <v/>
      </c>
      <c r="AE124" t="str">
        <f t="shared" ca="1" si="148"/>
        <v/>
      </c>
      <c r="AF124" t="str">
        <f ca="1">IF(AE124&lt;&gt;"", HELPER!$B$93 &amp;  "." &amp; AE124,"")</f>
        <v/>
      </c>
      <c r="AG124" t="str">
        <f ca="1">IF(AE124&lt;&gt;"", HELPER!$B$94 &amp; "." &amp; AE124,"")</f>
        <v/>
      </c>
      <c r="AH124" t="str">
        <f t="shared" ca="1" si="172"/>
        <v/>
      </c>
      <c r="AI124" t="str">
        <f t="shared" ca="1" si="149"/>
        <v/>
      </c>
      <c r="AJ124" t="str">
        <f t="shared" ca="1" si="150"/>
        <v/>
      </c>
      <c r="AK124" t="str">
        <f ca="1">IF(E124="4", HELPER!$B$94 &amp;  "." &amp; A124,"")</f>
        <v/>
      </c>
      <c r="AL124" t="str">
        <f ca="1">IF(E124="4", HELPER!$B$93 &amp;  "." &amp; A124,"")</f>
        <v/>
      </c>
      <c r="AM124" t="str">
        <f t="shared" ca="1" si="151"/>
        <v/>
      </c>
      <c r="AN124" t="str">
        <f t="shared" ca="1" si="152"/>
        <v/>
      </c>
      <c r="AO124" t="str">
        <f ca="1">IF(A124&lt;&gt;"", IF(OR(F124="1",H124="1",I124="1"),""," "&amp; HELPER!$B$94 &amp; "." &amp; A124),"")</f>
        <v/>
      </c>
      <c r="AP124" t="str">
        <f t="shared" ca="1" si="153"/>
        <v/>
      </c>
      <c r="AQ124" t="str">
        <f t="shared" ca="1" si="178"/>
        <v/>
      </c>
      <c r="AS124" t="str">
        <f ca="1">IF(A124="","",  HELPER!$B$94 &amp;  "." &amp; A124)</f>
        <v/>
      </c>
      <c r="AT124" t="str">
        <f t="shared" ca="1" si="154"/>
        <v/>
      </c>
      <c r="AU124" t="str">
        <f t="shared" ca="1" si="155"/>
        <v/>
      </c>
      <c r="AV124" s="190" t="str">
        <f t="shared" ca="1" si="156"/>
        <v/>
      </c>
      <c r="AW124" t="str">
        <f t="shared" ca="1" si="157"/>
        <v/>
      </c>
      <c r="AY124" t="str">
        <f t="shared" ca="1" si="158"/>
        <v/>
      </c>
      <c r="BF124" t="str">
        <f t="shared" ca="1" si="159"/>
        <v/>
      </c>
      <c r="BH124" s="285" t="str">
        <f t="shared" ca="1" si="173"/>
        <v/>
      </c>
      <c r="BI124" t="str">
        <f t="shared" ca="1" si="160"/>
        <v/>
      </c>
      <c r="BJ124" t="str">
        <f t="shared" ca="1" si="161"/>
        <v/>
      </c>
      <c r="BK124" t="str">
        <f t="shared" ca="1" si="174"/>
        <v/>
      </c>
      <c r="BM124" t="str">
        <f t="shared" ca="1" si="175"/>
        <v/>
      </c>
      <c r="BN124" t="str">
        <f t="shared" ca="1" si="176"/>
        <v/>
      </c>
      <c r="BO124" t="str">
        <f t="shared" ca="1" si="162"/>
        <v/>
      </c>
      <c r="BP124" t="b">
        <f ca="1">COUNTIF(COLHELPER!A124:'COLHELPER'!A124,COLHELPER!A124)&gt;1</f>
        <v>0</v>
      </c>
      <c r="BQ124">
        <f t="shared" ca="1" si="163"/>
        <v>0</v>
      </c>
      <c r="BR124" s="290" t="str">
        <f t="shared" ca="1" si="137"/>
        <v/>
      </c>
      <c r="BS124" t="str">
        <f t="shared" ca="1" si="164"/>
        <v/>
      </c>
      <c r="BT124" t="str">
        <f t="shared" ca="1" si="177"/>
        <v/>
      </c>
      <c r="BU124" t="str">
        <f t="shared" ca="1" si="165"/>
        <v/>
      </c>
      <c r="BV124">
        <f t="shared" ca="1" si="166"/>
        <v>0</v>
      </c>
      <c r="BW124" t="str">
        <f t="shared" ca="1" si="167"/>
        <v/>
      </c>
      <c r="BX124" t="str">
        <f t="shared" ca="1" si="168"/>
        <v/>
      </c>
      <c r="BY124" t="str">
        <f ca="1">IF(R124="","",IF(R124&gt;Options!$B$3,"ALTER TABLE "&amp;HELPER!$B$4&amp;" ADD COLUMNS ("&amp;A124&amp;" "&amp;C124&amp;")",""))</f>
        <v/>
      </c>
      <c r="BZ124" t="str">
        <f ca="1">IF(R124="","",IF(R124&gt;Options!$B$3,A124,""))</f>
        <v/>
      </c>
      <c r="CA124" t="str">
        <f ca="1">IF(R124="","",IF(R124&gt;Options!$B$3,B124,""))</f>
        <v/>
      </c>
      <c r="CB124" t="str">
        <f t="shared" ca="1" si="169"/>
        <v/>
      </c>
      <c r="CC124">
        <f t="shared" ca="1" si="170"/>
        <v>0</v>
      </c>
      <c r="CD124" t="str">
        <f ca="1">IF(J124="","",Options!$B$23 &amp; "." &amp; J124)</f>
        <v/>
      </c>
    </row>
    <row r="125" spans="1:82">
      <c r="A125" s="161" t="str">
        <f t="array" aca="1" ref="A125" ca="1">IF(TRIM(INDIRECT("Columns!A125")) ="","",TRIM(INDIRECT("Columns!A125")))</f>
        <v/>
      </c>
      <c r="B125" s="161" t="str">
        <f t="shared" ca="1" si="138"/>
        <v/>
      </c>
      <c r="C125" s="161" t="str">
        <f t="shared" ca="1" si="139"/>
        <v/>
      </c>
      <c r="D125" s="161" t="str">
        <f t="shared" ca="1" si="140"/>
        <v/>
      </c>
      <c r="E125" s="161" t="str">
        <f t="array" aca="1" ref="E125" ca="1">IF(TRIM(INDIRECT("Columns!E125"))="","",TRIM(INDIRECT("Columns!E125")))</f>
        <v/>
      </c>
      <c r="F125" s="161" t="str">
        <f t="array" aca="1" ref="F125" ca="1">IF(TRIM(INDIRECT("Columns!G125"))="","",TRIM(INDIRECT("Columns!G125")))</f>
        <v/>
      </c>
      <c r="G125" s="161" t="str">
        <f t="array" aca="1" ref="G125" ca="1">IF(TRIM(INDIRECT("Columns!F125"))="","",TRIM(INDIRECT("Columns!F125")))</f>
        <v/>
      </c>
      <c r="H125" s="161" t="str">
        <f t="array" aca="1" ref="H125" ca="1">IF(TRIM(INDIRECT("Columns!H125"))="","",TRIM(INDIRECT("Columns!H125")))</f>
        <v/>
      </c>
      <c r="I125" s="161" t="str">
        <f t="array" aca="1" ref="I125" ca="1">IF(TRIM(INDIRECT("Columns!I125"))="","",TRIM(INDIRECT("Columns!I125")))</f>
        <v/>
      </c>
      <c r="J125" s="161" t="str">
        <f t="array" aca="1" ref="J125" ca="1">IF(TRIM(INDIRECT("Columns!J125"))="","",TRIM(INDIRECT("Columns!J125")))</f>
        <v/>
      </c>
      <c r="K125" s="161" t="str">
        <f t="array" aca="1" ref="K125" ca="1">IF(TRIM(INDIRECT("Columns!K125"))="","",TRIM(INDIRECT("Columns!K125")))</f>
        <v/>
      </c>
      <c r="L125" s="161" t="str">
        <f t="array" aca="1" ref="L125" ca="1">IF(TRIM(INDIRECT("Columns!L125"))="","",TRIM(INDIRECT("Columns!L125")))</f>
        <v/>
      </c>
      <c r="M125" s="161" t="str">
        <f t="array" aca="1" ref="M125" ca="1">IF(TRIM(INDIRECT("Columns!M125"))="","",TRIM(INDIRECT("Columns!M125")))</f>
        <v/>
      </c>
      <c r="N125" s="161" t="str">
        <f t="array" aca="1" ref="N125" ca="1">IF(TRIM(INDIRECT("Columns!N125"))="","",TRIM(INDIRECT("Columns!N125")))</f>
        <v/>
      </c>
      <c r="O125" s="227" t="str">
        <f t="array" aca="1" ref="O125" ca="1">IF(TRIM(INDIRECT("Columns!B125"))="","",TRIM(INDIRECT("Columns!B125")))</f>
        <v/>
      </c>
      <c r="P125" s="227" t="str">
        <f t="array" aca="1" ref="P125" ca="1">IF(TRIM(INDIRECT("Columns!C125"))="","",TRIM(INDIRECT("Columns!C125")))</f>
        <v/>
      </c>
      <c r="Q125" s="227" t="str">
        <f t="array" aca="1" ref="Q125" ca="1">IF(TRIM(INDIRECT("Columns!D125"))="","",TRIM(INDIRECT("Columns!D125")))</f>
        <v/>
      </c>
      <c r="R125" s="227" t="str">
        <f t="array" aca="1" ref="R125" ca="1">IF(TRIM(INDIRECT("Columns!O125"))="","",TRIM(INDIRECT("Columns!O125")))</f>
        <v/>
      </c>
      <c r="S125" t="str">
        <f t="shared" ca="1" si="141"/>
        <v/>
      </c>
      <c r="T125" t="str">
        <f t="shared" ca="1" si="142"/>
        <v/>
      </c>
      <c r="U125" t="str">
        <f t="shared" ca="1" si="143"/>
        <v/>
      </c>
      <c r="V125" t="str">
        <f t="shared" ca="1" si="144"/>
        <v/>
      </c>
      <c r="W125" t="str">
        <f t="shared" ca="1" si="145"/>
        <v/>
      </c>
      <c r="X125" t="str">
        <f t="shared" ca="1" si="146"/>
        <v/>
      </c>
      <c r="Y125" t="str">
        <f t="shared" ca="1" si="147"/>
        <v/>
      </c>
      <c r="Z125" t="str">
        <f t="shared" ca="1" si="171"/>
        <v/>
      </c>
      <c r="AA125" t="str">
        <f ca="1">IF(E125="1",   IF( A125="","",IF(OR(F125="1",H125="1",I125="1"),"","COALESCE (CAST("&amp;A125&amp;" as varchar(" &amp; Options!$B$49&amp; ")),'')")),"")</f>
        <v/>
      </c>
      <c r="AB125" t="str">
        <f ca="1">IF(E125="1", IF(C125="string",  IF( A125="","",IF(OR(F125="1",H125="1",I125="1"),"","COALESCE (CAST(lower("&amp;A125&amp;") as varchar(" &amp;Options!$B$49 &amp; ")),'')")),AA125),"")</f>
        <v/>
      </c>
      <c r="AC125" t="str">
        <f ca="1">IF(E125="4",   IF( A125="","",IF(OR(F125="1",H125="1",I125="1"),"","COALESCE (CAST("  &amp;A125&amp;" as varchar(" &amp; Options!$B$49&amp; ")),'')")),"")</f>
        <v/>
      </c>
      <c r="AD125" t="str">
        <f ca="1">IF(E125="4",   IF( A125="","",IF(OR(F125="1",H125="1",I125="1"),"","COALESCE (CAST(" &amp; HELPER!$B$94 &amp; "."  &amp;A125&amp;" as varchar(" &amp; Options!$B$49&amp; ")),'')")),"")</f>
        <v/>
      </c>
      <c r="AE125" t="str">
        <f t="shared" ca="1" si="148"/>
        <v/>
      </c>
      <c r="AF125" t="str">
        <f ca="1">IF(AE125&lt;&gt;"", HELPER!$B$93 &amp;  "." &amp; AE125,"")</f>
        <v/>
      </c>
      <c r="AG125" t="str">
        <f ca="1">IF(AE125&lt;&gt;"", HELPER!$B$94 &amp; "." &amp; AE125,"")</f>
        <v/>
      </c>
      <c r="AH125" t="str">
        <f t="shared" ca="1" si="172"/>
        <v/>
      </c>
      <c r="AI125" t="str">
        <f t="shared" ca="1" si="149"/>
        <v/>
      </c>
      <c r="AJ125" t="str">
        <f t="shared" ca="1" si="150"/>
        <v/>
      </c>
      <c r="AK125" t="str">
        <f ca="1">IF(E125="4", HELPER!$B$94 &amp;  "." &amp; A125,"")</f>
        <v/>
      </c>
      <c r="AL125" t="str">
        <f ca="1">IF(E125="4", HELPER!$B$93 &amp;  "." &amp; A125,"")</f>
        <v/>
      </c>
      <c r="AM125" t="str">
        <f t="shared" ca="1" si="151"/>
        <v/>
      </c>
      <c r="AN125" t="str">
        <f t="shared" ca="1" si="152"/>
        <v/>
      </c>
      <c r="AO125" t="str">
        <f ca="1">IF(A125&lt;&gt;"", IF(OR(F125="1",H125="1",I125="1"),""," "&amp; HELPER!$B$94 &amp; "." &amp; A125),"")</f>
        <v/>
      </c>
      <c r="AP125" t="str">
        <f t="shared" ca="1" si="153"/>
        <v/>
      </c>
      <c r="AQ125" t="str">
        <f t="shared" ca="1" si="178"/>
        <v/>
      </c>
      <c r="AS125" t="str">
        <f ca="1">IF(A125="","",  HELPER!$B$94 &amp;  "." &amp; A125)</f>
        <v/>
      </c>
      <c r="AT125" t="str">
        <f t="shared" ca="1" si="154"/>
        <v/>
      </c>
      <c r="AU125" t="str">
        <f t="shared" ca="1" si="155"/>
        <v/>
      </c>
      <c r="AV125" s="190" t="str">
        <f t="shared" ca="1" si="156"/>
        <v/>
      </c>
      <c r="AW125" t="str">
        <f t="shared" ca="1" si="157"/>
        <v/>
      </c>
      <c r="AY125" t="str">
        <f t="shared" ca="1" si="158"/>
        <v/>
      </c>
      <c r="BF125" t="str">
        <f t="shared" ca="1" si="159"/>
        <v/>
      </c>
      <c r="BH125" s="285" t="str">
        <f t="shared" ca="1" si="173"/>
        <v/>
      </c>
      <c r="BI125" t="str">
        <f t="shared" ca="1" si="160"/>
        <v/>
      </c>
      <c r="BJ125" t="str">
        <f t="shared" ca="1" si="161"/>
        <v/>
      </c>
      <c r="BK125" t="str">
        <f t="shared" ca="1" si="174"/>
        <v/>
      </c>
      <c r="BM125" t="str">
        <f t="shared" ca="1" si="175"/>
        <v/>
      </c>
      <c r="BN125" t="str">
        <f t="shared" ca="1" si="176"/>
        <v/>
      </c>
      <c r="BO125" t="str">
        <f t="shared" ca="1" si="162"/>
        <v/>
      </c>
      <c r="BP125" t="b">
        <f ca="1">COUNTIF(COLHELPER!A125:'COLHELPER'!A125,COLHELPER!A125)&gt;1</f>
        <v>0</v>
      </c>
      <c r="BQ125">
        <f t="shared" ca="1" si="163"/>
        <v>0</v>
      </c>
      <c r="BR125" s="290" t="str">
        <f t="shared" ca="1" si="137"/>
        <v/>
      </c>
      <c r="BS125" t="str">
        <f t="shared" ca="1" si="164"/>
        <v/>
      </c>
      <c r="BT125" t="str">
        <f t="shared" ca="1" si="177"/>
        <v/>
      </c>
      <c r="BU125" t="str">
        <f t="shared" ca="1" si="165"/>
        <v/>
      </c>
      <c r="BV125">
        <f t="shared" ca="1" si="166"/>
        <v>0</v>
      </c>
      <c r="BW125" t="str">
        <f t="shared" ca="1" si="167"/>
        <v/>
      </c>
      <c r="BX125" t="str">
        <f t="shared" ca="1" si="168"/>
        <v/>
      </c>
      <c r="BY125" t="str">
        <f ca="1">IF(R125="","",IF(R125&gt;Options!$B$3,"ALTER TABLE "&amp;HELPER!$B$4&amp;" ADD COLUMNS ("&amp;A125&amp;" "&amp;C125&amp;")",""))</f>
        <v/>
      </c>
      <c r="BZ125" t="str">
        <f ca="1">IF(R125="","",IF(R125&gt;Options!$B$3,A125,""))</f>
        <v/>
      </c>
      <c r="CA125" t="str">
        <f ca="1">IF(R125="","",IF(R125&gt;Options!$B$3,B125,""))</f>
        <v/>
      </c>
      <c r="CB125" t="str">
        <f t="shared" ca="1" si="169"/>
        <v/>
      </c>
      <c r="CC125">
        <f t="shared" ca="1" si="170"/>
        <v>0</v>
      </c>
      <c r="CD125" t="str">
        <f ca="1">IF(J125="","",Options!$B$23 &amp; "." &amp; J125)</f>
        <v/>
      </c>
    </row>
    <row r="126" spans="1:82">
      <c r="A126" s="161" t="str">
        <f t="array" aca="1" ref="A126" ca="1">IF(TRIM(INDIRECT("Columns!A126")) ="","",TRIM(INDIRECT("Columns!A126")))</f>
        <v/>
      </c>
      <c r="B126" s="161" t="str">
        <f t="shared" ca="1" si="138"/>
        <v/>
      </c>
      <c r="C126" s="161" t="str">
        <f t="shared" ca="1" si="139"/>
        <v/>
      </c>
      <c r="D126" s="161" t="str">
        <f t="shared" ca="1" si="140"/>
        <v/>
      </c>
      <c r="E126" s="161" t="str">
        <f t="array" aca="1" ref="E126" ca="1">IF(TRIM(INDIRECT("Columns!E126"))="","",TRIM(INDIRECT("Columns!E126")))</f>
        <v/>
      </c>
      <c r="F126" s="161" t="str">
        <f t="array" aca="1" ref="F126" ca="1">IF(TRIM(INDIRECT("Columns!G126"))="","",TRIM(INDIRECT("Columns!G126")))</f>
        <v/>
      </c>
      <c r="G126" s="161" t="str">
        <f t="array" aca="1" ref="G126" ca="1">IF(TRIM(INDIRECT("Columns!F126"))="","",TRIM(INDIRECT("Columns!F126")))</f>
        <v/>
      </c>
      <c r="H126" s="161" t="str">
        <f t="array" aca="1" ref="H126" ca="1">IF(TRIM(INDIRECT("Columns!H126"))="","",TRIM(INDIRECT("Columns!H126")))</f>
        <v/>
      </c>
      <c r="I126" s="161" t="str">
        <f t="array" aca="1" ref="I126" ca="1">IF(TRIM(INDIRECT("Columns!I126"))="","",TRIM(INDIRECT("Columns!I126")))</f>
        <v/>
      </c>
      <c r="J126" s="161" t="str">
        <f t="array" aca="1" ref="J126" ca="1">IF(TRIM(INDIRECT("Columns!J126"))="","",TRIM(INDIRECT("Columns!J126")))</f>
        <v/>
      </c>
      <c r="K126" s="161" t="str">
        <f t="array" aca="1" ref="K126" ca="1">IF(TRIM(INDIRECT("Columns!K126"))="","",TRIM(INDIRECT("Columns!K126")))</f>
        <v/>
      </c>
      <c r="L126" s="161" t="str">
        <f t="array" aca="1" ref="L126" ca="1">IF(TRIM(INDIRECT("Columns!L126"))="","",TRIM(INDIRECT("Columns!L126")))</f>
        <v/>
      </c>
      <c r="M126" s="161" t="str">
        <f t="array" aca="1" ref="M126" ca="1">IF(TRIM(INDIRECT("Columns!M126"))="","",TRIM(INDIRECT("Columns!M126")))</f>
        <v/>
      </c>
      <c r="N126" s="161" t="str">
        <f t="array" aca="1" ref="N126" ca="1">IF(TRIM(INDIRECT("Columns!N126"))="","",TRIM(INDIRECT("Columns!N126")))</f>
        <v/>
      </c>
      <c r="O126" s="227" t="str">
        <f t="array" aca="1" ref="O126" ca="1">IF(TRIM(INDIRECT("Columns!B126"))="","",TRIM(INDIRECT("Columns!B126")))</f>
        <v/>
      </c>
      <c r="P126" s="227" t="str">
        <f t="array" aca="1" ref="P126" ca="1">IF(TRIM(INDIRECT("Columns!C126"))="","",TRIM(INDIRECT("Columns!C126")))</f>
        <v/>
      </c>
      <c r="Q126" s="227" t="str">
        <f t="array" aca="1" ref="Q126" ca="1">IF(TRIM(INDIRECT("Columns!D126"))="","",TRIM(INDIRECT("Columns!D126")))</f>
        <v/>
      </c>
      <c r="R126" s="227" t="str">
        <f t="array" aca="1" ref="R126" ca="1">IF(TRIM(INDIRECT("Columns!O126"))="","",TRIM(INDIRECT("Columns!O126")))</f>
        <v/>
      </c>
      <c r="S126" t="str">
        <f t="shared" ca="1" si="141"/>
        <v/>
      </c>
      <c r="T126" t="str">
        <f t="shared" ca="1" si="142"/>
        <v/>
      </c>
      <c r="U126" t="str">
        <f t="shared" ca="1" si="143"/>
        <v/>
      </c>
      <c r="V126" t="str">
        <f t="shared" ca="1" si="144"/>
        <v/>
      </c>
      <c r="W126" t="str">
        <f t="shared" ca="1" si="145"/>
        <v/>
      </c>
      <c r="X126" t="str">
        <f t="shared" ca="1" si="146"/>
        <v/>
      </c>
      <c r="Y126" t="str">
        <f t="shared" ca="1" si="147"/>
        <v/>
      </c>
      <c r="Z126" t="str">
        <f t="shared" ca="1" si="171"/>
        <v/>
      </c>
      <c r="AA126" t="str">
        <f ca="1">IF(E126="1",   IF( A126="","",IF(OR(F126="1",H126="1",I126="1"),"","COALESCE (CAST("&amp;A126&amp;" as varchar(" &amp; Options!$B$49&amp; ")),'')")),"")</f>
        <v/>
      </c>
      <c r="AB126" t="str">
        <f ca="1">IF(E126="1", IF(C126="string",  IF( A126="","",IF(OR(F126="1",H126="1",I126="1"),"","COALESCE (CAST(lower("&amp;A126&amp;") as varchar(" &amp;Options!$B$49 &amp; ")),'')")),AA126),"")</f>
        <v/>
      </c>
      <c r="AC126" t="str">
        <f ca="1">IF(E126="4",   IF( A126="","",IF(OR(F126="1",H126="1",I126="1"),"","COALESCE (CAST("  &amp;A126&amp;" as varchar(" &amp; Options!$B$49&amp; ")),'')")),"")</f>
        <v/>
      </c>
      <c r="AD126" t="str">
        <f ca="1">IF(E126="4",   IF( A126="","",IF(OR(F126="1",H126="1",I126="1"),"","COALESCE (CAST(" &amp; HELPER!$B$94 &amp; "."  &amp;A126&amp;" as varchar(" &amp; Options!$B$49&amp; ")),'')")),"")</f>
        <v/>
      </c>
      <c r="AE126" t="str">
        <f t="shared" ca="1" si="148"/>
        <v/>
      </c>
      <c r="AF126" t="str">
        <f ca="1">IF(AE126&lt;&gt;"", HELPER!$B$93 &amp;  "." &amp; AE126,"")</f>
        <v/>
      </c>
      <c r="AG126" t="str">
        <f ca="1">IF(AE126&lt;&gt;"", HELPER!$B$94 &amp; "." &amp; AE126,"")</f>
        <v/>
      </c>
      <c r="AH126" t="str">
        <f t="shared" ca="1" si="172"/>
        <v/>
      </c>
      <c r="AI126" t="str">
        <f t="shared" ca="1" si="149"/>
        <v/>
      </c>
      <c r="AJ126" t="str">
        <f t="shared" ca="1" si="150"/>
        <v/>
      </c>
      <c r="AK126" t="str">
        <f ca="1">IF(E126="4", HELPER!$B$94 &amp;  "." &amp; A126,"")</f>
        <v/>
      </c>
      <c r="AL126" t="str">
        <f ca="1">IF(E126="4", HELPER!$B$93 &amp;  "." &amp; A126,"")</f>
        <v/>
      </c>
      <c r="AM126" t="str">
        <f t="shared" ca="1" si="151"/>
        <v/>
      </c>
      <c r="AN126" t="str">
        <f t="shared" ca="1" si="152"/>
        <v/>
      </c>
      <c r="AO126" t="str">
        <f ca="1">IF(A126&lt;&gt;"", IF(OR(F126="1",H126="1",I126="1"),""," "&amp; HELPER!$B$94 &amp; "." &amp; A126),"")</f>
        <v/>
      </c>
      <c r="AP126" t="str">
        <f t="shared" ca="1" si="153"/>
        <v/>
      </c>
      <c r="AQ126" t="str">
        <f t="shared" ca="1" si="178"/>
        <v/>
      </c>
      <c r="AS126" t="str">
        <f ca="1">IF(A126="","",  HELPER!$B$94 &amp;  "." &amp; A126)</f>
        <v/>
      </c>
      <c r="AT126" t="str">
        <f t="shared" ca="1" si="154"/>
        <v/>
      </c>
      <c r="AU126" t="str">
        <f t="shared" ca="1" si="155"/>
        <v/>
      </c>
      <c r="AV126" s="190" t="str">
        <f t="shared" ca="1" si="156"/>
        <v/>
      </c>
      <c r="AW126" t="str">
        <f t="shared" ca="1" si="157"/>
        <v/>
      </c>
      <c r="AY126" t="str">
        <f t="shared" ca="1" si="158"/>
        <v/>
      </c>
      <c r="BF126" t="str">
        <f t="shared" ca="1" si="159"/>
        <v/>
      </c>
      <c r="BH126" s="285" t="str">
        <f t="shared" ca="1" si="173"/>
        <v/>
      </c>
      <c r="BI126" t="str">
        <f t="shared" ca="1" si="160"/>
        <v/>
      </c>
      <c r="BJ126" t="str">
        <f t="shared" ca="1" si="161"/>
        <v/>
      </c>
      <c r="BK126" t="str">
        <f t="shared" ca="1" si="174"/>
        <v/>
      </c>
      <c r="BM126" t="str">
        <f t="shared" ca="1" si="175"/>
        <v/>
      </c>
      <c r="BN126" t="str">
        <f t="shared" ca="1" si="176"/>
        <v/>
      </c>
      <c r="BO126" t="str">
        <f t="shared" ca="1" si="162"/>
        <v/>
      </c>
      <c r="BP126" t="b">
        <f ca="1">COUNTIF(COLHELPER!A126:'COLHELPER'!A126,COLHELPER!A126)&gt;1</f>
        <v>0</v>
      </c>
      <c r="BQ126">
        <f t="shared" ca="1" si="163"/>
        <v>0</v>
      </c>
      <c r="BR126" s="290" t="str">
        <f t="shared" ca="1" si="137"/>
        <v/>
      </c>
      <c r="BS126" t="str">
        <f t="shared" ca="1" si="164"/>
        <v/>
      </c>
      <c r="BT126" t="str">
        <f t="shared" ca="1" si="177"/>
        <v/>
      </c>
      <c r="BU126" t="str">
        <f t="shared" ca="1" si="165"/>
        <v/>
      </c>
      <c r="BV126">
        <f t="shared" ca="1" si="166"/>
        <v>0</v>
      </c>
      <c r="BW126" t="str">
        <f t="shared" ca="1" si="167"/>
        <v/>
      </c>
      <c r="BX126" t="str">
        <f t="shared" ca="1" si="168"/>
        <v/>
      </c>
      <c r="BY126" t="str">
        <f ca="1">IF(R126="","",IF(R126&gt;Options!$B$3,"ALTER TABLE "&amp;HELPER!$B$4&amp;" ADD COLUMNS ("&amp;A126&amp;" "&amp;C126&amp;")",""))</f>
        <v/>
      </c>
      <c r="BZ126" t="str">
        <f ca="1">IF(R126="","",IF(R126&gt;Options!$B$3,A126,""))</f>
        <v/>
      </c>
      <c r="CA126" t="str">
        <f ca="1">IF(R126="","",IF(R126&gt;Options!$B$3,B126,""))</f>
        <v/>
      </c>
      <c r="CB126" t="str">
        <f t="shared" ca="1" si="169"/>
        <v/>
      </c>
      <c r="CC126">
        <f t="shared" ca="1" si="170"/>
        <v>0</v>
      </c>
      <c r="CD126" t="str">
        <f ca="1">IF(J126="","",Options!$B$23 &amp; "." &amp; J126)</f>
        <v/>
      </c>
    </row>
    <row r="127" spans="1:82">
      <c r="A127" s="161" t="str">
        <f t="array" aca="1" ref="A127" ca="1">IF(TRIM(INDIRECT("Columns!A127")) ="","",TRIM(INDIRECT("Columns!A127")))</f>
        <v/>
      </c>
      <c r="B127" s="161" t="str">
        <f t="shared" ca="1" si="138"/>
        <v/>
      </c>
      <c r="C127" s="161" t="str">
        <f t="shared" ca="1" si="139"/>
        <v/>
      </c>
      <c r="D127" s="161" t="str">
        <f t="shared" ca="1" si="140"/>
        <v/>
      </c>
      <c r="E127" s="161" t="str">
        <f t="array" aca="1" ref="E127" ca="1">IF(TRIM(INDIRECT("Columns!E127"))="","",TRIM(INDIRECT("Columns!E127")))</f>
        <v/>
      </c>
      <c r="F127" s="161" t="str">
        <f t="array" aca="1" ref="F127" ca="1">IF(TRIM(INDIRECT("Columns!G127"))="","",TRIM(INDIRECT("Columns!G127")))</f>
        <v/>
      </c>
      <c r="G127" s="161" t="str">
        <f t="array" aca="1" ref="G127" ca="1">IF(TRIM(INDIRECT("Columns!F127"))="","",TRIM(INDIRECT("Columns!F127")))</f>
        <v/>
      </c>
      <c r="H127" s="161" t="str">
        <f t="array" aca="1" ref="H127" ca="1">IF(TRIM(INDIRECT("Columns!H127"))="","",TRIM(INDIRECT("Columns!H127")))</f>
        <v/>
      </c>
      <c r="I127" s="161" t="str">
        <f t="array" aca="1" ref="I127" ca="1">IF(TRIM(INDIRECT("Columns!I127"))="","",TRIM(INDIRECT("Columns!I127")))</f>
        <v/>
      </c>
      <c r="J127" s="161" t="str">
        <f t="array" aca="1" ref="J127" ca="1">IF(TRIM(INDIRECT("Columns!J127"))="","",TRIM(INDIRECT("Columns!J127")))</f>
        <v/>
      </c>
      <c r="K127" s="161" t="str">
        <f t="array" aca="1" ref="K127" ca="1">IF(TRIM(INDIRECT("Columns!K127"))="","",TRIM(INDIRECT("Columns!K127")))</f>
        <v/>
      </c>
      <c r="L127" s="161" t="str">
        <f t="array" aca="1" ref="L127" ca="1">IF(TRIM(INDIRECT("Columns!L127"))="","",TRIM(INDIRECT("Columns!L127")))</f>
        <v/>
      </c>
      <c r="M127" s="161" t="str">
        <f t="array" aca="1" ref="M127" ca="1">IF(TRIM(INDIRECT("Columns!M127"))="","",TRIM(INDIRECT("Columns!M127")))</f>
        <v/>
      </c>
      <c r="N127" s="161" t="str">
        <f t="array" aca="1" ref="N127" ca="1">IF(TRIM(INDIRECT("Columns!N127"))="","",TRIM(INDIRECT("Columns!N127")))</f>
        <v/>
      </c>
      <c r="O127" s="227" t="str">
        <f t="array" aca="1" ref="O127" ca="1">IF(TRIM(INDIRECT("Columns!B127"))="","",TRIM(INDIRECT("Columns!B127")))</f>
        <v/>
      </c>
      <c r="P127" s="227" t="str">
        <f t="array" aca="1" ref="P127" ca="1">IF(TRIM(INDIRECT("Columns!C127"))="","",TRIM(INDIRECT("Columns!C127")))</f>
        <v/>
      </c>
      <c r="Q127" s="227" t="str">
        <f t="array" aca="1" ref="Q127" ca="1">IF(TRIM(INDIRECT("Columns!D127"))="","",TRIM(INDIRECT("Columns!D127")))</f>
        <v/>
      </c>
      <c r="R127" s="227" t="str">
        <f t="array" aca="1" ref="R127" ca="1">IF(TRIM(INDIRECT("Columns!O127"))="","",TRIM(INDIRECT("Columns!O127")))</f>
        <v/>
      </c>
      <c r="S127" t="str">
        <f t="shared" ca="1" si="141"/>
        <v/>
      </c>
      <c r="T127" t="str">
        <f t="shared" ca="1" si="142"/>
        <v/>
      </c>
      <c r="U127" t="str">
        <f t="shared" ca="1" si="143"/>
        <v/>
      </c>
      <c r="V127" t="str">
        <f t="shared" ca="1" si="144"/>
        <v/>
      </c>
      <c r="W127" t="str">
        <f t="shared" ca="1" si="145"/>
        <v/>
      </c>
      <c r="X127" t="str">
        <f t="shared" ca="1" si="146"/>
        <v/>
      </c>
      <c r="Y127" t="str">
        <f t="shared" ca="1" si="147"/>
        <v/>
      </c>
      <c r="Z127" t="str">
        <f t="shared" ca="1" si="171"/>
        <v/>
      </c>
      <c r="AA127" t="str">
        <f ca="1">IF(E127="1",   IF( A127="","",IF(OR(F127="1",H127="1",I127="1"),"","COALESCE (CAST("&amp;A127&amp;" as varchar(" &amp; Options!$B$49&amp; ")),'')")),"")</f>
        <v/>
      </c>
      <c r="AB127" t="str">
        <f ca="1">IF(E127="1", IF(C127="string",  IF( A127="","",IF(OR(F127="1",H127="1",I127="1"),"","COALESCE (CAST(lower("&amp;A127&amp;") as varchar(" &amp;Options!$B$49 &amp; ")),'')")),AA127),"")</f>
        <v/>
      </c>
      <c r="AC127" t="str">
        <f ca="1">IF(E127="4",   IF( A127="","",IF(OR(F127="1",H127="1",I127="1"),"","COALESCE (CAST("  &amp;A127&amp;" as varchar(" &amp; Options!$B$49&amp; ")),'')")),"")</f>
        <v/>
      </c>
      <c r="AD127" t="str">
        <f ca="1">IF(E127="4",   IF( A127="","",IF(OR(F127="1",H127="1",I127="1"),"","COALESCE (CAST(" &amp; HELPER!$B$94 &amp; "."  &amp;A127&amp;" as varchar(" &amp; Options!$B$49&amp; ")),'')")),"")</f>
        <v/>
      </c>
      <c r="AE127" t="str">
        <f t="shared" ca="1" si="148"/>
        <v/>
      </c>
      <c r="AF127" t="str">
        <f ca="1">IF(AE127&lt;&gt;"", HELPER!$B$93 &amp;  "." &amp; AE127,"")</f>
        <v/>
      </c>
      <c r="AG127" t="str">
        <f ca="1">IF(AE127&lt;&gt;"", HELPER!$B$94 &amp; "." &amp; AE127,"")</f>
        <v/>
      </c>
      <c r="AH127" t="str">
        <f t="shared" ca="1" si="172"/>
        <v/>
      </c>
      <c r="AI127" t="str">
        <f t="shared" ca="1" si="149"/>
        <v/>
      </c>
      <c r="AJ127" t="str">
        <f t="shared" ca="1" si="150"/>
        <v/>
      </c>
      <c r="AK127" t="str">
        <f ca="1">IF(E127="4", HELPER!$B$94 &amp;  "." &amp; A127,"")</f>
        <v/>
      </c>
      <c r="AL127" t="str">
        <f ca="1">IF(E127="4", HELPER!$B$93 &amp;  "." &amp; A127,"")</f>
        <v/>
      </c>
      <c r="AM127" t="str">
        <f t="shared" ca="1" si="151"/>
        <v/>
      </c>
      <c r="AN127" t="str">
        <f t="shared" ca="1" si="152"/>
        <v/>
      </c>
      <c r="AO127" t="str">
        <f ca="1">IF(A127&lt;&gt;"", IF(OR(F127="1",H127="1",I127="1"),""," "&amp; HELPER!$B$94 &amp; "." &amp; A127),"")</f>
        <v/>
      </c>
      <c r="AP127" t="str">
        <f t="shared" ca="1" si="153"/>
        <v/>
      </c>
      <c r="AQ127" t="str">
        <f t="shared" ca="1" si="178"/>
        <v/>
      </c>
      <c r="AS127" t="str">
        <f ca="1">IF(A127="","",  HELPER!$B$94 &amp;  "." &amp; A127)</f>
        <v/>
      </c>
      <c r="AT127" t="str">
        <f t="shared" ca="1" si="154"/>
        <v/>
      </c>
      <c r="AU127" t="str">
        <f t="shared" ca="1" si="155"/>
        <v/>
      </c>
      <c r="AV127" s="190" t="str">
        <f t="shared" ca="1" si="156"/>
        <v/>
      </c>
      <c r="AW127" t="str">
        <f t="shared" ca="1" si="157"/>
        <v/>
      </c>
      <c r="AY127" t="str">
        <f t="shared" ca="1" si="158"/>
        <v/>
      </c>
      <c r="BF127" t="str">
        <f t="shared" ca="1" si="159"/>
        <v/>
      </c>
      <c r="BH127" s="285" t="str">
        <f t="shared" ca="1" si="173"/>
        <v/>
      </c>
      <c r="BI127" t="str">
        <f t="shared" ca="1" si="160"/>
        <v/>
      </c>
      <c r="BJ127" t="str">
        <f t="shared" ca="1" si="161"/>
        <v/>
      </c>
      <c r="BK127" t="str">
        <f t="shared" ca="1" si="174"/>
        <v/>
      </c>
      <c r="BM127" t="str">
        <f t="shared" ca="1" si="175"/>
        <v/>
      </c>
      <c r="BN127" t="str">
        <f t="shared" ca="1" si="176"/>
        <v/>
      </c>
      <c r="BO127" t="str">
        <f t="shared" ca="1" si="162"/>
        <v/>
      </c>
      <c r="BP127" t="b">
        <f ca="1">COUNTIF(COLHELPER!A127:'COLHELPER'!A127,COLHELPER!A127)&gt;1</f>
        <v>0</v>
      </c>
      <c r="BQ127">
        <f t="shared" ca="1" si="163"/>
        <v>0</v>
      </c>
      <c r="BR127" s="290" t="str">
        <f t="shared" ca="1" si="137"/>
        <v/>
      </c>
      <c r="BS127" t="str">
        <f t="shared" ca="1" si="164"/>
        <v/>
      </c>
      <c r="BT127" t="str">
        <f t="shared" ca="1" si="177"/>
        <v/>
      </c>
      <c r="BU127" t="str">
        <f t="shared" ca="1" si="165"/>
        <v/>
      </c>
      <c r="BV127">
        <f t="shared" ca="1" si="166"/>
        <v>0</v>
      </c>
      <c r="BW127" t="str">
        <f t="shared" ca="1" si="167"/>
        <v/>
      </c>
      <c r="BX127" t="str">
        <f t="shared" ca="1" si="168"/>
        <v/>
      </c>
      <c r="BY127" t="str">
        <f ca="1">IF(R127="","",IF(R127&gt;Options!$B$3,"ALTER TABLE "&amp;HELPER!$B$4&amp;" ADD COLUMNS ("&amp;A127&amp;" "&amp;C127&amp;")",""))</f>
        <v/>
      </c>
      <c r="BZ127" t="str">
        <f ca="1">IF(R127="","",IF(R127&gt;Options!$B$3,A127,""))</f>
        <v/>
      </c>
      <c r="CA127" t="str">
        <f ca="1">IF(R127="","",IF(R127&gt;Options!$B$3,B127,""))</f>
        <v/>
      </c>
      <c r="CB127" t="str">
        <f t="shared" ca="1" si="169"/>
        <v/>
      </c>
      <c r="CC127">
        <f t="shared" ca="1" si="170"/>
        <v>0</v>
      </c>
      <c r="CD127" t="str">
        <f ca="1">IF(J127="","",Options!$B$23 &amp; "." &amp; J127)</f>
        <v/>
      </c>
    </row>
    <row r="128" spans="1:82">
      <c r="A128" s="161" t="str">
        <f t="array" aca="1" ref="A128" ca="1">IF(TRIM(INDIRECT("Columns!A128")) ="","",TRIM(INDIRECT("Columns!A128")))</f>
        <v/>
      </c>
      <c r="B128" s="161" t="str">
        <f t="shared" ca="1" si="138"/>
        <v/>
      </c>
      <c r="C128" s="161" t="str">
        <f t="shared" ca="1" si="139"/>
        <v/>
      </c>
      <c r="D128" s="161" t="str">
        <f t="shared" ca="1" si="140"/>
        <v/>
      </c>
      <c r="E128" s="161" t="str">
        <f t="array" aca="1" ref="E128" ca="1">IF(TRIM(INDIRECT("Columns!E128"))="","",TRIM(INDIRECT("Columns!E128")))</f>
        <v/>
      </c>
      <c r="F128" s="161" t="str">
        <f t="array" aca="1" ref="F128" ca="1">IF(TRIM(INDIRECT("Columns!G128"))="","",TRIM(INDIRECT("Columns!G128")))</f>
        <v/>
      </c>
      <c r="G128" s="161" t="str">
        <f t="array" aca="1" ref="G128" ca="1">IF(TRIM(INDIRECT("Columns!F128"))="","",TRIM(INDIRECT("Columns!F128")))</f>
        <v/>
      </c>
      <c r="H128" s="161" t="str">
        <f t="array" aca="1" ref="H128" ca="1">IF(TRIM(INDIRECT("Columns!H128"))="","",TRIM(INDIRECT("Columns!H128")))</f>
        <v/>
      </c>
      <c r="I128" s="161" t="str">
        <f t="array" aca="1" ref="I128" ca="1">IF(TRIM(INDIRECT("Columns!I128"))="","",TRIM(INDIRECT("Columns!I128")))</f>
        <v/>
      </c>
      <c r="J128" s="161" t="str">
        <f t="array" aca="1" ref="J128" ca="1">IF(TRIM(INDIRECT("Columns!J128"))="","",TRIM(INDIRECT("Columns!J128")))</f>
        <v/>
      </c>
      <c r="K128" s="161" t="str">
        <f t="array" aca="1" ref="K128" ca="1">IF(TRIM(INDIRECT("Columns!K128"))="","",TRIM(INDIRECT("Columns!K128")))</f>
        <v/>
      </c>
      <c r="L128" s="161" t="str">
        <f t="array" aca="1" ref="L128" ca="1">IF(TRIM(INDIRECT("Columns!L128"))="","",TRIM(INDIRECT("Columns!L128")))</f>
        <v/>
      </c>
      <c r="M128" s="161" t="str">
        <f t="array" aca="1" ref="M128" ca="1">IF(TRIM(INDIRECT("Columns!M128"))="","",TRIM(INDIRECT("Columns!M128")))</f>
        <v/>
      </c>
      <c r="N128" s="161" t="str">
        <f t="array" aca="1" ref="N128" ca="1">IF(TRIM(INDIRECT("Columns!N128"))="","",TRIM(INDIRECT("Columns!N128")))</f>
        <v/>
      </c>
      <c r="O128" s="227" t="str">
        <f t="array" aca="1" ref="O128" ca="1">IF(TRIM(INDIRECT("Columns!B128"))="","",TRIM(INDIRECT("Columns!B128")))</f>
        <v/>
      </c>
      <c r="P128" s="227" t="str">
        <f t="array" aca="1" ref="P128" ca="1">IF(TRIM(INDIRECT("Columns!C128"))="","",TRIM(INDIRECT("Columns!C128")))</f>
        <v/>
      </c>
      <c r="Q128" s="227" t="str">
        <f t="array" aca="1" ref="Q128" ca="1">IF(TRIM(INDIRECT("Columns!D128"))="","",TRIM(INDIRECT("Columns!D128")))</f>
        <v/>
      </c>
      <c r="R128" s="227" t="str">
        <f t="array" aca="1" ref="R128" ca="1">IF(TRIM(INDIRECT("Columns!O128"))="","",TRIM(INDIRECT("Columns!O128")))</f>
        <v/>
      </c>
      <c r="S128" t="str">
        <f t="shared" ca="1" si="141"/>
        <v/>
      </c>
      <c r="T128" t="str">
        <f t="shared" ca="1" si="142"/>
        <v/>
      </c>
      <c r="U128" t="str">
        <f t="shared" ca="1" si="143"/>
        <v/>
      </c>
      <c r="V128" t="str">
        <f t="shared" ca="1" si="144"/>
        <v/>
      </c>
      <c r="W128" t="str">
        <f t="shared" ca="1" si="145"/>
        <v/>
      </c>
      <c r="X128" t="str">
        <f t="shared" ca="1" si="146"/>
        <v/>
      </c>
      <c r="Y128" t="str">
        <f t="shared" ca="1" si="147"/>
        <v/>
      </c>
      <c r="Z128" t="str">
        <f t="shared" ca="1" si="171"/>
        <v/>
      </c>
      <c r="AA128" t="str">
        <f ca="1">IF(E128="1",   IF( A128="","",IF(OR(F128="1",H128="1",I128="1"),"","COALESCE (CAST("&amp;A128&amp;" as varchar(" &amp; Options!$B$49&amp; ")),'')")),"")</f>
        <v/>
      </c>
      <c r="AB128" t="str">
        <f ca="1">IF(E128="1", IF(C128="string",  IF( A128="","",IF(OR(F128="1",H128="1",I128="1"),"","COALESCE (CAST(lower("&amp;A128&amp;") as varchar(" &amp;Options!$B$49 &amp; ")),'')")),AA128),"")</f>
        <v/>
      </c>
      <c r="AC128" t="str">
        <f ca="1">IF(E128="4",   IF( A128="","",IF(OR(F128="1",H128="1",I128="1"),"","COALESCE (CAST("  &amp;A128&amp;" as varchar(" &amp; Options!$B$49&amp; ")),'')")),"")</f>
        <v/>
      </c>
      <c r="AD128" t="str">
        <f ca="1">IF(E128="4",   IF( A128="","",IF(OR(F128="1",H128="1",I128="1"),"","COALESCE (CAST(" &amp; HELPER!$B$94 &amp; "."  &amp;A128&amp;" as varchar(" &amp; Options!$B$49&amp; ")),'')")),"")</f>
        <v/>
      </c>
      <c r="AE128" t="str">
        <f t="shared" ca="1" si="148"/>
        <v/>
      </c>
      <c r="AF128" t="str">
        <f ca="1">IF(AE128&lt;&gt;"", HELPER!$B$93 &amp;  "." &amp; AE128,"")</f>
        <v/>
      </c>
      <c r="AG128" t="str">
        <f ca="1">IF(AE128&lt;&gt;"", HELPER!$B$94 &amp; "." &amp; AE128,"")</f>
        <v/>
      </c>
      <c r="AH128" t="str">
        <f t="shared" ca="1" si="172"/>
        <v/>
      </c>
      <c r="AI128" t="str">
        <f t="shared" ca="1" si="149"/>
        <v/>
      </c>
      <c r="AJ128" t="str">
        <f t="shared" ca="1" si="150"/>
        <v/>
      </c>
      <c r="AK128" t="str">
        <f ca="1">IF(E128="4", HELPER!$B$94 &amp;  "." &amp; A128,"")</f>
        <v/>
      </c>
      <c r="AL128" t="str">
        <f ca="1">IF(E128="4", HELPER!$B$93 &amp;  "." &amp; A128,"")</f>
        <v/>
      </c>
      <c r="AM128" t="str">
        <f t="shared" ca="1" si="151"/>
        <v/>
      </c>
      <c r="AN128" t="str">
        <f t="shared" ca="1" si="152"/>
        <v/>
      </c>
      <c r="AO128" t="str">
        <f ca="1">IF(A128&lt;&gt;"", IF(OR(F128="1",H128="1",I128="1"),""," "&amp; HELPER!$B$94 &amp; "." &amp; A128),"")</f>
        <v/>
      </c>
      <c r="AP128" t="str">
        <f t="shared" ca="1" si="153"/>
        <v/>
      </c>
      <c r="AQ128" t="str">
        <f t="shared" ca="1" si="178"/>
        <v/>
      </c>
      <c r="AS128" t="str">
        <f ca="1">IF(A128="","",  HELPER!$B$94 &amp;  "." &amp; A128)</f>
        <v/>
      </c>
      <c r="AT128" t="str">
        <f t="shared" ca="1" si="154"/>
        <v/>
      </c>
      <c r="AU128" t="str">
        <f t="shared" ca="1" si="155"/>
        <v/>
      </c>
      <c r="AV128" s="190" t="str">
        <f t="shared" ca="1" si="156"/>
        <v/>
      </c>
      <c r="AW128" t="str">
        <f t="shared" ca="1" si="157"/>
        <v/>
      </c>
      <c r="AY128" t="str">
        <f t="shared" ca="1" si="158"/>
        <v/>
      </c>
      <c r="BF128" t="str">
        <f t="shared" ca="1" si="159"/>
        <v/>
      </c>
      <c r="BH128" s="285" t="str">
        <f t="shared" ca="1" si="173"/>
        <v/>
      </c>
      <c r="BI128" t="str">
        <f t="shared" ca="1" si="160"/>
        <v/>
      </c>
      <c r="BJ128" t="str">
        <f t="shared" ca="1" si="161"/>
        <v/>
      </c>
      <c r="BK128" t="str">
        <f t="shared" ca="1" si="174"/>
        <v/>
      </c>
      <c r="BM128" t="str">
        <f t="shared" ca="1" si="175"/>
        <v/>
      </c>
      <c r="BN128" t="str">
        <f t="shared" ca="1" si="176"/>
        <v/>
      </c>
      <c r="BO128" t="str">
        <f t="shared" ca="1" si="162"/>
        <v/>
      </c>
      <c r="BP128" t="b">
        <f ca="1">COUNTIF(COLHELPER!A128:'COLHELPER'!A128,COLHELPER!A128)&gt;1</f>
        <v>0</v>
      </c>
      <c r="BQ128">
        <f t="shared" ca="1" si="163"/>
        <v>0</v>
      </c>
      <c r="BR128" s="290" t="str">
        <f t="shared" ca="1" si="137"/>
        <v/>
      </c>
      <c r="BS128" t="str">
        <f t="shared" ca="1" si="164"/>
        <v/>
      </c>
      <c r="BT128" t="str">
        <f t="shared" ca="1" si="177"/>
        <v/>
      </c>
      <c r="BU128" t="str">
        <f t="shared" ca="1" si="165"/>
        <v/>
      </c>
      <c r="BV128">
        <f t="shared" ca="1" si="166"/>
        <v>0</v>
      </c>
      <c r="BW128" t="str">
        <f t="shared" ca="1" si="167"/>
        <v/>
      </c>
      <c r="BX128" t="str">
        <f t="shared" ca="1" si="168"/>
        <v/>
      </c>
      <c r="BY128" t="str">
        <f ca="1">IF(R128="","",IF(R128&gt;Options!$B$3,"ALTER TABLE "&amp;HELPER!$B$4&amp;" ADD COLUMNS ("&amp;A128&amp;" "&amp;C128&amp;")",""))</f>
        <v/>
      </c>
      <c r="BZ128" t="str">
        <f ca="1">IF(R128="","",IF(R128&gt;Options!$B$3,A128,""))</f>
        <v/>
      </c>
      <c r="CA128" t="str">
        <f ca="1">IF(R128="","",IF(R128&gt;Options!$B$3,B128,""))</f>
        <v/>
      </c>
      <c r="CB128" t="str">
        <f t="shared" ca="1" si="169"/>
        <v/>
      </c>
      <c r="CC128">
        <f t="shared" ca="1" si="170"/>
        <v>0</v>
      </c>
      <c r="CD128" t="str">
        <f ca="1">IF(J128="","",Options!$B$23 &amp; "." &amp; J128)</f>
        <v/>
      </c>
    </row>
    <row r="129" spans="1:82">
      <c r="A129" s="161" t="str">
        <f t="array" aca="1" ref="A129" ca="1">IF(TRIM(INDIRECT("Columns!A129")) ="","",TRIM(INDIRECT("Columns!A129")))</f>
        <v/>
      </c>
      <c r="B129" s="161" t="str">
        <f t="shared" ca="1" si="138"/>
        <v/>
      </c>
      <c r="C129" s="161" t="str">
        <f t="shared" ca="1" si="139"/>
        <v/>
      </c>
      <c r="D129" s="161" t="str">
        <f t="shared" ca="1" si="140"/>
        <v/>
      </c>
      <c r="E129" s="161" t="str">
        <f t="array" aca="1" ref="E129" ca="1">IF(TRIM(INDIRECT("Columns!E129"))="","",TRIM(INDIRECT("Columns!E129")))</f>
        <v/>
      </c>
      <c r="F129" s="161" t="str">
        <f t="array" aca="1" ref="F129" ca="1">IF(TRIM(INDIRECT("Columns!G129"))="","",TRIM(INDIRECT("Columns!G129")))</f>
        <v/>
      </c>
      <c r="G129" s="161" t="str">
        <f t="array" aca="1" ref="G129" ca="1">IF(TRIM(INDIRECT("Columns!F129"))="","",TRIM(INDIRECT("Columns!F129")))</f>
        <v/>
      </c>
      <c r="H129" s="161" t="str">
        <f t="array" aca="1" ref="H129" ca="1">IF(TRIM(INDIRECT("Columns!H129"))="","",TRIM(INDIRECT("Columns!H129")))</f>
        <v/>
      </c>
      <c r="I129" s="161" t="str">
        <f t="array" aca="1" ref="I129" ca="1">IF(TRIM(INDIRECT("Columns!I129"))="","",TRIM(INDIRECT("Columns!I129")))</f>
        <v/>
      </c>
      <c r="J129" s="161" t="str">
        <f t="array" aca="1" ref="J129" ca="1">IF(TRIM(INDIRECT("Columns!J129"))="","",TRIM(INDIRECT("Columns!J129")))</f>
        <v/>
      </c>
      <c r="K129" s="161" t="str">
        <f t="array" aca="1" ref="K129" ca="1">IF(TRIM(INDIRECT("Columns!K129"))="","",TRIM(INDIRECT("Columns!K129")))</f>
        <v/>
      </c>
      <c r="L129" s="161" t="str">
        <f t="array" aca="1" ref="L129" ca="1">IF(TRIM(INDIRECT("Columns!L129"))="","",TRIM(INDIRECT("Columns!L129")))</f>
        <v/>
      </c>
      <c r="M129" s="161" t="str">
        <f t="array" aca="1" ref="M129" ca="1">IF(TRIM(INDIRECT("Columns!M129"))="","",TRIM(INDIRECT("Columns!M129")))</f>
        <v/>
      </c>
      <c r="N129" s="161" t="str">
        <f t="array" aca="1" ref="N129" ca="1">IF(TRIM(INDIRECT("Columns!N129"))="","",TRIM(INDIRECT("Columns!N129")))</f>
        <v/>
      </c>
      <c r="O129" s="227" t="str">
        <f t="array" aca="1" ref="O129" ca="1">IF(TRIM(INDIRECT("Columns!B129"))="","",TRIM(INDIRECT("Columns!B129")))</f>
        <v/>
      </c>
      <c r="P129" s="227" t="str">
        <f t="array" aca="1" ref="P129" ca="1">IF(TRIM(INDIRECT("Columns!C129"))="","",TRIM(INDIRECT("Columns!C129")))</f>
        <v/>
      </c>
      <c r="Q129" s="227" t="str">
        <f t="array" aca="1" ref="Q129" ca="1">IF(TRIM(INDIRECT("Columns!D129"))="","",TRIM(INDIRECT("Columns!D129")))</f>
        <v/>
      </c>
      <c r="R129" s="227" t="str">
        <f t="array" aca="1" ref="R129" ca="1">IF(TRIM(INDIRECT("Columns!O129"))="","",TRIM(INDIRECT("Columns!O129")))</f>
        <v/>
      </c>
      <c r="S129" t="str">
        <f t="shared" ca="1" si="141"/>
        <v/>
      </c>
      <c r="T129" t="str">
        <f t="shared" ca="1" si="142"/>
        <v/>
      </c>
      <c r="U129" t="str">
        <f t="shared" ca="1" si="143"/>
        <v/>
      </c>
      <c r="V129" t="str">
        <f t="shared" ca="1" si="144"/>
        <v/>
      </c>
      <c r="W129" t="str">
        <f t="shared" ca="1" si="145"/>
        <v/>
      </c>
      <c r="X129" t="str">
        <f t="shared" ca="1" si="146"/>
        <v/>
      </c>
      <c r="Y129" t="str">
        <f t="shared" ca="1" si="147"/>
        <v/>
      </c>
      <c r="Z129" t="str">
        <f t="shared" ca="1" si="171"/>
        <v/>
      </c>
      <c r="AA129" t="str">
        <f ca="1">IF(E129="1",   IF( A129="","",IF(OR(F129="1",H129="1",I129="1"),"","COALESCE (CAST("&amp;A129&amp;" as varchar(" &amp; Options!$B$49&amp; ")),'')")),"")</f>
        <v/>
      </c>
      <c r="AB129" t="str">
        <f ca="1">IF(E129="1", IF(C129="string",  IF( A129="","",IF(OR(F129="1",H129="1",I129="1"),"","COALESCE (CAST(lower("&amp;A129&amp;") as varchar(" &amp;Options!$B$49 &amp; ")),'')")),AA129),"")</f>
        <v/>
      </c>
      <c r="AC129" t="str">
        <f ca="1">IF(E129="4",   IF( A129="","",IF(OR(F129="1",H129="1",I129="1"),"","COALESCE (CAST("  &amp;A129&amp;" as varchar(" &amp; Options!$B$49&amp; ")),'')")),"")</f>
        <v/>
      </c>
      <c r="AD129" t="str">
        <f ca="1">IF(E129="4",   IF( A129="","",IF(OR(F129="1",H129="1",I129="1"),"","COALESCE (CAST(" &amp; HELPER!$B$94 &amp; "."  &amp;A129&amp;" as varchar(" &amp; Options!$B$49&amp; ")),'')")),"")</f>
        <v/>
      </c>
      <c r="AE129" t="str">
        <f t="shared" ca="1" si="148"/>
        <v/>
      </c>
      <c r="AF129" t="str">
        <f ca="1">IF(AE129&lt;&gt;"", HELPER!$B$93 &amp;  "." &amp; AE129,"")</f>
        <v/>
      </c>
      <c r="AG129" t="str">
        <f ca="1">IF(AE129&lt;&gt;"", HELPER!$B$94 &amp; "." &amp; AE129,"")</f>
        <v/>
      </c>
      <c r="AH129" t="str">
        <f t="shared" ca="1" si="172"/>
        <v/>
      </c>
      <c r="AI129" t="str">
        <f t="shared" ca="1" si="149"/>
        <v/>
      </c>
      <c r="AJ129" t="str">
        <f t="shared" ca="1" si="150"/>
        <v/>
      </c>
      <c r="AK129" t="str">
        <f ca="1">IF(E129="4", HELPER!$B$94 &amp;  "." &amp; A129,"")</f>
        <v/>
      </c>
      <c r="AL129" t="str">
        <f ca="1">IF(E129="4", HELPER!$B$93 &amp;  "." &amp; A129,"")</f>
        <v/>
      </c>
      <c r="AM129" t="str">
        <f t="shared" ca="1" si="151"/>
        <v/>
      </c>
      <c r="AN129" t="str">
        <f t="shared" ca="1" si="152"/>
        <v/>
      </c>
      <c r="AO129" t="str">
        <f ca="1">IF(A129&lt;&gt;"", IF(OR(F129="1",H129="1",I129="1"),""," "&amp; HELPER!$B$94 &amp; "." &amp; A129),"")</f>
        <v/>
      </c>
      <c r="AP129" t="str">
        <f t="shared" ca="1" si="153"/>
        <v/>
      </c>
      <c r="AQ129" t="str">
        <f t="shared" ca="1" si="178"/>
        <v/>
      </c>
      <c r="AS129" t="str">
        <f ca="1">IF(A129="","",  HELPER!$B$94 &amp;  "." &amp; A129)</f>
        <v/>
      </c>
      <c r="AT129" t="str">
        <f t="shared" ca="1" si="154"/>
        <v/>
      </c>
      <c r="AU129" t="str">
        <f t="shared" ca="1" si="155"/>
        <v/>
      </c>
      <c r="AV129" s="190" t="str">
        <f t="shared" ca="1" si="156"/>
        <v/>
      </c>
      <c r="AW129" t="str">
        <f t="shared" ca="1" si="157"/>
        <v/>
      </c>
      <c r="AY129" t="str">
        <f t="shared" ca="1" si="158"/>
        <v/>
      </c>
      <c r="BF129" t="str">
        <f t="shared" ca="1" si="159"/>
        <v/>
      </c>
      <c r="BH129" s="285" t="str">
        <f t="shared" ca="1" si="173"/>
        <v/>
      </c>
      <c r="BI129" t="str">
        <f t="shared" ca="1" si="160"/>
        <v/>
      </c>
      <c r="BJ129" t="str">
        <f t="shared" ca="1" si="161"/>
        <v/>
      </c>
      <c r="BK129" t="str">
        <f t="shared" ca="1" si="174"/>
        <v/>
      </c>
      <c r="BM129" t="str">
        <f t="shared" ca="1" si="175"/>
        <v/>
      </c>
      <c r="BN129" t="str">
        <f t="shared" ca="1" si="176"/>
        <v/>
      </c>
      <c r="BO129" t="str">
        <f t="shared" ca="1" si="162"/>
        <v/>
      </c>
      <c r="BP129" t="b">
        <f ca="1">COUNTIF(COLHELPER!A129:'COLHELPER'!A129,COLHELPER!A129)&gt;1</f>
        <v>0</v>
      </c>
      <c r="BQ129">
        <f t="shared" ca="1" si="163"/>
        <v>0</v>
      </c>
      <c r="BR129" s="290" t="str">
        <f t="shared" ca="1" si="137"/>
        <v/>
      </c>
      <c r="BS129" t="str">
        <f t="shared" ca="1" si="164"/>
        <v/>
      </c>
      <c r="BT129" t="str">
        <f t="shared" ca="1" si="177"/>
        <v/>
      </c>
      <c r="BU129" t="str">
        <f t="shared" ca="1" si="165"/>
        <v/>
      </c>
      <c r="BV129">
        <f t="shared" ca="1" si="166"/>
        <v>0</v>
      </c>
      <c r="BW129" t="str">
        <f t="shared" ca="1" si="167"/>
        <v/>
      </c>
      <c r="BX129" t="str">
        <f t="shared" ca="1" si="168"/>
        <v/>
      </c>
      <c r="BY129" t="str">
        <f ca="1">IF(R129="","",IF(R129&gt;Options!$B$3,"ALTER TABLE "&amp;HELPER!$B$4&amp;" ADD COLUMNS ("&amp;A129&amp;" "&amp;C129&amp;")",""))</f>
        <v/>
      </c>
      <c r="BZ129" t="str">
        <f ca="1">IF(R129="","",IF(R129&gt;Options!$B$3,A129,""))</f>
        <v/>
      </c>
      <c r="CA129" t="str">
        <f ca="1">IF(R129="","",IF(R129&gt;Options!$B$3,B129,""))</f>
        <v/>
      </c>
      <c r="CB129" t="str">
        <f t="shared" ca="1" si="169"/>
        <v/>
      </c>
      <c r="CC129">
        <f t="shared" ca="1" si="170"/>
        <v>0</v>
      </c>
      <c r="CD129" t="str">
        <f ca="1">IF(J129="","",Options!$B$23 &amp; "." &amp; J129)</f>
        <v/>
      </c>
    </row>
    <row r="130" spans="1:82">
      <c r="A130" s="161" t="str">
        <f t="array" aca="1" ref="A130" ca="1">IF(TRIM(INDIRECT("Columns!A130")) ="","",TRIM(INDIRECT("Columns!A130")))</f>
        <v/>
      </c>
      <c r="B130" s="161" t="str">
        <f t="shared" ref="B130:B150" ca="1" si="179">IF(I130="1","",IF(O130="",IF(G130="",A130,G130 &amp; " AS " &amp; A130),O130))</f>
        <v/>
      </c>
      <c r="C130" s="161" t="str">
        <f t="shared" ref="C130:C150" ca="1" si="180">IF(I130="1","bigint",P130)</f>
        <v/>
      </c>
      <c r="D130" s="161" t="str">
        <f t="shared" ref="D130:D150" ca="1" si="181">IF(Q130 ="",C130,Q130)</f>
        <v/>
      </c>
      <c r="E130" s="161" t="str">
        <f t="array" aca="1" ref="E130" ca="1">IF(TRIM(INDIRECT("Columns!E130"))="","",TRIM(INDIRECT("Columns!E130")))</f>
        <v/>
      </c>
      <c r="F130" s="161" t="str">
        <f t="array" aca="1" ref="F130" ca="1">IF(TRIM(INDIRECT("Columns!G130"))="","",TRIM(INDIRECT("Columns!G130")))</f>
        <v/>
      </c>
      <c r="G130" s="161" t="str">
        <f t="array" aca="1" ref="G130" ca="1">IF(TRIM(INDIRECT("Columns!F130"))="","",TRIM(INDIRECT("Columns!F130")))</f>
        <v/>
      </c>
      <c r="H130" s="161" t="str">
        <f t="array" aca="1" ref="H130" ca="1">IF(TRIM(INDIRECT("Columns!H130"))="","",TRIM(INDIRECT("Columns!H130")))</f>
        <v/>
      </c>
      <c r="I130" s="161" t="str">
        <f t="array" aca="1" ref="I130" ca="1">IF(TRIM(INDIRECT("Columns!I130"))="","",TRIM(INDIRECT("Columns!I130")))</f>
        <v/>
      </c>
      <c r="J130" s="161" t="str">
        <f t="array" aca="1" ref="J130" ca="1">IF(TRIM(INDIRECT("Columns!J130"))="","",TRIM(INDIRECT("Columns!J130")))</f>
        <v/>
      </c>
      <c r="K130" s="161" t="str">
        <f t="array" aca="1" ref="K130" ca="1">IF(TRIM(INDIRECT("Columns!K130"))="","",TRIM(INDIRECT("Columns!K130")))</f>
        <v/>
      </c>
      <c r="L130" s="161" t="str">
        <f t="array" aca="1" ref="L130" ca="1">IF(TRIM(INDIRECT("Columns!L130"))="","",TRIM(INDIRECT("Columns!L130")))</f>
        <v/>
      </c>
      <c r="M130" s="161" t="str">
        <f t="array" aca="1" ref="M130" ca="1">IF(TRIM(INDIRECT("Columns!M130"))="","",TRIM(INDIRECT("Columns!M130")))</f>
        <v/>
      </c>
      <c r="N130" s="161" t="str">
        <f t="array" aca="1" ref="N130" ca="1">IF(TRIM(INDIRECT("Columns!N130"))="","",TRIM(INDIRECT("Columns!N130")))</f>
        <v/>
      </c>
      <c r="O130" s="227" t="str">
        <f t="array" aca="1" ref="O130" ca="1">IF(TRIM(INDIRECT("Columns!B130"))="","",TRIM(INDIRECT("Columns!B130")))</f>
        <v/>
      </c>
      <c r="P130" s="227" t="str">
        <f t="array" aca="1" ref="P130" ca="1">IF(TRIM(INDIRECT("Columns!C130"))="","",TRIM(INDIRECT("Columns!C130")))</f>
        <v/>
      </c>
      <c r="Q130" s="227" t="str">
        <f t="array" aca="1" ref="Q130" ca="1">IF(TRIM(INDIRECT("Columns!D130"))="","",TRIM(INDIRECT("Columns!D130")))</f>
        <v/>
      </c>
      <c r="R130" s="227" t="str">
        <f t="array" aca="1" ref="R130" ca="1">IF(TRIM(INDIRECT("Columns!O130"))="","",TRIM(INDIRECT("Columns!O130")))</f>
        <v/>
      </c>
      <c r="S130" t="str">
        <f t="shared" ref="S130:S150" ca="1" si="182">IF(A130="","",A130 &amp; " " &amp; IF(C130="array&lt;varchar&gt;","array&lt;string&gt;",C130))</f>
        <v/>
      </c>
      <c r="T130" t="str">
        <f t="shared" ref="T130:T150" ca="1" si="183">IF(AND(H130="1",I130=""),B130,"")</f>
        <v/>
      </c>
      <c r="U130" t="str">
        <f t="shared" ref="U130:U150" ca="1" si="184">IF(AND(H130="1",I130=""),IF(G130="",B130,A130),"")</f>
        <v/>
      </c>
      <c r="V130" t="str">
        <f t="shared" ref="V130:V150" ca="1" si="185">IF(A130="","",IF(F130&lt;&gt;"1",S130,""))</f>
        <v/>
      </c>
      <c r="W130" t="str">
        <f t="shared" ref="W130:W150" ca="1" si="186">IF(I130="1",A130&amp;"_history bigint",IF(OR(E130="4"),S130,""))</f>
        <v/>
      </c>
      <c r="X130" t="str">
        <f t="shared" ref="X130:X150" ca="1" si="187">IF(I130="1",A130&amp;"_history",IF(OR(E130="4"),A130,""))</f>
        <v/>
      </c>
      <c r="Y130" t="str">
        <f t="shared" ref="Y130:Y150" ca="1" si="188">IF(F130="1",A130 &amp; " " &amp; C130,"" )</f>
        <v/>
      </c>
      <c r="Z130" t="str">
        <f ca="1">IF(A130="","", IF(F130="1",B130,""  ))</f>
        <v/>
      </c>
      <c r="AA130" t="str">
        <f ca="1">IF(E130="1",   IF( A130="","",IF(OR(F130="1",H130="1",I130="1"),"","COALESCE (CAST("&amp;A130&amp;" as varchar(" &amp; Options!$B$49&amp; ")),'')")),"")</f>
        <v/>
      </c>
      <c r="AB130" t="str">
        <f ca="1">IF(E130="1", IF(C130="string",  IF( A130="","",IF(OR(F130="1",H130="1",I130="1"),"","COALESCE (CAST(lower("&amp;A130&amp;") as varchar(" &amp;Options!$B$49 &amp; ")),'')")),AA130),"")</f>
        <v/>
      </c>
      <c r="AC130" t="str">
        <f ca="1">IF(E130="4",   IF( A130="","",IF(OR(F130="1",H130="1",I130="1"),"","COALESCE (CAST("  &amp;A130&amp;" as varchar(" &amp; Options!$B$49&amp; ")),'')")),"")</f>
        <v/>
      </c>
      <c r="AD130" t="str">
        <f ca="1">IF(E130="4",   IF( A130="","",IF(OR(F130="1",H130="1",I130="1"),"","COALESCE (CAST(" &amp; HELPER!$B$94 &amp; "."  &amp;A130&amp;" as varchar(" &amp; Options!$B$49&amp; ")),'')")),"")</f>
        <v/>
      </c>
      <c r="AE130" t="str">
        <f t="shared" ref="AE130:AE150" ca="1" si="189">IF(H130="1",A130,"")</f>
        <v/>
      </c>
      <c r="AF130" t="str">
        <f ca="1">IF(AE130&lt;&gt;"", HELPER!$B$93 &amp;  "." &amp; AE130,"")</f>
        <v/>
      </c>
      <c r="AG130" t="str">
        <f ca="1">IF(AE130&lt;&gt;"", HELPER!$B$94 &amp; "." &amp; AE130,"")</f>
        <v/>
      </c>
      <c r="AH130" t="str">
        <f t="shared" ca="1" si="172"/>
        <v/>
      </c>
      <c r="AI130" t="str">
        <f t="shared" ref="AI130:AI150" ca="1" si="190">IF(E130="4","d." &amp; A130 &amp; " = m." &amp; A130,"")</f>
        <v/>
      </c>
      <c r="AJ130" t="str">
        <f t="shared" ref="AJ130:AJ150" ca="1" si="191">IF(E130="4", A130,"")</f>
        <v/>
      </c>
      <c r="AK130" t="str">
        <f ca="1">IF(E130="4", HELPER!$B$94 &amp;  "." &amp; A130,"")</f>
        <v/>
      </c>
      <c r="AL130" t="str">
        <f ca="1">IF(E130="4", HELPER!$B$93 &amp;  "." &amp; A130,"")</f>
        <v/>
      </c>
      <c r="AM130" t="str">
        <f t="shared" ref="AM130:AM150" ca="1" si="192">IF(E130="4",AL130&amp;" = "&amp;AU130,"")</f>
        <v/>
      </c>
      <c r="AN130" t="str">
        <f t="shared" ref="AN130:AN150" ca="1" si="193">IF(A130="","", IF(OR(F130="1",H130="1",I130="1"),"", A130))</f>
        <v/>
      </c>
      <c r="AO130" t="str">
        <f ca="1">IF(A130&lt;&gt;"", IF(OR(F130="1",H130="1",I130="1"),""," "&amp; HELPER!$B$94 &amp; "." &amp; A130),"")</f>
        <v/>
      </c>
      <c r="AP130" t="str">
        <f t="shared" ref="AP130:AP150" ca="1" si="194">IF(A130="","", IF(E130="2","", IF(AN130="","",AN130 &amp; " = " &amp; AO130)))</f>
        <v/>
      </c>
      <c r="AQ130" t="str">
        <f t="shared" ca="1" si="178"/>
        <v/>
      </c>
      <c r="AS130" t="str">
        <f ca="1">IF(A130="","",  HELPER!$B$94 &amp;  "." &amp; A130)</f>
        <v/>
      </c>
      <c r="AT130" t="str">
        <f t="shared" ref="AT130:AT150" ca="1" si="195">IF(I130="1",A130,"")</f>
        <v/>
      </c>
      <c r="AU130" t="str">
        <f t="shared" ref="AU130:AU150" ca="1" si="196">IF(C130="string","COALESCE(" &amp; AS130 &amp; ",'')",AS130)</f>
        <v/>
      </c>
      <c r="AV130" s="190" t="str">
        <f t="shared" ref="AV130:AV150" ca="1" si="197">IF(OR(H130="1",I130="1",E130="4",F130="1"),A130,"")</f>
        <v/>
      </c>
      <c r="AW130" t="str">
        <f t="shared" ref="AW130:AW150" ca="1" si="198">IF(OR(H130="1",I130="1",E130="4",F130="1"),AU130,"")</f>
        <v/>
      </c>
      <c r="AY130" t="str">
        <f t="shared" ref="AY130:AY150" ca="1" si="199">IF(A130="","",IF(I130="1","", IF(B130="",A130, B130) &amp;" AS "&amp;A130))</f>
        <v/>
      </c>
      <c r="BF130" t="str">
        <f t="shared" ref="BF130:BF150" ca="1" si="200">IF(A130="","",IF(I130="1","",B130&amp;" AS "&amp;A130))</f>
        <v/>
      </c>
      <c r="BH130" s="285" t="str">
        <f ca="1">IF(G130="",   IF(B130="","","COALESCE(" &amp;  B130 &amp; "," &amp; IF(C130="string","''",0  ) &amp; ") AS " &amp; A130),G130 &amp; " AS " &amp;A130 )</f>
        <v/>
      </c>
      <c r="BI130" t="str">
        <f t="shared" ref="BI130:BI150" ca="1" si="201">IF(G130="", IF(A130="","",IF(I130="1","", IF(B130="","f." &amp; A130, "f." &amp; B130) &amp;" AS "&amp;A130)),BH130)</f>
        <v/>
      </c>
      <c r="BJ130" t="str">
        <f t="shared" ref="BJ130:BJ150" ca="1" si="202">IF(A130="","",IF(I130="1","-1",IF(C130="string","'missing'","0")))</f>
        <v/>
      </c>
      <c r="BK130" t="str">
        <f ca="1">IF(A130="","", IF(OR(F130="1",E130="4", I130="1",H130="1"),  IF(I130="1","-1",IF(C130="string","'missing'","0")),""))</f>
        <v/>
      </c>
      <c r="BM130" t="str">
        <f ca="1">IF(A130="","",IF(I130="1","",IF(C130&lt;&gt;D130,  IF(AND(D130="string",C130="timestamp"),"cast(from_iso8601_timestamp(" &amp; BO130 &amp; ") as timestamp) AS " &amp; A130, IF(AND(D130="string",C130="date"),"cast( from_iso8601_timestamp(" &amp; BO130 &amp;") as date) AS " &amp; A130,"")),BO130 &amp; " AS " &amp; A130)))</f>
        <v/>
      </c>
      <c r="BN130" t="str">
        <f ca="1">IF(A130="","",IF(I130="1","",IF(C130&lt;&gt;D130,  IF(AND(D130="string",C130="timestamp"),"cast(from_iso8601_timestamp(" &amp; BO130 &amp; ") as timestamp) AS " &amp; A130, IF(AND(D130="string",C130="date"),"cast( from_iso8601_timestamp(" &amp; BO130 &amp;") as date) AS " &amp; A130,"")),BO130 &amp; " AS " &amp; A130)))</f>
        <v/>
      </c>
      <c r="BO130" t="str">
        <f t="shared" ref="BO130:BO150" ca="1" si="203">IF(G130="", IF(B130="","","f." &amp; B130),G130)</f>
        <v/>
      </c>
      <c r="BP130" t="b">
        <f ca="1">COUNTIF(COLHELPER!A130:'COLHELPER'!A130,COLHELPER!A130)&gt;1</f>
        <v>0</v>
      </c>
      <c r="BQ130">
        <f t="shared" ref="BQ130:BQ150" ca="1" si="204">IF(BP130=TRUE,1,0)</f>
        <v>0</v>
      </c>
      <c r="BR130" s="290" t="str">
        <f t="shared" ca="1" si="137"/>
        <v/>
      </c>
      <c r="BS130" t="str">
        <f t="shared" ref="BS130:BS150" ca="1" si="205">IF(F130="1",SUBSTITUTE(BR130,"'",""),"")</f>
        <v/>
      </c>
      <c r="BT130" t="str">
        <f ca="1">IF(N130="","", SUBSTITUTE( SUBSTITUTE(BR130,"[:date_yyyy_mm_dd]",  N130),"[:date_yyymm]",N130))</f>
        <v/>
      </c>
      <c r="BU130" t="str">
        <f t="shared" ref="BU130:BU150" ca="1" si="206">IF(N130="","",SUBSTITUTE(BS130,"[:date_yyyy_mm_dd]",SUBSTITUTE(N130,"'","")))</f>
        <v/>
      </c>
      <c r="BV130">
        <f t="shared" ref="BV130:BV150" ca="1" si="207">IF(A129="",0,1)</f>
        <v>0</v>
      </c>
      <c r="BW130" t="str">
        <f t="shared" ref="BW130:BW150" ca="1" si="208">IF(AE130="","", "t3." &amp;AE130 &amp; " = t4." &amp; AE130)</f>
        <v/>
      </c>
      <c r="BX130" t="str">
        <f t="shared" ref="BX130:BX150" ca="1" si="209">IF(AE130="","", "t3." &amp;AE130 )</f>
        <v/>
      </c>
      <c r="BY130" t="str">
        <f ca="1">IF(R130="","",IF(R130&gt;Options!$B$3,"ALTER TABLE "&amp;HELPER!$B$4&amp;" ADD COLUMNS ("&amp;A130&amp;" "&amp;C130&amp;")",""))</f>
        <v/>
      </c>
      <c r="BZ130" t="str">
        <f ca="1">IF(R130="","",IF(R130&gt;Options!$B$3,A130,""))</f>
        <v/>
      </c>
      <c r="CA130" t="str">
        <f ca="1">IF(R130="","",IF(R130&gt;Options!$B$3,B130,""))</f>
        <v/>
      </c>
      <c r="CB130" t="str">
        <f t="shared" ref="CB130:CB150" ca="1" si="210">IF(A130&lt;&gt;"","&lt;tr&gt;&lt;td&gt;" &amp; _xlfn.TEXTJOIN("&lt;td&gt;",FALSE,A130:K130) &amp; "&lt;/td&gt;&lt;/tr&gt;","")</f>
        <v/>
      </c>
      <c r="CC130">
        <f t="shared" ref="CC130:CC150" ca="1" si="211">IF(E130="4",1,0)</f>
        <v>0</v>
      </c>
      <c r="CD130" t="str">
        <f ca="1">IF(J130="","",Options!$B$23 &amp; "." &amp; J130)</f>
        <v/>
      </c>
    </row>
    <row r="131" spans="1:82">
      <c r="A131" s="161" t="str">
        <f t="array" aca="1" ref="A131" ca="1">IF(TRIM(INDIRECT("Columns!A131")) ="","",TRIM(INDIRECT("Columns!A131")))</f>
        <v/>
      </c>
      <c r="B131" s="161" t="str">
        <f t="shared" ca="1" si="179"/>
        <v/>
      </c>
      <c r="C131" s="161" t="str">
        <f t="shared" ca="1" si="180"/>
        <v/>
      </c>
      <c r="D131" s="161" t="str">
        <f t="shared" ca="1" si="181"/>
        <v/>
      </c>
      <c r="E131" s="161" t="str">
        <f t="array" aca="1" ref="E131" ca="1">IF(TRIM(INDIRECT("Columns!E131"))="","",TRIM(INDIRECT("Columns!E131")))</f>
        <v/>
      </c>
      <c r="F131" s="161" t="str">
        <f t="array" aca="1" ref="F131" ca="1">IF(TRIM(INDIRECT("Columns!G131"))="","",TRIM(INDIRECT("Columns!G131")))</f>
        <v/>
      </c>
      <c r="G131" s="161" t="str">
        <f t="array" aca="1" ref="G131" ca="1">IF(TRIM(INDIRECT("Columns!F131"))="","",TRIM(INDIRECT("Columns!F131")))</f>
        <v/>
      </c>
      <c r="H131" s="161" t="str">
        <f t="array" aca="1" ref="H131" ca="1">IF(TRIM(INDIRECT("Columns!H131"))="","",TRIM(INDIRECT("Columns!H131")))</f>
        <v/>
      </c>
      <c r="I131" s="161" t="str">
        <f t="array" aca="1" ref="I131" ca="1">IF(TRIM(INDIRECT("Columns!I131"))="","",TRIM(INDIRECT("Columns!I131")))</f>
        <v/>
      </c>
      <c r="J131" s="161" t="str">
        <f t="array" aca="1" ref="J131" ca="1">IF(TRIM(INDIRECT("Columns!J131"))="","",TRIM(INDIRECT("Columns!J131")))</f>
        <v/>
      </c>
      <c r="K131" s="161" t="str">
        <f t="array" aca="1" ref="K131" ca="1">IF(TRIM(INDIRECT("Columns!K131"))="","",TRIM(INDIRECT("Columns!K131")))</f>
        <v/>
      </c>
      <c r="L131" s="161" t="str">
        <f t="array" aca="1" ref="L131" ca="1">IF(TRIM(INDIRECT("Columns!L131"))="","",TRIM(INDIRECT("Columns!L131")))</f>
        <v/>
      </c>
      <c r="M131" s="161" t="str">
        <f t="array" aca="1" ref="M131" ca="1">IF(TRIM(INDIRECT("Columns!M131"))="","",TRIM(INDIRECT("Columns!M131")))</f>
        <v/>
      </c>
      <c r="N131" s="161" t="str">
        <f t="array" aca="1" ref="N131" ca="1">IF(TRIM(INDIRECT("Columns!N131"))="","",TRIM(INDIRECT("Columns!N131")))</f>
        <v/>
      </c>
      <c r="O131" s="227" t="str">
        <f t="array" aca="1" ref="O131" ca="1">IF(TRIM(INDIRECT("Columns!B131"))="","",TRIM(INDIRECT("Columns!B131")))</f>
        <v/>
      </c>
      <c r="P131" s="227" t="str">
        <f t="array" aca="1" ref="P131" ca="1">IF(TRIM(INDIRECT("Columns!C131"))="","",TRIM(INDIRECT("Columns!C131")))</f>
        <v/>
      </c>
      <c r="Q131" s="227" t="str">
        <f t="array" aca="1" ref="Q131" ca="1">IF(TRIM(INDIRECT("Columns!D131"))="","",TRIM(INDIRECT("Columns!D131")))</f>
        <v/>
      </c>
      <c r="R131" s="227" t="str">
        <f t="array" aca="1" ref="R131" ca="1">IF(TRIM(INDIRECT("Columns!O131"))="","",TRIM(INDIRECT("Columns!O131")))</f>
        <v/>
      </c>
      <c r="S131" t="str">
        <f t="shared" ca="1" si="182"/>
        <v/>
      </c>
      <c r="T131" t="str">
        <f t="shared" ca="1" si="183"/>
        <v/>
      </c>
      <c r="U131" t="str">
        <f t="shared" ca="1" si="184"/>
        <v/>
      </c>
      <c r="V131" t="str">
        <f t="shared" ca="1" si="185"/>
        <v/>
      </c>
      <c r="W131" t="str">
        <f t="shared" ca="1" si="186"/>
        <v/>
      </c>
      <c r="X131" t="str">
        <f t="shared" ca="1" si="187"/>
        <v/>
      </c>
      <c r="Y131" t="str">
        <f t="shared" ca="1" si="188"/>
        <v/>
      </c>
      <c r="Z131" t="str">
        <f t="shared" ref="Z131:Z150" ca="1" si="212">IF(A131="","", IF(F131="1",B131,"" ))</f>
        <v/>
      </c>
      <c r="AA131" t="str">
        <f ca="1">IF(E131="1",   IF( A131="","",IF(OR(F131="1",H131="1",I131="1"),"","COALESCE (CAST("&amp;A131&amp;" as varchar(" &amp; Options!$B$49&amp; ")),'')")),"")</f>
        <v/>
      </c>
      <c r="AB131" t="str">
        <f ca="1">IF(E131="1", IF(C131="string",  IF( A131="","",IF(OR(F131="1",H131="1",I131="1"),"","COALESCE (CAST(lower("&amp;A131&amp;") as varchar(" &amp;Options!$B$49 &amp; ")),'')")),AA131),"")</f>
        <v/>
      </c>
      <c r="AC131" t="str">
        <f ca="1">IF(E131="4",   IF( A131="","",IF(OR(F131="1",H131="1",I131="1"),"","COALESCE (CAST("  &amp;A131&amp;" as varchar(" &amp; Options!$B$49&amp; ")),'')")),"")</f>
        <v/>
      </c>
      <c r="AD131" t="str">
        <f ca="1">IF(E131="4",   IF( A131="","",IF(OR(F131="1",H131="1",I131="1"),"","COALESCE (CAST(" &amp; HELPER!$B$94 &amp; "."  &amp;A131&amp;" as varchar(" &amp; Options!$B$49&amp; ")),'')")),"")</f>
        <v/>
      </c>
      <c r="AE131" t="str">
        <f t="shared" ca="1" si="189"/>
        <v/>
      </c>
      <c r="AF131" t="str">
        <f ca="1">IF(AE131&lt;&gt;"", HELPER!$B$93 &amp;  "." &amp; AE131,"")</f>
        <v/>
      </c>
      <c r="AG131" t="str">
        <f ca="1">IF(AE131&lt;&gt;"", HELPER!$B$94 &amp; "." &amp; AE131,"")</f>
        <v/>
      </c>
      <c r="AH131" t="str">
        <f t="shared" ref="AH131:AH150" ca="1" si="213">IF(AE131&lt;&gt;"",AF131&amp;" = "&amp;AU131,"")</f>
        <v/>
      </c>
      <c r="AI131" t="str">
        <f t="shared" ca="1" si="190"/>
        <v/>
      </c>
      <c r="AJ131" t="str">
        <f t="shared" ca="1" si="191"/>
        <v/>
      </c>
      <c r="AK131" t="str">
        <f ca="1">IF(E131="4", HELPER!$B$94 &amp;  "." &amp; A131,"")</f>
        <v/>
      </c>
      <c r="AL131" t="str">
        <f ca="1">IF(E131="4", HELPER!$B$93 &amp;  "." &amp; A131,"")</f>
        <v/>
      </c>
      <c r="AM131" t="str">
        <f t="shared" ca="1" si="192"/>
        <v/>
      </c>
      <c r="AN131" t="str">
        <f t="shared" ca="1" si="193"/>
        <v/>
      </c>
      <c r="AO131" t="str">
        <f ca="1">IF(A131&lt;&gt;"", IF(OR(F131="1",H131="1",I131="1"),""," "&amp; HELPER!$B$94 &amp; "." &amp; A131),"")</f>
        <v/>
      </c>
      <c r="AP131" t="str">
        <f t="shared" ca="1" si="194"/>
        <v/>
      </c>
      <c r="AQ131" t="str">
        <f t="shared" ca="1" si="178"/>
        <v/>
      </c>
      <c r="AS131" t="str">
        <f ca="1">IF(A131="","",  HELPER!$B$94 &amp;  "." &amp; A131)</f>
        <v/>
      </c>
      <c r="AT131" t="str">
        <f t="shared" ca="1" si="195"/>
        <v/>
      </c>
      <c r="AU131" t="str">
        <f t="shared" ca="1" si="196"/>
        <v/>
      </c>
      <c r="AV131" s="190" t="str">
        <f t="shared" ca="1" si="197"/>
        <v/>
      </c>
      <c r="AW131" t="str">
        <f t="shared" ca="1" si="198"/>
        <v/>
      </c>
      <c r="AY131" t="str">
        <f t="shared" ca="1" si="199"/>
        <v/>
      </c>
      <c r="BF131" t="str">
        <f t="shared" ca="1" si="200"/>
        <v/>
      </c>
      <c r="BH131" s="285" t="str">
        <f t="shared" ref="BH131:BH150" ca="1" si="214">IF(G131="", IF(B131="","","COALESCE(" &amp; B131 &amp; "," &amp; IF(C131="string","''",0 ) &amp; ") AS " &amp; A131),G131 &amp; " AS " &amp;A131 )</f>
        <v/>
      </c>
      <c r="BI131" t="str">
        <f t="shared" ca="1" si="201"/>
        <v/>
      </c>
      <c r="BJ131" t="str">
        <f t="shared" ca="1" si="202"/>
        <v/>
      </c>
      <c r="BK131" t="str">
        <f t="shared" ref="BK131:BK150" ca="1" si="215">IF(A131="","", IF(OR(F131="1",E131="4", I131="1",H131="1"), IF(I131="1","-1",IF(C131="string","'missing'","0")),""))</f>
        <v/>
      </c>
      <c r="BM131" t="str">
        <f t="shared" ref="BM131:BM150" ca="1" si="216">IF(A131="","",IF(I131="1","",IF(C131&lt;&gt;D131, IF(AND(D131="string",C131="timestamp"),"cast(from_iso8601_timestamp(" &amp; BO131 &amp; ") as timestamp) AS " &amp; A131, IF(AND(D131="string",C131="date"),"cast( from_iso8601_timestamp(" &amp; BO131 &amp;") as date) AS " &amp; A131,"")),BO131 &amp; " AS " &amp; A131)))</f>
        <v/>
      </c>
      <c r="BN131" t="str">
        <f t="shared" ref="BN131:BN150" ca="1" si="217">IF(A131="","",IF(I131="1","",IF(C131&lt;&gt;D131, IF(AND(D131="string",C131="timestamp"),"cast(from_iso8601_timestamp(" &amp; BO131 &amp; ") as timestamp) AS " &amp; A131, IF(AND(D131="string",C131="date"),"cast( from_iso8601_timestamp(" &amp; BO131 &amp;") as date) AS " &amp; A131,"")),BO131 &amp; " AS " &amp; A131)))</f>
        <v/>
      </c>
      <c r="BO131" t="str">
        <f t="shared" ca="1" si="203"/>
        <v/>
      </c>
      <c r="BP131" t="b">
        <f ca="1">COUNTIF(COLHELPER!A131:'COLHELPER'!A131,COLHELPER!A131)&gt;1</f>
        <v>0</v>
      </c>
      <c r="BQ131">
        <f t="shared" ca="1" si="204"/>
        <v>0</v>
      </c>
      <c r="BR131" s="290" t="str">
        <f t="shared" ca="1" si="137"/>
        <v/>
      </c>
      <c r="BS131" t="str">
        <f t="shared" ca="1" si="205"/>
        <v/>
      </c>
      <c r="BT131" t="str">
        <f t="shared" ref="BT131:BT150" ca="1" si="218">IF(N131="","", SUBSTITUTE( SUBSTITUTE(BR131,"[:date_yyyy_mm_dd]", N131),"[:date_yyymm]",N131))</f>
        <v/>
      </c>
      <c r="BU131" t="str">
        <f t="shared" ca="1" si="206"/>
        <v/>
      </c>
      <c r="BV131">
        <f t="shared" ca="1" si="207"/>
        <v>0</v>
      </c>
      <c r="BW131" t="str">
        <f t="shared" ca="1" si="208"/>
        <v/>
      </c>
      <c r="BX131" t="str">
        <f t="shared" ca="1" si="209"/>
        <v/>
      </c>
      <c r="BY131" t="str">
        <f ca="1">IF(R131="","",IF(R131&gt;Options!$B$3,"ALTER TABLE "&amp;HELPER!$B$4&amp;" ADD COLUMNS ("&amp;A131&amp;" "&amp;C131&amp;")",""))</f>
        <v/>
      </c>
      <c r="BZ131" t="str">
        <f ca="1">IF(R131="","",IF(R131&gt;Options!$B$3,A131,""))</f>
        <v/>
      </c>
      <c r="CA131" t="str">
        <f ca="1">IF(R131="","",IF(R131&gt;Options!$B$3,B131,""))</f>
        <v/>
      </c>
      <c r="CB131" t="str">
        <f t="shared" ca="1" si="210"/>
        <v/>
      </c>
      <c r="CC131">
        <f t="shared" ca="1" si="211"/>
        <v>0</v>
      </c>
      <c r="CD131" t="str">
        <f ca="1">IF(J131="","",Options!$B$23 &amp; "." &amp; J131)</f>
        <v/>
      </c>
    </row>
    <row r="132" spans="1:82">
      <c r="A132" s="161" t="str">
        <f t="array" aca="1" ref="A132" ca="1">IF(TRIM(INDIRECT("Columns!A132")) ="","",TRIM(INDIRECT("Columns!A132")))</f>
        <v/>
      </c>
      <c r="B132" s="161" t="str">
        <f t="shared" ca="1" si="179"/>
        <v/>
      </c>
      <c r="C132" s="161" t="str">
        <f t="shared" ca="1" si="180"/>
        <v/>
      </c>
      <c r="D132" s="161" t="str">
        <f t="shared" ca="1" si="181"/>
        <v/>
      </c>
      <c r="E132" s="161" t="str">
        <f t="array" aca="1" ref="E132" ca="1">IF(TRIM(INDIRECT("Columns!E132"))="","",TRIM(INDIRECT("Columns!E132")))</f>
        <v/>
      </c>
      <c r="F132" s="161" t="str">
        <f t="array" aca="1" ref="F132" ca="1">IF(TRIM(INDIRECT("Columns!G132"))="","",TRIM(INDIRECT("Columns!G132")))</f>
        <v/>
      </c>
      <c r="G132" s="161" t="str">
        <f t="array" aca="1" ref="G132" ca="1">IF(TRIM(INDIRECT("Columns!F132"))="","",TRIM(INDIRECT("Columns!F132")))</f>
        <v/>
      </c>
      <c r="H132" s="161" t="str">
        <f t="array" aca="1" ref="H132" ca="1">IF(TRIM(INDIRECT("Columns!H132"))="","",TRIM(INDIRECT("Columns!H132")))</f>
        <v/>
      </c>
      <c r="I132" s="161" t="str">
        <f t="array" aca="1" ref="I132" ca="1">IF(TRIM(INDIRECT("Columns!I132"))="","",TRIM(INDIRECT("Columns!I132")))</f>
        <v/>
      </c>
      <c r="J132" s="161" t="str">
        <f t="array" aca="1" ref="J132" ca="1">IF(TRIM(INDIRECT("Columns!J132"))="","",TRIM(INDIRECT("Columns!J132")))</f>
        <v/>
      </c>
      <c r="K132" s="161" t="str">
        <f t="array" aca="1" ref="K132" ca="1">IF(TRIM(INDIRECT("Columns!K132"))="","",TRIM(INDIRECT("Columns!K132")))</f>
        <v/>
      </c>
      <c r="L132" s="161" t="str">
        <f t="array" aca="1" ref="L132" ca="1">IF(TRIM(INDIRECT("Columns!L132"))="","",TRIM(INDIRECT("Columns!L132")))</f>
        <v/>
      </c>
      <c r="M132" s="161" t="str">
        <f t="array" aca="1" ref="M132" ca="1">IF(TRIM(INDIRECT("Columns!M132"))="","",TRIM(INDIRECT("Columns!M132")))</f>
        <v/>
      </c>
      <c r="N132" s="161" t="str">
        <f t="array" aca="1" ref="N132" ca="1">IF(TRIM(INDIRECT("Columns!N132"))="","",TRIM(INDIRECT("Columns!N132")))</f>
        <v/>
      </c>
      <c r="O132" s="227" t="str">
        <f t="array" aca="1" ref="O132" ca="1">IF(TRIM(INDIRECT("Columns!B132"))="","",TRIM(INDIRECT("Columns!B132")))</f>
        <v/>
      </c>
      <c r="P132" s="227" t="str">
        <f t="array" aca="1" ref="P132" ca="1">IF(TRIM(INDIRECT("Columns!C132"))="","",TRIM(INDIRECT("Columns!C132")))</f>
        <v/>
      </c>
      <c r="Q132" s="227" t="str">
        <f t="array" aca="1" ref="Q132" ca="1">IF(TRIM(INDIRECT("Columns!D132"))="","",TRIM(INDIRECT("Columns!D132")))</f>
        <v/>
      </c>
      <c r="R132" s="227" t="str">
        <f t="array" aca="1" ref="R132" ca="1">IF(TRIM(INDIRECT("Columns!O132"))="","",TRIM(INDIRECT("Columns!O132")))</f>
        <v/>
      </c>
      <c r="S132" t="str">
        <f t="shared" ca="1" si="182"/>
        <v/>
      </c>
      <c r="T132" t="str">
        <f t="shared" ca="1" si="183"/>
        <v/>
      </c>
      <c r="U132" t="str">
        <f t="shared" ca="1" si="184"/>
        <v/>
      </c>
      <c r="V132" t="str">
        <f t="shared" ca="1" si="185"/>
        <v/>
      </c>
      <c r="W132" t="str">
        <f t="shared" ca="1" si="186"/>
        <v/>
      </c>
      <c r="X132" t="str">
        <f t="shared" ca="1" si="187"/>
        <v/>
      </c>
      <c r="Y132" t="str">
        <f t="shared" ca="1" si="188"/>
        <v/>
      </c>
      <c r="Z132" t="str">
        <f t="shared" ca="1" si="212"/>
        <v/>
      </c>
      <c r="AA132" t="str">
        <f ca="1">IF(E132="1",   IF( A132="","",IF(OR(F132="1",H132="1",I132="1"),"","COALESCE (CAST("&amp;A132&amp;" as varchar(" &amp; Options!$B$49&amp; ")),'')")),"")</f>
        <v/>
      </c>
      <c r="AB132" t="str">
        <f ca="1">IF(E132="1", IF(C132="string",  IF( A132="","",IF(OR(F132="1",H132="1",I132="1"),"","COALESCE (CAST(lower("&amp;A132&amp;") as varchar(" &amp;Options!$B$49 &amp; ")),'')")),AA132),"")</f>
        <v/>
      </c>
      <c r="AC132" t="str">
        <f ca="1">IF(E132="4",   IF( A132="","",IF(OR(F132="1",H132="1",I132="1"),"","COALESCE (CAST("  &amp;A132&amp;" as varchar(" &amp; Options!$B$49&amp; ")),'')")),"")</f>
        <v/>
      </c>
      <c r="AD132" t="str">
        <f ca="1">IF(E132="4",   IF( A132="","",IF(OR(F132="1",H132="1",I132="1"),"","COALESCE (CAST(" &amp; HELPER!$B$94 &amp; "."  &amp;A132&amp;" as varchar(" &amp; Options!$B$49&amp; ")),'')")),"")</f>
        <v/>
      </c>
      <c r="AE132" t="str">
        <f t="shared" ca="1" si="189"/>
        <v/>
      </c>
      <c r="AF132" t="str">
        <f ca="1">IF(AE132&lt;&gt;"", HELPER!$B$93 &amp;  "." &amp; AE132,"")</f>
        <v/>
      </c>
      <c r="AG132" t="str">
        <f ca="1">IF(AE132&lt;&gt;"", HELPER!$B$94 &amp; "." &amp; AE132,"")</f>
        <v/>
      </c>
      <c r="AH132" t="str">
        <f t="shared" ca="1" si="213"/>
        <v/>
      </c>
      <c r="AI132" t="str">
        <f t="shared" ca="1" si="190"/>
        <v/>
      </c>
      <c r="AJ132" t="str">
        <f t="shared" ca="1" si="191"/>
        <v/>
      </c>
      <c r="AK132" t="str">
        <f ca="1">IF(E132="4", HELPER!$B$94 &amp;  "." &amp; A132,"")</f>
        <v/>
      </c>
      <c r="AL132" t="str">
        <f ca="1">IF(E132="4", HELPER!$B$93 &amp;  "." &amp; A132,"")</f>
        <v/>
      </c>
      <c r="AM132" t="str">
        <f t="shared" ca="1" si="192"/>
        <v/>
      </c>
      <c r="AN132" t="str">
        <f t="shared" ca="1" si="193"/>
        <v/>
      </c>
      <c r="AO132" t="str">
        <f ca="1">IF(A132&lt;&gt;"", IF(OR(F132="1",H132="1",I132="1"),""," "&amp; HELPER!$B$94 &amp; "." &amp; A132),"")</f>
        <v/>
      </c>
      <c r="AP132" t="str">
        <f t="shared" ca="1" si="194"/>
        <v/>
      </c>
      <c r="AQ132" t="str">
        <f t="shared" ref="AQ132:AQ150" ca="1" si="219">IF(A132="","", IF(E132="4", IF(AN132="","",AN132 &amp; " = " &amp; AO132),""))</f>
        <v/>
      </c>
      <c r="AS132" t="str">
        <f ca="1">IF(A132="","",  HELPER!$B$94 &amp;  "." &amp; A132)</f>
        <v/>
      </c>
      <c r="AT132" t="str">
        <f t="shared" ca="1" si="195"/>
        <v/>
      </c>
      <c r="AU132" t="str">
        <f t="shared" ca="1" si="196"/>
        <v/>
      </c>
      <c r="AV132" s="190" t="str">
        <f t="shared" ca="1" si="197"/>
        <v/>
      </c>
      <c r="AW132" t="str">
        <f t="shared" ca="1" si="198"/>
        <v/>
      </c>
      <c r="AY132" t="str">
        <f t="shared" ca="1" si="199"/>
        <v/>
      </c>
      <c r="BF132" t="str">
        <f t="shared" ca="1" si="200"/>
        <v/>
      </c>
      <c r="BH132" s="285" t="str">
        <f t="shared" ca="1" si="214"/>
        <v/>
      </c>
      <c r="BI132" t="str">
        <f t="shared" ca="1" si="201"/>
        <v/>
      </c>
      <c r="BJ132" t="str">
        <f t="shared" ca="1" si="202"/>
        <v/>
      </c>
      <c r="BK132" t="str">
        <f t="shared" ca="1" si="215"/>
        <v/>
      </c>
      <c r="BM132" t="str">
        <f t="shared" ca="1" si="216"/>
        <v/>
      </c>
      <c r="BN132" t="str">
        <f t="shared" ca="1" si="217"/>
        <v/>
      </c>
      <c r="BO132" t="str">
        <f t="shared" ca="1" si="203"/>
        <v/>
      </c>
      <c r="BP132" t="b">
        <f ca="1">COUNTIF(COLHELPER!A132:'COLHELPER'!A132,COLHELPER!A132)&gt;1</f>
        <v>0</v>
      </c>
      <c r="BQ132">
        <f t="shared" ca="1" si="204"/>
        <v>0</v>
      </c>
      <c r="BR132" s="290" t="str">
        <f t="shared" ca="1" si="137"/>
        <v/>
      </c>
      <c r="BS132" t="str">
        <f t="shared" ca="1" si="205"/>
        <v/>
      </c>
      <c r="BT132" t="str">
        <f t="shared" ca="1" si="218"/>
        <v/>
      </c>
      <c r="BU132" t="str">
        <f t="shared" ca="1" si="206"/>
        <v/>
      </c>
      <c r="BV132">
        <f t="shared" ca="1" si="207"/>
        <v>0</v>
      </c>
      <c r="BW132" t="str">
        <f t="shared" ca="1" si="208"/>
        <v/>
      </c>
      <c r="BX132" t="str">
        <f t="shared" ca="1" si="209"/>
        <v/>
      </c>
      <c r="BY132" t="str">
        <f ca="1">IF(R132="","",IF(R132&gt;Options!$B$3,"ALTER TABLE "&amp;HELPER!$B$4&amp;" ADD COLUMNS ("&amp;A132&amp;" "&amp;C132&amp;")",""))</f>
        <v/>
      </c>
      <c r="BZ132" t="str">
        <f ca="1">IF(R132="","",IF(R132&gt;Options!$B$3,A132,""))</f>
        <v/>
      </c>
      <c r="CA132" t="str">
        <f ca="1">IF(R132="","",IF(R132&gt;Options!$B$3,B132,""))</f>
        <v/>
      </c>
      <c r="CB132" t="str">
        <f t="shared" ca="1" si="210"/>
        <v/>
      </c>
      <c r="CC132">
        <f t="shared" ca="1" si="211"/>
        <v>0</v>
      </c>
      <c r="CD132" t="str">
        <f ca="1">IF(J132="","",Options!$B$23 &amp; "." &amp; J132)</f>
        <v/>
      </c>
    </row>
    <row r="133" spans="1:82">
      <c r="A133" s="161" t="str">
        <f t="array" aca="1" ref="A133" ca="1">IF(TRIM(INDIRECT("Columns!A133")) ="","",TRIM(INDIRECT("Columns!A133")))</f>
        <v/>
      </c>
      <c r="B133" s="161" t="str">
        <f t="shared" ca="1" si="179"/>
        <v/>
      </c>
      <c r="C133" s="161" t="str">
        <f t="shared" ca="1" si="180"/>
        <v/>
      </c>
      <c r="D133" s="161" t="str">
        <f t="shared" ca="1" si="181"/>
        <v/>
      </c>
      <c r="E133" s="161" t="str">
        <f t="array" aca="1" ref="E133" ca="1">IF(TRIM(INDIRECT("Columns!E133"))="","",TRIM(INDIRECT("Columns!E133")))</f>
        <v/>
      </c>
      <c r="F133" s="161" t="str">
        <f t="array" aca="1" ref="F133" ca="1">IF(TRIM(INDIRECT("Columns!G133"))="","",TRIM(INDIRECT("Columns!G133")))</f>
        <v/>
      </c>
      <c r="G133" s="161" t="str">
        <f t="array" aca="1" ref="G133" ca="1">IF(TRIM(INDIRECT("Columns!F133"))="","",TRIM(INDIRECT("Columns!F133")))</f>
        <v/>
      </c>
      <c r="H133" s="161" t="str">
        <f t="array" aca="1" ref="H133" ca="1">IF(TRIM(INDIRECT("Columns!H133"))="","",TRIM(INDIRECT("Columns!H133")))</f>
        <v/>
      </c>
      <c r="I133" s="161" t="str">
        <f t="array" aca="1" ref="I133" ca="1">IF(TRIM(INDIRECT("Columns!I133"))="","",TRIM(INDIRECT("Columns!I133")))</f>
        <v/>
      </c>
      <c r="J133" s="161" t="str">
        <f t="array" aca="1" ref="J133" ca="1">IF(TRIM(INDIRECT("Columns!J133"))="","",TRIM(INDIRECT("Columns!J133")))</f>
        <v/>
      </c>
      <c r="K133" s="161" t="str">
        <f t="array" aca="1" ref="K133" ca="1">IF(TRIM(INDIRECT("Columns!K133"))="","",TRIM(INDIRECT("Columns!K133")))</f>
        <v/>
      </c>
      <c r="L133" s="161" t="str">
        <f t="array" aca="1" ref="L133" ca="1">IF(TRIM(INDIRECT("Columns!L133"))="","",TRIM(INDIRECT("Columns!L133")))</f>
        <v/>
      </c>
      <c r="M133" s="161" t="str">
        <f t="array" aca="1" ref="M133" ca="1">IF(TRIM(INDIRECT("Columns!M133"))="","",TRIM(INDIRECT("Columns!M133")))</f>
        <v/>
      </c>
      <c r="N133" s="161" t="str">
        <f t="array" aca="1" ref="N133" ca="1">IF(TRIM(INDIRECT("Columns!N133"))="","",TRIM(INDIRECT("Columns!N133")))</f>
        <v/>
      </c>
      <c r="O133" s="227" t="str">
        <f t="array" aca="1" ref="O133" ca="1">IF(TRIM(INDIRECT("Columns!B133"))="","",TRIM(INDIRECT("Columns!B133")))</f>
        <v/>
      </c>
      <c r="P133" s="227" t="str">
        <f t="array" aca="1" ref="P133" ca="1">IF(TRIM(INDIRECT("Columns!C133"))="","",TRIM(INDIRECT("Columns!C133")))</f>
        <v/>
      </c>
      <c r="Q133" s="227" t="str">
        <f t="array" aca="1" ref="Q133" ca="1">IF(TRIM(INDIRECT("Columns!D133"))="","",TRIM(INDIRECT("Columns!D133")))</f>
        <v/>
      </c>
      <c r="R133" s="227" t="str">
        <f t="array" aca="1" ref="R133" ca="1">IF(TRIM(INDIRECT("Columns!O133"))="","",TRIM(INDIRECT("Columns!O133")))</f>
        <v/>
      </c>
      <c r="S133" t="str">
        <f t="shared" ca="1" si="182"/>
        <v/>
      </c>
      <c r="T133" t="str">
        <f t="shared" ca="1" si="183"/>
        <v/>
      </c>
      <c r="U133" t="str">
        <f t="shared" ca="1" si="184"/>
        <v/>
      </c>
      <c r="V133" t="str">
        <f t="shared" ca="1" si="185"/>
        <v/>
      </c>
      <c r="W133" t="str">
        <f t="shared" ca="1" si="186"/>
        <v/>
      </c>
      <c r="X133" t="str">
        <f t="shared" ca="1" si="187"/>
        <v/>
      </c>
      <c r="Y133" t="str">
        <f t="shared" ca="1" si="188"/>
        <v/>
      </c>
      <c r="Z133" t="str">
        <f t="shared" ca="1" si="212"/>
        <v/>
      </c>
      <c r="AA133" t="str">
        <f ca="1">IF(E133="1",   IF( A133="","",IF(OR(F133="1",H133="1",I133="1"),"","COALESCE (CAST("&amp;A133&amp;" as varchar(" &amp; Options!$B$49&amp; ")),'')")),"")</f>
        <v/>
      </c>
      <c r="AB133" t="str">
        <f ca="1">IF(E133="1", IF(C133="string",  IF( A133="","",IF(OR(F133="1",H133="1",I133="1"),"","COALESCE (CAST(lower("&amp;A133&amp;") as varchar(" &amp;Options!$B$49 &amp; ")),'')")),AA133),"")</f>
        <v/>
      </c>
      <c r="AC133" t="str">
        <f ca="1">IF(E133="4",   IF( A133="","",IF(OR(F133="1",H133="1",I133="1"),"","COALESCE (CAST("  &amp;A133&amp;" as varchar(" &amp; Options!$B$49&amp; ")),'')")),"")</f>
        <v/>
      </c>
      <c r="AD133" t="str">
        <f ca="1">IF(E133="4",   IF( A133="","",IF(OR(F133="1",H133="1",I133="1"),"","COALESCE (CAST(" &amp; HELPER!$B$94 &amp; "."  &amp;A133&amp;" as varchar(" &amp; Options!$B$49&amp; ")),'')")),"")</f>
        <v/>
      </c>
      <c r="AE133" t="str">
        <f t="shared" ca="1" si="189"/>
        <v/>
      </c>
      <c r="AF133" t="str">
        <f ca="1">IF(AE133&lt;&gt;"", HELPER!$B$93 &amp;  "." &amp; AE133,"")</f>
        <v/>
      </c>
      <c r="AG133" t="str">
        <f ca="1">IF(AE133&lt;&gt;"", HELPER!$B$94 &amp; "." &amp; AE133,"")</f>
        <v/>
      </c>
      <c r="AH133" t="str">
        <f t="shared" ca="1" si="213"/>
        <v/>
      </c>
      <c r="AI133" t="str">
        <f t="shared" ca="1" si="190"/>
        <v/>
      </c>
      <c r="AJ133" t="str">
        <f t="shared" ca="1" si="191"/>
        <v/>
      </c>
      <c r="AK133" t="str">
        <f ca="1">IF(E133="4", HELPER!$B$94 &amp;  "." &amp; A133,"")</f>
        <v/>
      </c>
      <c r="AL133" t="str">
        <f ca="1">IF(E133="4", HELPER!$B$93 &amp;  "." &amp; A133,"")</f>
        <v/>
      </c>
      <c r="AM133" t="str">
        <f t="shared" ca="1" si="192"/>
        <v/>
      </c>
      <c r="AN133" t="str">
        <f t="shared" ca="1" si="193"/>
        <v/>
      </c>
      <c r="AO133" t="str">
        <f ca="1">IF(A133&lt;&gt;"", IF(OR(F133="1",H133="1",I133="1"),""," "&amp; HELPER!$B$94 &amp; "." &amp; A133),"")</f>
        <v/>
      </c>
      <c r="AP133" t="str">
        <f t="shared" ca="1" si="194"/>
        <v/>
      </c>
      <c r="AQ133" t="str">
        <f t="shared" ca="1" si="219"/>
        <v/>
      </c>
      <c r="AS133" t="str">
        <f ca="1">IF(A133="","",  HELPER!$B$94 &amp;  "." &amp; A133)</f>
        <v/>
      </c>
      <c r="AT133" t="str">
        <f t="shared" ca="1" si="195"/>
        <v/>
      </c>
      <c r="AU133" t="str">
        <f t="shared" ca="1" si="196"/>
        <v/>
      </c>
      <c r="AV133" s="190" t="str">
        <f t="shared" ca="1" si="197"/>
        <v/>
      </c>
      <c r="AW133" t="str">
        <f t="shared" ca="1" si="198"/>
        <v/>
      </c>
      <c r="AY133" t="str">
        <f t="shared" ca="1" si="199"/>
        <v/>
      </c>
      <c r="BF133" t="str">
        <f t="shared" ca="1" si="200"/>
        <v/>
      </c>
      <c r="BH133" s="285" t="str">
        <f t="shared" ca="1" si="214"/>
        <v/>
      </c>
      <c r="BI133" t="str">
        <f t="shared" ca="1" si="201"/>
        <v/>
      </c>
      <c r="BJ133" t="str">
        <f t="shared" ca="1" si="202"/>
        <v/>
      </c>
      <c r="BK133" t="str">
        <f t="shared" ca="1" si="215"/>
        <v/>
      </c>
      <c r="BM133" t="str">
        <f t="shared" ca="1" si="216"/>
        <v/>
      </c>
      <c r="BN133" t="str">
        <f t="shared" ca="1" si="217"/>
        <v/>
      </c>
      <c r="BO133" t="str">
        <f t="shared" ca="1" si="203"/>
        <v/>
      </c>
      <c r="BP133" t="b">
        <f ca="1">COUNTIF(COLHELPER!A133:'COLHELPER'!A133,COLHELPER!A133)&gt;1</f>
        <v>0</v>
      </c>
      <c r="BQ133">
        <f t="shared" ca="1" si="204"/>
        <v>0</v>
      </c>
      <c r="BR133" s="290" t="str">
        <f t="shared" ref="BR133:BR150" ca="1" si="220">SUBSTITUTE(IF(M133&lt;&gt;"",A133 &amp; M133,""),"$eq","=")</f>
        <v/>
      </c>
      <c r="BS133" t="str">
        <f t="shared" ca="1" si="205"/>
        <v/>
      </c>
      <c r="BT133" t="str">
        <f t="shared" ca="1" si="218"/>
        <v/>
      </c>
      <c r="BU133" t="str">
        <f t="shared" ca="1" si="206"/>
        <v/>
      </c>
      <c r="BV133">
        <f t="shared" ca="1" si="207"/>
        <v>0</v>
      </c>
      <c r="BW133" t="str">
        <f t="shared" ca="1" si="208"/>
        <v/>
      </c>
      <c r="BX133" t="str">
        <f t="shared" ca="1" si="209"/>
        <v/>
      </c>
      <c r="BY133" t="str">
        <f ca="1">IF(R133="","",IF(R133&gt;Options!$B$3,"ALTER TABLE "&amp;HELPER!$B$4&amp;" ADD COLUMNS ("&amp;A133&amp;" "&amp;C133&amp;")",""))</f>
        <v/>
      </c>
      <c r="BZ133" t="str">
        <f ca="1">IF(R133="","",IF(R133&gt;Options!$B$3,A133,""))</f>
        <v/>
      </c>
      <c r="CA133" t="str">
        <f ca="1">IF(R133="","",IF(R133&gt;Options!$B$3,B133,""))</f>
        <v/>
      </c>
      <c r="CB133" t="str">
        <f t="shared" ca="1" si="210"/>
        <v/>
      </c>
      <c r="CC133">
        <f t="shared" ca="1" si="211"/>
        <v>0</v>
      </c>
      <c r="CD133" t="str">
        <f ca="1">IF(J133="","",Options!$B$23 &amp; "." &amp; J133)</f>
        <v/>
      </c>
    </row>
    <row r="134" spans="1:82">
      <c r="A134" s="161" t="str">
        <f t="array" aca="1" ref="A134" ca="1">IF(TRIM(INDIRECT("Columns!A134")) ="","",TRIM(INDIRECT("Columns!A134")))</f>
        <v/>
      </c>
      <c r="B134" s="161" t="str">
        <f t="shared" ca="1" si="179"/>
        <v/>
      </c>
      <c r="C134" s="161" t="str">
        <f t="shared" ca="1" si="180"/>
        <v/>
      </c>
      <c r="D134" s="161" t="str">
        <f t="shared" ca="1" si="181"/>
        <v/>
      </c>
      <c r="E134" s="161" t="str">
        <f t="array" aca="1" ref="E134" ca="1">IF(TRIM(INDIRECT("Columns!E134"))="","",TRIM(INDIRECT("Columns!E134")))</f>
        <v/>
      </c>
      <c r="F134" s="161" t="str">
        <f t="array" aca="1" ref="F134" ca="1">IF(TRIM(INDIRECT("Columns!G134"))="","",TRIM(INDIRECT("Columns!G134")))</f>
        <v/>
      </c>
      <c r="G134" s="161" t="str">
        <f t="array" aca="1" ref="G134" ca="1">IF(TRIM(INDIRECT("Columns!F134"))="","",TRIM(INDIRECT("Columns!F134")))</f>
        <v/>
      </c>
      <c r="H134" s="161" t="str">
        <f t="array" aca="1" ref="H134" ca="1">IF(TRIM(INDIRECT("Columns!H134"))="","",TRIM(INDIRECT("Columns!H134")))</f>
        <v/>
      </c>
      <c r="I134" s="161" t="str">
        <f t="array" aca="1" ref="I134" ca="1">IF(TRIM(INDIRECT("Columns!I134"))="","",TRIM(INDIRECT("Columns!I134")))</f>
        <v/>
      </c>
      <c r="J134" s="161" t="str">
        <f t="array" aca="1" ref="J134" ca="1">IF(TRIM(INDIRECT("Columns!J134"))="","",TRIM(INDIRECT("Columns!J134")))</f>
        <v/>
      </c>
      <c r="K134" s="161" t="str">
        <f t="array" aca="1" ref="K134" ca="1">IF(TRIM(INDIRECT("Columns!K134"))="","",TRIM(INDIRECT("Columns!K134")))</f>
        <v/>
      </c>
      <c r="L134" s="161" t="str">
        <f t="array" aca="1" ref="L134" ca="1">IF(TRIM(INDIRECT("Columns!L134"))="","",TRIM(INDIRECT("Columns!L134")))</f>
        <v/>
      </c>
      <c r="M134" s="161" t="str">
        <f t="array" aca="1" ref="M134" ca="1">IF(TRIM(INDIRECT("Columns!M134"))="","",TRIM(INDIRECT("Columns!M134")))</f>
        <v/>
      </c>
      <c r="N134" s="161" t="str">
        <f t="array" aca="1" ref="N134" ca="1">IF(TRIM(INDIRECT("Columns!N134"))="","",TRIM(INDIRECT("Columns!N134")))</f>
        <v/>
      </c>
      <c r="O134" s="227" t="str">
        <f t="array" aca="1" ref="O134" ca="1">IF(TRIM(INDIRECT("Columns!B134"))="","",TRIM(INDIRECT("Columns!B134")))</f>
        <v/>
      </c>
      <c r="P134" s="227" t="str">
        <f t="array" aca="1" ref="P134" ca="1">IF(TRIM(INDIRECT("Columns!C134"))="","",TRIM(INDIRECT("Columns!C134")))</f>
        <v/>
      </c>
      <c r="Q134" s="227" t="str">
        <f t="array" aca="1" ref="Q134" ca="1">IF(TRIM(INDIRECT("Columns!D134"))="","",TRIM(INDIRECT("Columns!D134")))</f>
        <v/>
      </c>
      <c r="R134" s="227" t="str">
        <f t="array" aca="1" ref="R134" ca="1">IF(TRIM(INDIRECT("Columns!O134"))="","",TRIM(INDIRECT("Columns!O134")))</f>
        <v/>
      </c>
      <c r="S134" t="str">
        <f t="shared" ca="1" si="182"/>
        <v/>
      </c>
      <c r="T134" t="str">
        <f t="shared" ca="1" si="183"/>
        <v/>
      </c>
      <c r="U134" t="str">
        <f t="shared" ca="1" si="184"/>
        <v/>
      </c>
      <c r="V134" t="str">
        <f t="shared" ca="1" si="185"/>
        <v/>
      </c>
      <c r="W134" t="str">
        <f t="shared" ca="1" si="186"/>
        <v/>
      </c>
      <c r="X134" t="str">
        <f t="shared" ca="1" si="187"/>
        <v/>
      </c>
      <c r="Y134" t="str">
        <f t="shared" ca="1" si="188"/>
        <v/>
      </c>
      <c r="Z134" t="str">
        <f t="shared" ca="1" si="212"/>
        <v/>
      </c>
      <c r="AA134" t="str">
        <f ca="1">IF(E134="1",   IF( A134="","",IF(OR(F134="1",H134="1",I134="1"),"","COALESCE (CAST("&amp;A134&amp;" as varchar(" &amp; Options!$B$49&amp; ")),'')")),"")</f>
        <v/>
      </c>
      <c r="AB134" t="str">
        <f ca="1">IF(E134="1", IF(C134="string",  IF( A134="","",IF(OR(F134="1",H134="1",I134="1"),"","COALESCE (CAST(lower("&amp;A134&amp;") as varchar(" &amp;Options!$B$49 &amp; ")),'')")),AA134),"")</f>
        <v/>
      </c>
      <c r="AC134" t="str">
        <f ca="1">IF(E134="4",   IF( A134="","",IF(OR(F134="1",H134="1",I134="1"),"","COALESCE (CAST("  &amp;A134&amp;" as varchar(" &amp; Options!$B$49&amp; ")),'')")),"")</f>
        <v/>
      </c>
      <c r="AD134" t="str">
        <f ca="1">IF(E134="4",   IF( A134="","",IF(OR(F134="1",H134="1",I134="1"),"","COALESCE (CAST(" &amp; HELPER!$B$94 &amp; "."  &amp;A134&amp;" as varchar(" &amp; Options!$B$49&amp; ")),'')")),"")</f>
        <v/>
      </c>
      <c r="AE134" t="str">
        <f t="shared" ca="1" si="189"/>
        <v/>
      </c>
      <c r="AF134" t="str">
        <f ca="1">IF(AE134&lt;&gt;"", HELPER!$B$93 &amp;  "." &amp; AE134,"")</f>
        <v/>
      </c>
      <c r="AG134" t="str">
        <f ca="1">IF(AE134&lt;&gt;"", HELPER!$B$94 &amp; "." &amp; AE134,"")</f>
        <v/>
      </c>
      <c r="AH134" t="str">
        <f t="shared" ca="1" si="213"/>
        <v/>
      </c>
      <c r="AI134" t="str">
        <f t="shared" ca="1" si="190"/>
        <v/>
      </c>
      <c r="AJ134" t="str">
        <f t="shared" ca="1" si="191"/>
        <v/>
      </c>
      <c r="AK134" t="str">
        <f ca="1">IF(E134="4", HELPER!$B$94 &amp;  "." &amp; A134,"")</f>
        <v/>
      </c>
      <c r="AL134" t="str">
        <f ca="1">IF(E134="4", HELPER!$B$93 &amp;  "." &amp; A134,"")</f>
        <v/>
      </c>
      <c r="AM134" t="str">
        <f t="shared" ca="1" si="192"/>
        <v/>
      </c>
      <c r="AN134" t="str">
        <f t="shared" ca="1" si="193"/>
        <v/>
      </c>
      <c r="AO134" t="str">
        <f ca="1">IF(A134&lt;&gt;"", IF(OR(F134="1",H134="1",I134="1"),""," "&amp; HELPER!$B$94 &amp; "." &amp; A134),"")</f>
        <v/>
      </c>
      <c r="AP134" t="str">
        <f t="shared" ca="1" si="194"/>
        <v/>
      </c>
      <c r="AQ134" t="str">
        <f t="shared" ca="1" si="219"/>
        <v/>
      </c>
      <c r="AS134" t="str">
        <f ca="1">IF(A134="","",  HELPER!$B$94 &amp;  "." &amp; A134)</f>
        <v/>
      </c>
      <c r="AT134" t="str">
        <f t="shared" ca="1" si="195"/>
        <v/>
      </c>
      <c r="AU134" t="str">
        <f t="shared" ca="1" si="196"/>
        <v/>
      </c>
      <c r="AV134" s="190" t="str">
        <f t="shared" ca="1" si="197"/>
        <v/>
      </c>
      <c r="AW134" t="str">
        <f t="shared" ca="1" si="198"/>
        <v/>
      </c>
      <c r="AY134" t="str">
        <f t="shared" ca="1" si="199"/>
        <v/>
      </c>
      <c r="BF134" t="str">
        <f t="shared" ca="1" si="200"/>
        <v/>
      </c>
      <c r="BH134" s="285" t="str">
        <f t="shared" ca="1" si="214"/>
        <v/>
      </c>
      <c r="BI134" t="str">
        <f t="shared" ca="1" si="201"/>
        <v/>
      </c>
      <c r="BJ134" t="str">
        <f t="shared" ca="1" si="202"/>
        <v/>
      </c>
      <c r="BK134" t="str">
        <f t="shared" ca="1" si="215"/>
        <v/>
      </c>
      <c r="BM134" t="str">
        <f t="shared" ca="1" si="216"/>
        <v/>
      </c>
      <c r="BN134" t="str">
        <f t="shared" ca="1" si="217"/>
        <v/>
      </c>
      <c r="BO134" t="str">
        <f t="shared" ca="1" si="203"/>
        <v/>
      </c>
      <c r="BP134" t="b">
        <f ca="1">COUNTIF(COLHELPER!A134:'COLHELPER'!A134,COLHELPER!A134)&gt;1</f>
        <v>0</v>
      </c>
      <c r="BQ134">
        <f t="shared" ca="1" si="204"/>
        <v>0</v>
      </c>
      <c r="BR134" s="290" t="str">
        <f t="shared" ca="1" si="220"/>
        <v/>
      </c>
      <c r="BS134" t="str">
        <f t="shared" ca="1" si="205"/>
        <v/>
      </c>
      <c r="BT134" t="str">
        <f t="shared" ca="1" si="218"/>
        <v/>
      </c>
      <c r="BU134" t="str">
        <f t="shared" ca="1" si="206"/>
        <v/>
      </c>
      <c r="BV134">
        <f t="shared" ca="1" si="207"/>
        <v>0</v>
      </c>
      <c r="BW134" t="str">
        <f t="shared" ca="1" si="208"/>
        <v/>
      </c>
      <c r="BX134" t="str">
        <f t="shared" ca="1" si="209"/>
        <v/>
      </c>
      <c r="BY134" t="str">
        <f ca="1">IF(R134="","",IF(R134&gt;Options!$B$3,"ALTER TABLE "&amp;HELPER!$B$4&amp;" ADD COLUMNS ("&amp;A134&amp;" "&amp;C134&amp;")",""))</f>
        <v/>
      </c>
      <c r="BZ134" t="str">
        <f ca="1">IF(R134="","",IF(R134&gt;Options!$B$3,A134,""))</f>
        <v/>
      </c>
      <c r="CA134" t="str">
        <f ca="1">IF(R134="","",IF(R134&gt;Options!$B$3,B134,""))</f>
        <v/>
      </c>
      <c r="CB134" t="str">
        <f t="shared" ca="1" si="210"/>
        <v/>
      </c>
      <c r="CC134">
        <f t="shared" ca="1" si="211"/>
        <v>0</v>
      </c>
      <c r="CD134" t="str">
        <f ca="1">IF(J134="","",Options!$B$23 &amp; "." &amp; J134)</f>
        <v/>
      </c>
    </row>
    <row r="135" spans="1:82">
      <c r="A135" s="161" t="str">
        <f t="array" aca="1" ref="A135" ca="1">IF(TRIM(INDIRECT("Columns!A135")) ="","",TRIM(INDIRECT("Columns!A135")))</f>
        <v/>
      </c>
      <c r="B135" s="161" t="str">
        <f t="shared" ca="1" si="179"/>
        <v/>
      </c>
      <c r="C135" s="161" t="str">
        <f t="shared" ca="1" si="180"/>
        <v/>
      </c>
      <c r="D135" s="161" t="str">
        <f t="shared" ca="1" si="181"/>
        <v/>
      </c>
      <c r="E135" s="161" t="str">
        <f t="array" aca="1" ref="E135" ca="1">IF(TRIM(INDIRECT("Columns!E135"))="","",TRIM(INDIRECT("Columns!E135")))</f>
        <v/>
      </c>
      <c r="F135" s="161" t="str">
        <f t="array" aca="1" ref="F135" ca="1">IF(TRIM(INDIRECT("Columns!G135"))="","",TRIM(INDIRECT("Columns!G135")))</f>
        <v/>
      </c>
      <c r="G135" s="161" t="str">
        <f t="array" aca="1" ref="G135" ca="1">IF(TRIM(INDIRECT("Columns!F135"))="","",TRIM(INDIRECT("Columns!F135")))</f>
        <v/>
      </c>
      <c r="H135" s="161" t="str">
        <f t="array" aca="1" ref="H135" ca="1">IF(TRIM(INDIRECT("Columns!H135"))="","",TRIM(INDIRECT("Columns!H135")))</f>
        <v/>
      </c>
      <c r="I135" s="161" t="str">
        <f t="array" aca="1" ref="I135" ca="1">IF(TRIM(INDIRECT("Columns!I135"))="","",TRIM(INDIRECT("Columns!I135")))</f>
        <v/>
      </c>
      <c r="J135" s="161" t="str">
        <f t="array" aca="1" ref="J135" ca="1">IF(TRIM(INDIRECT("Columns!J135"))="","",TRIM(INDIRECT("Columns!J135")))</f>
        <v/>
      </c>
      <c r="K135" s="161" t="str">
        <f t="array" aca="1" ref="K135" ca="1">IF(TRIM(INDIRECT("Columns!K135"))="","",TRIM(INDIRECT("Columns!K135")))</f>
        <v/>
      </c>
      <c r="L135" s="161" t="str">
        <f t="array" aca="1" ref="L135" ca="1">IF(TRIM(INDIRECT("Columns!L135"))="","",TRIM(INDIRECT("Columns!L135")))</f>
        <v/>
      </c>
      <c r="M135" s="161" t="str">
        <f t="array" aca="1" ref="M135" ca="1">IF(TRIM(INDIRECT("Columns!M135"))="","",TRIM(INDIRECT("Columns!M135")))</f>
        <v/>
      </c>
      <c r="N135" s="161" t="str">
        <f t="array" aca="1" ref="N135" ca="1">IF(TRIM(INDIRECT("Columns!N135"))="","",TRIM(INDIRECT("Columns!N135")))</f>
        <v/>
      </c>
      <c r="O135" s="227" t="str">
        <f t="array" aca="1" ref="O135" ca="1">IF(TRIM(INDIRECT("Columns!B135"))="","",TRIM(INDIRECT("Columns!B135")))</f>
        <v/>
      </c>
      <c r="P135" s="227" t="str">
        <f t="array" aca="1" ref="P135" ca="1">IF(TRIM(INDIRECT("Columns!C135"))="","",TRIM(INDIRECT("Columns!C135")))</f>
        <v/>
      </c>
      <c r="Q135" s="227" t="str">
        <f t="array" aca="1" ref="Q135" ca="1">IF(TRIM(INDIRECT("Columns!D135"))="","",TRIM(INDIRECT("Columns!D135")))</f>
        <v/>
      </c>
      <c r="R135" s="227" t="str">
        <f t="array" aca="1" ref="R135" ca="1">IF(TRIM(INDIRECT("Columns!O135"))="","",TRIM(INDIRECT("Columns!O135")))</f>
        <v/>
      </c>
      <c r="S135" t="str">
        <f t="shared" ca="1" si="182"/>
        <v/>
      </c>
      <c r="T135" t="str">
        <f t="shared" ca="1" si="183"/>
        <v/>
      </c>
      <c r="U135" t="str">
        <f t="shared" ca="1" si="184"/>
        <v/>
      </c>
      <c r="V135" t="str">
        <f t="shared" ca="1" si="185"/>
        <v/>
      </c>
      <c r="W135" t="str">
        <f t="shared" ca="1" si="186"/>
        <v/>
      </c>
      <c r="X135" t="str">
        <f t="shared" ca="1" si="187"/>
        <v/>
      </c>
      <c r="Y135" t="str">
        <f t="shared" ca="1" si="188"/>
        <v/>
      </c>
      <c r="Z135" t="str">
        <f t="shared" ca="1" si="212"/>
        <v/>
      </c>
      <c r="AA135" t="str">
        <f ca="1">IF(E135="1",   IF( A135="","",IF(OR(F135="1",H135="1",I135="1"),"","COALESCE (CAST("&amp;A135&amp;" as varchar(" &amp; Options!$B$49&amp; ")),'')")),"")</f>
        <v/>
      </c>
      <c r="AB135" t="str">
        <f ca="1">IF(E135="1", IF(C135="string",  IF( A135="","",IF(OR(F135="1",H135="1",I135="1"),"","COALESCE (CAST(lower("&amp;A135&amp;") as varchar(" &amp;Options!$B$49 &amp; ")),'')")),AA135),"")</f>
        <v/>
      </c>
      <c r="AC135" t="str">
        <f ca="1">IF(E135="4",   IF( A135="","",IF(OR(F135="1",H135="1",I135="1"),"","COALESCE (CAST("  &amp;A135&amp;" as varchar(" &amp; Options!$B$49&amp; ")),'')")),"")</f>
        <v/>
      </c>
      <c r="AD135" t="str">
        <f ca="1">IF(E135="4",   IF( A135="","",IF(OR(F135="1",H135="1",I135="1"),"","COALESCE (CAST(" &amp; HELPER!$B$94 &amp; "."  &amp;A135&amp;" as varchar(" &amp; Options!$B$49&amp; ")),'')")),"")</f>
        <v/>
      </c>
      <c r="AE135" t="str">
        <f t="shared" ca="1" si="189"/>
        <v/>
      </c>
      <c r="AF135" t="str">
        <f ca="1">IF(AE135&lt;&gt;"", HELPER!$B$93 &amp;  "." &amp; AE135,"")</f>
        <v/>
      </c>
      <c r="AG135" t="str">
        <f ca="1">IF(AE135&lt;&gt;"", HELPER!$B$94 &amp; "." &amp; AE135,"")</f>
        <v/>
      </c>
      <c r="AH135" t="str">
        <f t="shared" ca="1" si="213"/>
        <v/>
      </c>
      <c r="AI135" t="str">
        <f t="shared" ca="1" si="190"/>
        <v/>
      </c>
      <c r="AJ135" t="str">
        <f t="shared" ca="1" si="191"/>
        <v/>
      </c>
      <c r="AK135" t="str">
        <f ca="1">IF(E135="4", HELPER!$B$94 &amp;  "." &amp; A135,"")</f>
        <v/>
      </c>
      <c r="AL135" t="str">
        <f ca="1">IF(E135="4", HELPER!$B$93 &amp;  "." &amp; A135,"")</f>
        <v/>
      </c>
      <c r="AM135" t="str">
        <f t="shared" ca="1" si="192"/>
        <v/>
      </c>
      <c r="AN135" t="str">
        <f t="shared" ca="1" si="193"/>
        <v/>
      </c>
      <c r="AO135" t="str">
        <f ca="1">IF(A135&lt;&gt;"", IF(OR(F135="1",H135="1",I135="1"),""," "&amp; HELPER!$B$94 &amp; "." &amp; A135),"")</f>
        <v/>
      </c>
      <c r="AP135" t="str">
        <f t="shared" ca="1" si="194"/>
        <v/>
      </c>
      <c r="AQ135" t="str">
        <f t="shared" ca="1" si="219"/>
        <v/>
      </c>
      <c r="AS135" t="str">
        <f ca="1">IF(A135="","",  HELPER!$B$94 &amp;  "." &amp; A135)</f>
        <v/>
      </c>
      <c r="AT135" t="str">
        <f t="shared" ca="1" si="195"/>
        <v/>
      </c>
      <c r="AU135" t="str">
        <f t="shared" ca="1" si="196"/>
        <v/>
      </c>
      <c r="AV135" s="190" t="str">
        <f t="shared" ca="1" si="197"/>
        <v/>
      </c>
      <c r="AW135" t="str">
        <f t="shared" ca="1" si="198"/>
        <v/>
      </c>
      <c r="AY135" t="str">
        <f t="shared" ca="1" si="199"/>
        <v/>
      </c>
      <c r="BF135" t="str">
        <f t="shared" ca="1" si="200"/>
        <v/>
      </c>
      <c r="BH135" s="285" t="str">
        <f t="shared" ca="1" si="214"/>
        <v/>
      </c>
      <c r="BI135" t="str">
        <f t="shared" ca="1" si="201"/>
        <v/>
      </c>
      <c r="BJ135" t="str">
        <f t="shared" ca="1" si="202"/>
        <v/>
      </c>
      <c r="BK135" t="str">
        <f t="shared" ca="1" si="215"/>
        <v/>
      </c>
      <c r="BM135" t="str">
        <f t="shared" ca="1" si="216"/>
        <v/>
      </c>
      <c r="BN135" t="str">
        <f t="shared" ca="1" si="217"/>
        <v/>
      </c>
      <c r="BO135" t="str">
        <f t="shared" ca="1" si="203"/>
        <v/>
      </c>
      <c r="BP135" t="b">
        <f ca="1">COUNTIF(COLHELPER!A135:'COLHELPER'!A135,COLHELPER!A135)&gt;1</f>
        <v>0</v>
      </c>
      <c r="BQ135">
        <f t="shared" ca="1" si="204"/>
        <v>0</v>
      </c>
      <c r="BR135" s="290" t="str">
        <f t="shared" ca="1" si="220"/>
        <v/>
      </c>
      <c r="BS135" t="str">
        <f t="shared" ca="1" si="205"/>
        <v/>
      </c>
      <c r="BT135" t="str">
        <f t="shared" ca="1" si="218"/>
        <v/>
      </c>
      <c r="BU135" t="str">
        <f t="shared" ca="1" si="206"/>
        <v/>
      </c>
      <c r="BV135">
        <f t="shared" ca="1" si="207"/>
        <v>0</v>
      </c>
      <c r="BW135" t="str">
        <f t="shared" ca="1" si="208"/>
        <v/>
      </c>
      <c r="BX135" t="str">
        <f t="shared" ca="1" si="209"/>
        <v/>
      </c>
      <c r="BY135" t="str">
        <f ca="1">IF(R135="","",IF(R135&gt;Options!$B$3,"ALTER TABLE "&amp;HELPER!$B$4&amp;" ADD COLUMNS ("&amp;A135&amp;" "&amp;C135&amp;")",""))</f>
        <v/>
      </c>
      <c r="BZ135" t="str">
        <f ca="1">IF(R135="","",IF(R135&gt;Options!$B$3,A135,""))</f>
        <v/>
      </c>
      <c r="CA135" t="str">
        <f ca="1">IF(R135="","",IF(R135&gt;Options!$B$3,B135,""))</f>
        <v/>
      </c>
      <c r="CB135" t="str">
        <f t="shared" ca="1" si="210"/>
        <v/>
      </c>
      <c r="CC135">
        <f t="shared" ca="1" si="211"/>
        <v>0</v>
      </c>
      <c r="CD135" t="str">
        <f ca="1">IF(J135="","",Options!$B$23 &amp; "." &amp; J135)</f>
        <v/>
      </c>
    </row>
    <row r="136" spans="1:82">
      <c r="A136" s="161" t="str">
        <f t="array" aca="1" ref="A136" ca="1">IF(TRIM(INDIRECT("Columns!A136")) ="","",TRIM(INDIRECT("Columns!A136")))</f>
        <v/>
      </c>
      <c r="B136" s="161" t="str">
        <f t="shared" ca="1" si="179"/>
        <v/>
      </c>
      <c r="C136" s="161" t="str">
        <f t="shared" ca="1" si="180"/>
        <v/>
      </c>
      <c r="D136" s="161" t="str">
        <f t="shared" ca="1" si="181"/>
        <v/>
      </c>
      <c r="E136" s="161" t="str">
        <f t="array" aca="1" ref="E136" ca="1">IF(TRIM(INDIRECT("Columns!E136"))="","",TRIM(INDIRECT("Columns!E136")))</f>
        <v/>
      </c>
      <c r="F136" s="161" t="str">
        <f t="array" aca="1" ref="F136" ca="1">IF(TRIM(INDIRECT("Columns!G136"))="","",TRIM(INDIRECT("Columns!G136")))</f>
        <v/>
      </c>
      <c r="G136" s="161" t="str">
        <f t="array" aca="1" ref="G136" ca="1">IF(TRIM(INDIRECT("Columns!F136"))="","",TRIM(INDIRECT("Columns!F136")))</f>
        <v/>
      </c>
      <c r="H136" s="161" t="str">
        <f t="array" aca="1" ref="H136" ca="1">IF(TRIM(INDIRECT("Columns!H136"))="","",TRIM(INDIRECT("Columns!H136")))</f>
        <v/>
      </c>
      <c r="I136" s="161" t="str">
        <f t="array" aca="1" ref="I136" ca="1">IF(TRIM(INDIRECT("Columns!I136"))="","",TRIM(INDIRECT("Columns!I136")))</f>
        <v/>
      </c>
      <c r="J136" s="161" t="str">
        <f t="array" aca="1" ref="J136" ca="1">IF(TRIM(INDIRECT("Columns!J136"))="","",TRIM(INDIRECT("Columns!J136")))</f>
        <v/>
      </c>
      <c r="K136" s="161" t="str">
        <f t="array" aca="1" ref="K136" ca="1">IF(TRIM(INDIRECT("Columns!K136"))="","",TRIM(INDIRECT("Columns!K136")))</f>
        <v/>
      </c>
      <c r="L136" s="161" t="str">
        <f t="array" aca="1" ref="L136" ca="1">IF(TRIM(INDIRECT("Columns!L136"))="","",TRIM(INDIRECT("Columns!L136")))</f>
        <v/>
      </c>
      <c r="M136" s="161" t="str">
        <f t="array" aca="1" ref="M136" ca="1">IF(TRIM(INDIRECT("Columns!M136"))="","",TRIM(INDIRECT("Columns!M136")))</f>
        <v/>
      </c>
      <c r="N136" s="161" t="str">
        <f t="array" aca="1" ref="N136" ca="1">IF(TRIM(INDIRECT("Columns!N136"))="","",TRIM(INDIRECT("Columns!N136")))</f>
        <v/>
      </c>
      <c r="O136" s="227" t="str">
        <f t="array" aca="1" ref="O136" ca="1">IF(TRIM(INDIRECT("Columns!B136"))="","",TRIM(INDIRECT("Columns!B136")))</f>
        <v/>
      </c>
      <c r="P136" s="227" t="str">
        <f t="array" aca="1" ref="P136" ca="1">IF(TRIM(INDIRECT("Columns!C136"))="","",TRIM(INDIRECT("Columns!C136")))</f>
        <v/>
      </c>
      <c r="Q136" s="227" t="str">
        <f t="array" aca="1" ref="Q136" ca="1">IF(TRIM(INDIRECT("Columns!D136"))="","",TRIM(INDIRECT("Columns!D136")))</f>
        <v/>
      </c>
      <c r="R136" s="227" t="str">
        <f t="array" aca="1" ref="R136" ca="1">IF(TRIM(INDIRECT("Columns!O136"))="","",TRIM(INDIRECT("Columns!O136")))</f>
        <v/>
      </c>
      <c r="S136" t="str">
        <f t="shared" ca="1" si="182"/>
        <v/>
      </c>
      <c r="T136" t="str">
        <f t="shared" ca="1" si="183"/>
        <v/>
      </c>
      <c r="U136" t="str">
        <f t="shared" ca="1" si="184"/>
        <v/>
      </c>
      <c r="V136" t="str">
        <f t="shared" ca="1" si="185"/>
        <v/>
      </c>
      <c r="W136" t="str">
        <f t="shared" ca="1" si="186"/>
        <v/>
      </c>
      <c r="X136" t="str">
        <f t="shared" ca="1" si="187"/>
        <v/>
      </c>
      <c r="Y136" t="str">
        <f t="shared" ca="1" si="188"/>
        <v/>
      </c>
      <c r="Z136" t="str">
        <f t="shared" ca="1" si="212"/>
        <v/>
      </c>
      <c r="AA136" t="str">
        <f ca="1">IF(E136="1",   IF( A136="","",IF(OR(F136="1",H136="1",I136="1"),"","COALESCE (CAST("&amp;A136&amp;" as varchar(" &amp; Options!$B$49&amp; ")),'')")),"")</f>
        <v/>
      </c>
      <c r="AB136" t="str">
        <f ca="1">IF(E136="1", IF(C136="string",  IF( A136="","",IF(OR(F136="1",H136="1",I136="1"),"","COALESCE (CAST(lower("&amp;A136&amp;") as varchar(" &amp;Options!$B$49 &amp; ")),'')")),AA136),"")</f>
        <v/>
      </c>
      <c r="AC136" t="str">
        <f ca="1">IF(E136="4",   IF( A136="","",IF(OR(F136="1",H136="1",I136="1"),"","COALESCE (CAST("  &amp;A136&amp;" as varchar(" &amp; Options!$B$49&amp; ")),'')")),"")</f>
        <v/>
      </c>
      <c r="AD136" t="str">
        <f ca="1">IF(E136="4",   IF( A136="","",IF(OR(F136="1",H136="1",I136="1"),"","COALESCE (CAST(" &amp; HELPER!$B$94 &amp; "."  &amp;A136&amp;" as varchar(" &amp; Options!$B$49&amp; ")),'')")),"")</f>
        <v/>
      </c>
      <c r="AE136" t="str">
        <f t="shared" ca="1" si="189"/>
        <v/>
      </c>
      <c r="AF136" t="str">
        <f ca="1">IF(AE136&lt;&gt;"", HELPER!$B$93 &amp;  "." &amp; AE136,"")</f>
        <v/>
      </c>
      <c r="AG136" t="str">
        <f ca="1">IF(AE136&lt;&gt;"", HELPER!$B$94 &amp; "." &amp; AE136,"")</f>
        <v/>
      </c>
      <c r="AH136" t="str">
        <f t="shared" ca="1" si="213"/>
        <v/>
      </c>
      <c r="AI136" t="str">
        <f t="shared" ca="1" si="190"/>
        <v/>
      </c>
      <c r="AJ136" t="str">
        <f t="shared" ca="1" si="191"/>
        <v/>
      </c>
      <c r="AK136" t="str">
        <f ca="1">IF(E136="4", HELPER!$B$94 &amp;  "." &amp; A136,"")</f>
        <v/>
      </c>
      <c r="AL136" t="str">
        <f ca="1">IF(E136="4", HELPER!$B$93 &amp;  "." &amp; A136,"")</f>
        <v/>
      </c>
      <c r="AM136" t="str">
        <f t="shared" ca="1" si="192"/>
        <v/>
      </c>
      <c r="AN136" t="str">
        <f t="shared" ca="1" si="193"/>
        <v/>
      </c>
      <c r="AO136" t="str">
        <f ca="1">IF(A136&lt;&gt;"", IF(OR(F136="1",H136="1",I136="1"),""," "&amp; HELPER!$B$94 &amp; "." &amp; A136),"")</f>
        <v/>
      </c>
      <c r="AP136" t="str">
        <f t="shared" ca="1" si="194"/>
        <v/>
      </c>
      <c r="AQ136" t="str">
        <f t="shared" ca="1" si="219"/>
        <v/>
      </c>
      <c r="AS136" t="str">
        <f ca="1">IF(A136="","",  HELPER!$B$94 &amp;  "." &amp; A136)</f>
        <v/>
      </c>
      <c r="AT136" t="str">
        <f t="shared" ca="1" si="195"/>
        <v/>
      </c>
      <c r="AU136" t="str">
        <f t="shared" ca="1" si="196"/>
        <v/>
      </c>
      <c r="AV136" s="190" t="str">
        <f t="shared" ca="1" si="197"/>
        <v/>
      </c>
      <c r="AW136" t="str">
        <f t="shared" ca="1" si="198"/>
        <v/>
      </c>
      <c r="AY136" t="str">
        <f t="shared" ca="1" si="199"/>
        <v/>
      </c>
      <c r="BF136" t="str">
        <f t="shared" ca="1" si="200"/>
        <v/>
      </c>
      <c r="BH136" s="285" t="str">
        <f t="shared" ca="1" si="214"/>
        <v/>
      </c>
      <c r="BI136" t="str">
        <f t="shared" ca="1" si="201"/>
        <v/>
      </c>
      <c r="BJ136" t="str">
        <f t="shared" ca="1" si="202"/>
        <v/>
      </c>
      <c r="BK136" t="str">
        <f t="shared" ca="1" si="215"/>
        <v/>
      </c>
      <c r="BM136" t="str">
        <f t="shared" ca="1" si="216"/>
        <v/>
      </c>
      <c r="BN136" t="str">
        <f t="shared" ca="1" si="217"/>
        <v/>
      </c>
      <c r="BO136" t="str">
        <f t="shared" ca="1" si="203"/>
        <v/>
      </c>
      <c r="BP136" t="b">
        <f ca="1">COUNTIF(COLHELPER!A136:'COLHELPER'!A136,COLHELPER!A136)&gt;1</f>
        <v>0</v>
      </c>
      <c r="BQ136">
        <f t="shared" ca="1" si="204"/>
        <v>0</v>
      </c>
      <c r="BR136" s="290" t="str">
        <f t="shared" ca="1" si="220"/>
        <v/>
      </c>
      <c r="BS136" t="str">
        <f t="shared" ca="1" si="205"/>
        <v/>
      </c>
      <c r="BT136" t="str">
        <f t="shared" ca="1" si="218"/>
        <v/>
      </c>
      <c r="BU136" t="str">
        <f t="shared" ca="1" si="206"/>
        <v/>
      </c>
      <c r="BV136">
        <f t="shared" ca="1" si="207"/>
        <v>0</v>
      </c>
      <c r="BW136" t="str">
        <f t="shared" ca="1" si="208"/>
        <v/>
      </c>
      <c r="BX136" t="str">
        <f t="shared" ca="1" si="209"/>
        <v/>
      </c>
      <c r="BY136" t="str">
        <f ca="1">IF(R136="","",IF(R136&gt;Options!$B$3,"ALTER TABLE "&amp;HELPER!$B$4&amp;" ADD COLUMNS ("&amp;A136&amp;" "&amp;C136&amp;")",""))</f>
        <v/>
      </c>
      <c r="BZ136" t="str">
        <f ca="1">IF(R136="","",IF(R136&gt;Options!$B$3,A136,""))</f>
        <v/>
      </c>
      <c r="CA136" t="str">
        <f ca="1">IF(R136="","",IF(R136&gt;Options!$B$3,B136,""))</f>
        <v/>
      </c>
      <c r="CB136" t="str">
        <f t="shared" ca="1" si="210"/>
        <v/>
      </c>
      <c r="CC136">
        <f t="shared" ca="1" si="211"/>
        <v>0</v>
      </c>
      <c r="CD136" t="str">
        <f ca="1">IF(J136="","",Options!$B$23 &amp; "." &amp; J136)</f>
        <v/>
      </c>
    </row>
    <row r="137" spans="1:82">
      <c r="A137" s="161" t="str">
        <f t="array" aca="1" ref="A137" ca="1">IF(TRIM(INDIRECT("Columns!A137")) ="","",TRIM(INDIRECT("Columns!A137")))</f>
        <v/>
      </c>
      <c r="B137" s="161" t="str">
        <f t="shared" ca="1" si="179"/>
        <v/>
      </c>
      <c r="C137" s="161" t="str">
        <f t="shared" ca="1" si="180"/>
        <v/>
      </c>
      <c r="D137" s="161" t="str">
        <f t="shared" ca="1" si="181"/>
        <v/>
      </c>
      <c r="E137" s="161" t="str">
        <f t="array" aca="1" ref="E137" ca="1">IF(TRIM(INDIRECT("Columns!E137"))="","",TRIM(INDIRECT("Columns!E137")))</f>
        <v/>
      </c>
      <c r="F137" s="161" t="str">
        <f t="array" aca="1" ref="F137" ca="1">IF(TRIM(INDIRECT("Columns!G137"))="","",TRIM(INDIRECT("Columns!G137")))</f>
        <v/>
      </c>
      <c r="G137" s="161" t="str">
        <f t="array" aca="1" ref="G137" ca="1">IF(TRIM(INDIRECT("Columns!F137"))="","",TRIM(INDIRECT("Columns!F137")))</f>
        <v/>
      </c>
      <c r="H137" s="161" t="str">
        <f t="array" aca="1" ref="H137" ca="1">IF(TRIM(INDIRECT("Columns!H137"))="","",TRIM(INDIRECT("Columns!H137")))</f>
        <v/>
      </c>
      <c r="I137" s="161" t="str">
        <f t="array" aca="1" ref="I137" ca="1">IF(TRIM(INDIRECT("Columns!I137"))="","",TRIM(INDIRECT("Columns!I137")))</f>
        <v/>
      </c>
      <c r="J137" s="161" t="str">
        <f t="array" aca="1" ref="J137" ca="1">IF(TRIM(INDIRECT("Columns!J137"))="","",TRIM(INDIRECT("Columns!J137")))</f>
        <v/>
      </c>
      <c r="K137" s="161" t="str">
        <f t="array" aca="1" ref="K137" ca="1">IF(TRIM(INDIRECT("Columns!K137"))="","",TRIM(INDIRECT("Columns!K137")))</f>
        <v/>
      </c>
      <c r="L137" s="161" t="str">
        <f t="array" aca="1" ref="L137" ca="1">IF(TRIM(INDIRECT("Columns!L137"))="","",TRIM(INDIRECT("Columns!L137")))</f>
        <v/>
      </c>
      <c r="M137" s="161" t="str">
        <f t="array" aca="1" ref="M137" ca="1">IF(TRIM(INDIRECT("Columns!M137"))="","",TRIM(INDIRECT("Columns!M137")))</f>
        <v/>
      </c>
      <c r="N137" s="161" t="str">
        <f t="array" aca="1" ref="N137" ca="1">IF(TRIM(INDIRECT("Columns!N137"))="","",TRIM(INDIRECT("Columns!N137")))</f>
        <v/>
      </c>
      <c r="O137" s="227" t="str">
        <f t="array" aca="1" ref="O137" ca="1">IF(TRIM(INDIRECT("Columns!B137"))="","",TRIM(INDIRECT("Columns!B137")))</f>
        <v/>
      </c>
      <c r="P137" s="227" t="str">
        <f t="array" aca="1" ref="P137" ca="1">IF(TRIM(INDIRECT("Columns!C137"))="","",TRIM(INDIRECT("Columns!C137")))</f>
        <v/>
      </c>
      <c r="Q137" s="227" t="str">
        <f t="array" aca="1" ref="Q137" ca="1">IF(TRIM(INDIRECT("Columns!D137"))="","",TRIM(INDIRECT("Columns!D137")))</f>
        <v/>
      </c>
      <c r="R137" s="227" t="str">
        <f t="array" aca="1" ref="R137" ca="1">IF(TRIM(INDIRECT("Columns!O137"))="","",TRIM(INDIRECT("Columns!O137")))</f>
        <v/>
      </c>
      <c r="S137" t="str">
        <f t="shared" ca="1" si="182"/>
        <v/>
      </c>
      <c r="T137" t="str">
        <f t="shared" ca="1" si="183"/>
        <v/>
      </c>
      <c r="U137" t="str">
        <f t="shared" ca="1" si="184"/>
        <v/>
      </c>
      <c r="V137" t="str">
        <f t="shared" ca="1" si="185"/>
        <v/>
      </c>
      <c r="W137" t="str">
        <f t="shared" ca="1" si="186"/>
        <v/>
      </c>
      <c r="X137" t="str">
        <f t="shared" ca="1" si="187"/>
        <v/>
      </c>
      <c r="Y137" t="str">
        <f t="shared" ca="1" si="188"/>
        <v/>
      </c>
      <c r="Z137" t="str">
        <f t="shared" ca="1" si="212"/>
        <v/>
      </c>
      <c r="AA137" t="str">
        <f ca="1">IF(E137="1",   IF( A137="","",IF(OR(F137="1",H137="1",I137="1"),"","COALESCE (CAST("&amp;A137&amp;" as varchar(" &amp; Options!$B$49&amp; ")),'')")),"")</f>
        <v/>
      </c>
      <c r="AB137" t="str">
        <f ca="1">IF(E137="1", IF(C137="string",  IF( A137="","",IF(OR(F137="1",H137="1",I137="1"),"","COALESCE (CAST(lower("&amp;A137&amp;") as varchar(" &amp;Options!$B$49 &amp; ")),'')")),AA137),"")</f>
        <v/>
      </c>
      <c r="AC137" t="str">
        <f ca="1">IF(E137="4",   IF( A137="","",IF(OR(F137="1",H137="1",I137="1"),"","COALESCE (CAST("  &amp;A137&amp;" as varchar(" &amp; Options!$B$49&amp; ")),'')")),"")</f>
        <v/>
      </c>
      <c r="AD137" t="str">
        <f ca="1">IF(E137="4",   IF( A137="","",IF(OR(F137="1",H137="1",I137="1"),"","COALESCE (CAST(" &amp; HELPER!$B$94 &amp; "."  &amp;A137&amp;" as varchar(" &amp; Options!$B$49&amp; ")),'')")),"")</f>
        <v/>
      </c>
      <c r="AE137" t="str">
        <f t="shared" ca="1" si="189"/>
        <v/>
      </c>
      <c r="AF137" t="str">
        <f ca="1">IF(AE137&lt;&gt;"", HELPER!$B$93 &amp;  "." &amp; AE137,"")</f>
        <v/>
      </c>
      <c r="AG137" t="str">
        <f ca="1">IF(AE137&lt;&gt;"", HELPER!$B$94 &amp; "." &amp; AE137,"")</f>
        <v/>
      </c>
      <c r="AH137" t="str">
        <f t="shared" ca="1" si="213"/>
        <v/>
      </c>
      <c r="AI137" t="str">
        <f t="shared" ca="1" si="190"/>
        <v/>
      </c>
      <c r="AJ137" t="str">
        <f t="shared" ca="1" si="191"/>
        <v/>
      </c>
      <c r="AK137" t="str">
        <f ca="1">IF(E137="4", HELPER!$B$94 &amp;  "." &amp; A137,"")</f>
        <v/>
      </c>
      <c r="AL137" t="str">
        <f ca="1">IF(E137="4", HELPER!$B$93 &amp;  "." &amp; A137,"")</f>
        <v/>
      </c>
      <c r="AM137" t="str">
        <f t="shared" ca="1" si="192"/>
        <v/>
      </c>
      <c r="AN137" t="str">
        <f t="shared" ca="1" si="193"/>
        <v/>
      </c>
      <c r="AO137" t="str">
        <f ca="1">IF(A137&lt;&gt;"", IF(OR(F137="1",H137="1",I137="1"),""," "&amp; HELPER!$B$94 &amp; "." &amp; A137),"")</f>
        <v/>
      </c>
      <c r="AP137" t="str">
        <f t="shared" ca="1" si="194"/>
        <v/>
      </c>
      <c r="AQ137" t="str">
        <f t="shared" ca="1" si="219"/>
        <v/>
      </c>
      <c r="AS137" t="str">
        <f ca="1">IF(A137="","",  HELPER!$B$94 &amp;  "." &amp; A137)</f>
        <v/>
      </c>
      <c r="AT137" t="str">
        <f t="shared" ca="1" si="195"/>
        <v/>
      </c>
      <c r="AU137" t="str">
        <f t="shared" ca="1" si="196"/>
        <v/>
      </c>
      <c r="AV137" s="190" t="str">
        <f t="shared" ca="1" si="197"/>
        <v/>
      </c>
      <c r="AW137" t="str">
        <f t="shared" ca="1" si="198"/>
        <v/>
      </c>
      <c r="AY137" t="str">
        <f t="shared" ca="1" si="199"/>
        <v/>
      </c>
      <c r="BF137" t="str">
        <f t="shared" ca="1" si="200"/>
        <v/>
      </c>
      <c r="BH137" s="285" t="str">
        <f t="shared" ca="1" si="214"/>
        <v/>
      </c>
      <c r="BI137" t="str">
        <f t="shared" ca="1" si="201"/>
        <v/>
      </c>
      <c r="BJ137" t="str">
        <f t="shared" ca="1" si="202"/>
        <v/>
      </c>
      <c r="BK137" t="str">
        <f t="shared" ca="1" si="215"/>
        <v/>
      </c>
      <c r="BM137" t="str">
        <f t="shared" ca="1" si="216"/>
        <v/>
      </c>
      <c r="BN137" t="str">
        <f t="shared" ca="1" si="217"/>
        <v/>
      </c>
      <c r="BO137" t="str">
        <f t="shared" ca="1" si="203"/>
        <v/>
      </c>
      <c r="BP137" t="b">
        <f ca="1">COUNTIF(COLHELPER!A137:'COLHELPER'!A137,COLHELPER!A137)&gt;1</f>
        <v>0</v>
      </c>
      <c r="BQ137">
        <f t="shared" ca="1" si="204"/>
        <v>0</v>
      </c>
      <c r="BR137" s="290" t="str">
        <f t="shared" ca="1" si="220"/>
        <v/>
      </c>
      <c r="BS137" t="str">
        <f t="shared" ca="1" si="205"/>
        <v/>
      </c>
      <c r="BT137" t="str">
        <f t="shared" ca="1" si="218"/>
        <v/>
      </c>
      <c r="BU137" t="str">
        <f t="shared" ca="1" si="206"/>
        <v/>
      </c>
      <c r="BV137">
        <f t="shared" ca="1" si="207"/>
        <v>0</v>
      </c>
      <c r="BW137" t="str">
        <f t="shared" ca="1" si="208"/>
        <v/>
      </c>
      <c r="BX137" t="str">
        <f t="shared" ca="1" si="209"/>
        <v/>
      </c>
      <c r="BY137" t="str">
        <f ca="1">IF(R137="","",IF(R137&gt;Options!$B$3,"ALTER TABLE "&amp;HELPER!$B$4&amp;" ADD COLUMNS ("&amp;A137&amp;" "&amp;C137&amp;")",""))</f>
        <v/>
      </c>
      <c r="BZ137" t="str">
        <f ca="1">IF(R137="","",IF(R137&gt;Options!$B$3,A137,""))</f>
        <v/>
      </c>
      <c r="CA137" t="str">
        <f ca="1">IF(R137="","",IF(R137&gt;Options!$B$3,B137,""))</f>
        <v/>
      </c>
      <c r="CB137" t="str">
        <f t="shared" ca="1" si="210"/>
        <v/>
      </c>
      <c r="CC137">
        <f t="shared" ca="1" si="211"/>
        <v>0</v>
      </c>
      <c r="CD137" t="str">
        <f ca="1">IF(J137="","",Options!$B$23 &amp; "." &amp; J137)</f>
        <v/>
      </c>
    </row>
    <row r="138" spans="1:82">
      <c r="A138" s="161" t="str">
        <f t="array" aca="1" ref="A138" ca="1">IF(TRIM(INDIRECT("Columns!A138")) ="","",TRIM(INDIRECT("Columns!A138")))</f>
        <v/>
      </c>
      <c r="B138" s="161" t="str">
        <f t="shared" ca="1" si="179"/>
        <v/>
      </c>
      <c r="C138" s="161" t="str">
        <f t="shared" ca="1" si="180"/>
        <v/>
      </c>
      <c r="D138" s="161" t="str">
        <f t="shared" ca="1" si="181"/>
        <v/>
      </c>
      <c r="E138" s="161" t="str">
        <f t="array" aca="1" ref="E138" ca="1">IF(TRIM(INDIRECT("Columns!E138"))="","",TRIM(INDIRECT("Columns!E138")))</f>
        <v/>
      </c>
      <c r="F138" s="161" t="str">
        <f t="array" aca="1" ref="F138" ca="1">IF(TRIM(INDIRECT("Columns!G138"))="","",TRIM(INDIRECT("Columns!G138")))</f>
        <v/>
      </c>
      <c r="G138" s="161" t="str">
        <f t="array" aca="1" ref="G138" ca="1">IF(TRIM(INDIRECT("Columns!F138"))="","",TRIM(INDIRECT("Columns!F138")))</f>
        <v/>
      </c>
      <c r="H138" s="161" t="str">
        <f t="array" aca="1" ref="H138" ca="1">IF(TRIM(INDIRECT("Columns!H138"))="","",TRIM(INDIRECT("Columns!H138")))</f>
        <v/>
      </c>
      <c r="I138" s="161" t="str">
        <f t="array" aca="1" ref="I138" ca="1">IF(TRIM(INDIRECT("Columns!I138"))="","",TRIM(INDIRECT("Columns!I138")))</f>
        <v/>
      </c>
      <c r="J138" s="161" t="str">
        <f t="array" aca="1" ref="J138" ca="1">IF(TRIM(INDIRECT("Columns!J138"))="","",TRIM(INDIRECT("Columns!J138")))</f>
        <v/>
      </c>
      <c r="K138" s="161" t="str">
        <f t="array" aca="1" ref="K138" ca="1">IF(TRIM(INDIRECT("Columns!K138"))="","",TRIM(INDIRECT("Columns!K138")))</f>
        <v/>
      </c>
      <c r="L138" s="161" t="str">
        <f t="array" aca="1" ref="L138" ca="1">IF(TRIM(INDIRECT("Columns!L138"))="","",TRIM(INDIRECT("Columns!L138")))</f>
        <v/>
      </c>
      <c r="M138" s="161" t="str">
        <f t="array" aca="1" ref="M138" ca="1">IF(TRIM(INDIRECT("Columns!M138"))="","",TRIM(INDIRECT("Columns!M138")))</f>
        <v/>
      </c>
      <c r="N138" s="161" t="str">
        <f t="array" aca="1" ref="N138" ca="1">IF(TRIM(INDIRECT("Columns!N138"))="","",TRIM(INDIRECT("Columns!N138")))</f>
        <v/>
      </c>
      <c r="O138" s="227" t="str">
        <f t="array" aca="1" ref="O138" ca="1">IF(TRIM(INDIRECT("Columns!B138"))="","",TRIM(INDIRECT("Columns!B138")))</f>
        <v/>
      </c>
      <c r="P138" s="227" t="str">
        <f t="array" aca="1" ref="P138" ca="1">IF(TRIM(INDIRECT("Columns!C138"))="","",TRIM(INDIRECT("Columns!C138")))</f>
        <v/>
      </c>
      <c r="Q138" s="227" t="str">
        <f t="array" aca="1" ref="Q138" ca="1">IF(TRIM(INDIRECT("Columns!D138"))="","",TRIM(INDIRECT("Columns!D138")))</f>
        <v/>
      </c>
      <c r="R138" s="227" t="str">
        <f t="array" aca="1" ref="R138" ca="1">IF(TRIM(INDIRECT("Columns!O138"))="","",TRIM(INDIRECT("Columns!O138")))</f>
        <v/>
      </c>
      <c r="S138" t="str">
        <f t="shared" ca="1" si="182"/>
        <v/>
      </c>
      <c r="T138" t="str">
        <f t="shared" ca="1" si="183"/>
        <v/>
      </c>
      <c r="U138" t="str">
        <f t="shared" ca="1" si="184"/>
        <v/>
      </c>
      <c r="V138" t="str">
        <f t="shared" ca="1" si="185"/>
        <v/>
      </c>
      <c r="W138" t="str">
        <f t="shared" ca="1" si="186"/>
        <v/>
      </c>
      <c r="X138" t="str">
        <f t="shared" ca="1" si="187"/>
        <v/>
      </c>
      <c r="Y138" t="str">
        <f t="shared" ca="1" si="188"/>
        <v/>
      </c>
      <c r="Z138" t="str">
        <f t="shared" ca="1" si="212"/>
        <v/>
      </c>
      <c r="AA138" t="str">
        <f ca="1">IF(E138="1",   IF( A138="","",IF(OR(F138="1",H138="1",I138="1"),"","COALESCE (CAST("&amp;A138&amp;" as varchar(" &amp; Options!$B$49&amp; ")),'')")),"")</f>
        <v/>
      </c>
      <c r="AB138" t="str">
        <f ca="1">IF(E138="1", IF(C138="string",  IF( A138="","",IF(OR(F138="1",H138="1",I138="1"),"","COALESCE (CAST(lower("&amp;A138&amp;") as varchar(" &amp;Options!$B$49 &amp; ")),'')")),AA138),"")</f>
        <v/>
      </c>
      <c r="AC138" t="str">
        <f ca="1">IF(E138="4",   IF( A138="","",IF(OR(F138="1",H138="1",I138="1"),"","COALESCE (CAST("  &amp;A138&amp;" as varchar(" &amp; Options!$B$49&amp; ")),'')")),"")</f>
        <v/>
      </c>
      <c r="AD138" t="str">
        <f ca="1">IF(E138="4",   IF( A138="","",IF(OR(F138="1",H138="1",I138="1"),"","COALESCE (CAST(" &amp; HELPER!$B$94 &amp; "."  &amp;A138&amp;" as varchar(" &amp; Options!$B$49&amp; ")),'')")),"")</f>
        <v/>
      </c>
      <c r="AE138" t="str">
        <f t="shared" ca="1" si="189"/>
        <v/>
      </c>
      <c r="AF138" t="str">
        <f ca="1">IF(AE138&lt;&gt;"", HELPER!$B$93 &amp;  "." &amp; AE138,"")</f>
        <v/>
      </c>
      <c r="AG138" t="str">
        <f ca="1">IF(AE138&lt;&gt;"", HELPER!$B$94 &amp; "." &amp; AE138,"")</f>
        <v/>
      </c>
      <c r="AH138" t="str">
        <f t="shared" ca="1" si="213"/>
        <v/>
      </c>
      <c r="AI138" t="str">
        <f t="shared" ca="1" si="190"/>
        <v/>
      </c>
      <c r="AJ138" t="str">
        <f t="shared" ca="1" si="191"/>
        <v/>
      </c>
      <c r="AK138" t="str">
        <f ca="1">IF(E138="4", HELPER!$B$94 &amp;  "." &amp; A138,"")</f>
        <v/>
      </c>
      <c r="AL138" t="str">
        <f ca="1">IF(E138="4", HELPER!$B$93 &amp;  "." &amp; A138,"")</f>
        <v/>
      </c>
      <c r="AM138" t="str">
        <f t="shared" ca="1" si="192"/>
        <v/>
      </c>
      <c r="AN138" t="str">
        <f t="shared" ca="1" si="193"/>
        <v/>
      </c>
      <c r="AO138" t="str">
        <f ca="1">IF(A138&lt;&gt;"", IF(OR(F138="1",H138="1",I138="1"),""," "&amp; HELPER!$B$94 &amp; "." &amp; A138),"")</f>
        <v/>
      </c>
      <c r="AP138" t="str">
        <f t="shared" ca="1" si="194"/>
        <v/>
      </c>
      <c r="AQ138" t="str">
        <f t="shared" ca="1" si="219"/>
        <v/>
      </c>
      <c r="AS138" t="str">
        <f ca="1">IF(A138="","",  HELPER!$B$94 &amp;  "." &amp; A138)</f>
        <v/>
      </c>
      <c r="AT138" t="str">
        <f t="shared" ca="1" si="195"/>
        <v/>
      </c>
      <c r="AU138" t="str">
        <f t="shared" ca="1" si="196"/>
        <v/>
      </c>
      <c r="AV138" s="190" t="str">
        <f t="shared" ca="1" si="197"/>
        <v/>
      </c>
      <c r="AW138" t="str">
        <f t="shared" ca="1" si="198"/>
        <v/>
      </c>
      <c r="AY138" t="str">
        <f t="shared" ca="1" si="199"/>
        <v/>
      </c>
      <c r="BF138" t="str">
        <f t="shared" ca="1" si="200"/>
        <v/>
      </c>
      <c r="BH138" s="285" t="str">
        <f t="shared" ca="1" si="214"/>
        <v/>
      </c>
      <c r="BI138" t="str">
        <f t="shared" ca="1" si="201"/>
        <v/>
      </c>
      <c r="BJ138" t="str">
        <f t="shared" ca="1" si="202"/>
        <v/>
      </c>
      <c r="BK138" t="str">
        <f t="shared" ca="1" si="215"/>
        <v/>
      </c>
      <c r="BM138" t="str">
        <f t="shared" ca="1" si="216"/>
        <v/>
      </c>
      <c r="BN138" t="str">
        <f t="shared" ca="1" si="217"/>
        <v/>
      </c>
      <c r="BO138" t="str">
        <f t="shared" ca="1" si="203"/>
        <v/>
      </c>
      <c r="BP138" t="b">
        <f ca="1">COUNTIF(COLHELPER!A138:'COLHELPER'!A138,COLHELPER!A138)&gt;1</f>
        <v>0</v>
      </c>
      <c r="BQ138">
        <f t="shared" ca="1" si="204"/>
        <v>0</v>
      </c>
      <c r="BR138" s="290" t="str">
        <f t="shared" ca="1" si="220"/>
        <v/>
      </c>
      <c r="BS138" t="str">
        <f t="shared" ca="1" si="205"/>
        <v/>
      </c>
      <c r="BT138" t="str">
        <f t="shared" ca="1" si="218"/>
        <v/>
      </c>
      <c r="BU138" t="str">
        <f t="shared" ca="1" si="206"/>
        <v/>
      </c>
      <c r="BV138">
        <f t="shared" ca="1" si="207"/>
        <v>0</v>
      </c>
      <c r="BW138" t="str">
        <f t="shared" ca="1" si="208"/>
        <v/>
      </c>
      <c r="BX138" t="str">
        <f t="shared" ca="1" si="209"/>
        <v/>
      </c>
      <c r="BY138" t="str">
        <f ca="1">IF(R138="","",IF(R138&gt;Options!$B$3,"ALTER TABLE "&amp;HELPER!$B$4&amp;" ADD COLUMNS ("&amp;A138&amp;" "&amp;C138&amp;")",""))</f>
        <v/>
      </c>
      <c r="BZ138" t="str">
        <f ca="1">IF(R138="","",IF(R138&gt;Options!$B$3,A138,""))</f>
        <v/>
      </c>
      <c r="CA138" t="str">
        <f ca="1">IF(R138="","",IF(R138&gt;Options!$B$3,B138,""))</f>
        <v/>
      </c>
      <c r="CB138" t="str">
        <f t="shared" ca="1" si="210"/>
        <v/>
      </c>
      <c r="CC138">
        <f t="shared" ca="1" si="211"/>
        <v>0</v>
      </c>
      <c r="CD138" t="str">
        <f ca="1">IF(J138="","",Options!$B$23 &amp; "." &amp; J138)</f>
        <v/>
      </c>
    </row>
    <row r="139" spans="1:82">
      <c r="A139" s="161" t="str">
        <f t="array" aca="1" ref="A139" ca="1">IF(TRIM(INDIRECT("Columns!A139")) ="","",TRIM(INDIRECT("Columns!A139")))</f>
        <v/>
      </c>
      <c r="B139" s="161" t="str">
        <f t="shared" ca="1" si="179"/>
        <v/>
      </c>
      <c r="C139" s="161" t="str">
        <f t="shared" ca="1" si="180"/>
        <v/>
      </c>
      <c r="D139" s="161" t="str">
        <f t="shared" ca="1" si="181"/>
        <v/>
      </c>
      <c r="E139" s="161" t="str">
        <f t="array" aca="1" ref="E139" ca="1">IF(TRIM(INDIRECT("Columns!E139"))="","",TRIM(INDIRECT("Columns!E139")))</f>
        <v/>
      </c>
      <c r="F139" s="161" t="str">
        <f t="array" aca="1" ref="F139" ca="1">IF(TRIM(INDIRECT("Columns!G139"))="","",TRIM(INDIRECT("Columns!G139")))</f>
        <v/>
      </c>
      <c r="G139" s="161" t="str">
        <f t="array" aca="1" ref="G139" ca="1">IF(TRIM(INDIRECT("Columns!F139"))="","",TRIM(INDIRECT("Columns!F139")))</f>
        <v/>
      </c>
      <c r="H139" s="161" t="str">
        <f t="array" aca="1" ref="H139" ca="1">IF(TRIM(INDIRECT("Columns!H139"))="","",TRIM(INDIRECT("Columns!H139")))</f>
        <v/>
      </c>
      <c r="I139" s="161" t="str">
        <f t="array" aca="1" ref="I139" ca="1">IF(TRIM(INDIRECT("Columns!I139"))="","",TRIM(INDIRECT("Columns!I139")))</f>
        <v/>
      </c>
      <c r="J139" s="161" t="str">
        <f t="array" aca="1" ref="J139" ca="1">IF(TRIM(INDIRECT("Columns!J139"))="","",TRIM(INDIRECT("Columns!J139")))</f>
        <v/>
      </c>
      <c r="K139" s="161" t="str">
        <f t="array" aca="1" ref="K139" ca="1">IF(TRIM(INDIRECT("Columns!K139"))="","",TRIM(INDIRECT("Columns!K139")))</f>
        <v/>
      </c>
      <c r="L139" s="161" t="str">
        <f t="array" aca="1" ref="L139" ca="1">IF(TRIM(INDIRECT("Columns!L139"))="","",TRIM(INDIRECT("Columns!L139")))</f>
        <v/>
      </c>
      <c r="M139" s="161" t="str">
        <f t="array" aca="1" ref="M139" ca="1">IF(TRIM(INDIRECT("Columns!M139"))="","",TRIM(INDIRECT("Columns!M139")))</f>
        <v/>
      </c>
      <c r="N139" s="161" t="str">
        <f t="array" aca="1" ref="N139" ca="1">IF(TRIM(INDIRECT("Columns!N139"))="","",TRIM(INDIRECT("Columns!N139")))</f>
        <v/>
      </c>
      <c r="O139" s="227" t="str">
        <f t="array" aca="1" ref="O139" ca="1">IF(TRIM(INDIRECT("Columns!B139"))="","",TRIM(INDIRECT("Columns!B139")))</f>
        <v/>
      </c>
      <c r="P139" s="227" t="str">
        <f t="array" aca="1" ref="P139" ca="1">IF(TRIM(INDIRECT("Columns!C139"))="","",TRIM(INDIRECT("Columns!C139")))</f>
        <v/>
      </c>
      <c r="Q139" s="227" t="str">
        <f t="array" aca="1" ref="Q139" ca="1">IF(TRIM(INDIRECT("Columns!D139"))="","",TRIM(INDIRECT("Columns!D139")))</f>
        <v/>
      </c>
      <c r="R139" s="227" t="str">
        <f t="array" aca="1" ref="R139" ca="1">IF(TRIM(INDIRECT("Columns!O139"))="","",TRIM(INDIRECT("Columns!O139")))</f>
        <v/>
      </c>
      <c r="S139" t="str">
        <f t="shared" ca="1" si="182"/>
        <v/>
      </c>
      <c r="T139" t="str">
        <f t="shared" ca="1" si="183"/>
        <v/>
      </c>
      <c r="U139" t="str">
        <f t="shared" ca="1" si="184"/>
        <v/>
      </c>
      <c r="V139" t="str">
        <f t="shared" ca="1" si="185"/>
        <v/>
      </c>
      <c r="W139" t="str">
        <f t="shared" ca="1" si="186"/>
        <v/>
      </c>
      <c r="X139" t="str">
        <f t="shared" ca="1" si="187"/>
        <v/>
      </c>
      <c r="Y139" t="str">
        <f t="shared" ca="1" si="188"/>
        <v/>
      </c>
      <c r="Z139" t="str">
        <f t="shared" ca="1" si="212"/>
        <v/>
      </c>
      <c r="AA139" t="str">
        <f ca="1">IF(E139="1",   IF( A139="","",IF(OR(F139="1",H139="1",I139="1"),"","COALESCE (CAST("&amp;A139&amp;" as varchar(" &amp; Options!$B$49&amp; ")),'')")),"")</f>
        <v/>
      </c>
      <c r="AB139" t="str">
        <f ca="1">IF(E139="1", IF(C139="string",  IF( A139="","",IF(OR(F139="1",H139="1",I139="1"),"","COALESCE (CAST(lower("&amp;A139&amp;") as varchar(" &amp;Options!$B$49 &amp; ")),'')")),AA139),"")</f>
        <v/>
      </c>
      <c r="AC139" t="str">
        <f ca="1">IF(E139="4",   IF( A139="","",IF(OR(F139="1",H139="1",I139="1"),"","COALESCE (CAST("  &amp;A139&amp;" as varchar(" &amp; Options!$B$49&amp; ")),'')")),"")</f>
        <v/>
      </c>
      <c r="AD139" t="str">
        <f ca="1">IF(E139="4",   IF( A139="","",IF(OR(F139="1",H139="1",I139="1"),"","COALESCE (CAST(" &amp; HELPER!$B$94 &amp; "."  &amp;A139&amp;" as varchar(" &amp; Options!$B$49&amp; ")),'')")),"")</f>
        <v/>
      </c>
      <c r="AE139" t="str">
        <f t="shared" ca="1" si="189"/>
        <v/>
      </c>
      <c r="AF139" t="str">
        <f ca="1">IF(AE139&lt;&gt;"", HELPER!$B$93 &amp;  "." &amp; AE139,"")</f>
        <v/>
      </c>
      <c r="AG139" t="str">
        <f ca="1">IF(AE139&lt;&gt;"", HELPER!$B$94 &amp; "." &amp; AE139,"")</f>
        <v/>
      </c>
      <c r="AH139" t="str">
        <f t="shared" ca="1" si="213"/>
        <v/>
      </c>
      <c r="AI139" t="str">
        <f t="shared" ca="1" si="190"/>
        <v/>
      </c>
      <c r="AJ139" t="str">
        <f t="shared" ca="1" si="191"/>
        <v/>
      </c>
      <c r="AK139" t="str">
        <f ca="1">IF(E139="4", HELPER!$B$94 &amp;  "." &amp; A139,"")</f>
        <v/>
      </c>
      <c r="AL139" t="str">
        <f ca="1">IF(E139="4", HELPER!$B$93 &amp;  "." &amp; A139,"")</f>
        <v/>
      </c>
      <c r="AM139" t="str">
        <f t="shared" ca="1" si="192"/>
        <v/>
      </c>
      <c r="AN139" t="str">
        <f t="shared" ca="1" si="193"/>
        <v/>
      </c>
      <c r="AO139" t="str">
        <f ca="1">IF(A139&lt;&gt;"", IF(OR(F139="1",H139="1",I139="1"),""," "&amp; HELPER!$B$94 &amp; "." &amp; A139),"")</f>
        <v/>
      </c>
      <c r="AP139" t="str">
        <f t="shared" ca="1" si="194"/>
        <v/>
      </c>
      <c r="AQ139" t="str">
        <f t="shared" ca="1" si="219"/>
        <v/>
      </c>
      <c r="AS139" t="str">
        <f ca="1">IF(A139="","",  HELPER!$B$94 &amp;  "." &amp; A139)</f>
        <v/>
      </c>
      <c r="AT139" t="str">
        <f t="shared" ca="1" si="195"/>
        <v/>
      </c>
      <c r="AU139" t="str">
        <f t="shared" ca="1" si="196"/>
        <v/>
      </c>
      <c r="AV139" s="190" t="str">
        <f t="shared" ca="1" si="197"/>
        <v/>
      </c>
      <c r="AW139" t="str">
        <f t="shared" ca="1" si="198"/>
        <v/>
      </c>
      <c r="AY139" t="str">
        <f t="shared" ca="1" si="199"/>
        <v/>
      </c>
      <c r="BF139" t="str">
        <f t="shared" ca="1" si="200"/>
        <v/>
      </c>
      <c r="BH139" s="285" t="str">
        <f t="shared" ca="1" si="214"/>
        <v/>
      </c>
      <c r="BI139" t="str">
        <f t="shared" ca="1" si="201"/>
        <v/>
      </c>
      <c r="BJ139" t="str">
        <f t="shared" ca="1" si="202"/>
        <v/>
      </c>
      <c r="BK139" t="str">
        <f t="shared" ca="1" si="215"/>
        <v/>
      </c>
      <c r="BM139" t="str">
        <f t="shared" ca="1" si="216"/>
        <v/>
      </c>
      <c r="BN139" t="str">
        <f t="shared" ca="1" si="217"/>
        <v/>
      </c>
      <c r="BO139" t="str">
        <f t="shared" ca="1" si="203"/>
        <v/>
      </c>
      <c r="BP139" t="b">
        <f ca="1">COUNTIF(COLHELPER!A139:'COLHELPER'!A139,COLHELPER!A139)&gt;1</f>
        <v>0</v>
      </c>
      <c r="BQ139">
        <f t="shared" ca="1" si="204"/>
        <v>0</v>
      </c>
      <c r="BR139" s="290" t="str">
        <f t="shared" ca="1" si="220"/>
        <v/>
      </c>
      <c r="BS139" t="str">
        <f t="shared" ca="1" si="205"/>
        <v/>
      </c>
      <c r="BT139" t="str">
        <f t="shared" ca="1" si="218"/>
        <v/>
      </c>
      <c r="BU139" t="str">
        <f t="shared" ca="1" si="206"/>
        <v/>
      </c>
      <c r="BV139">
        <f t="shared" ca="1" si="207"/>
        <v>0</v>
      </c>
      <c r="BW139" t="str">
        <f t="shared" ca="1" si="208"/>
        <v/>
      </c>
      <c r="BX139" t="str">
        <f t="shared" ca="1" si="209"/>
        <v/>
      </c>
      <c r="BY139" t="str">
        <f ca="1">IF(R139="","",IF(R139&gt;Options!$B$3,"ALTER TABLE "&amp;HELPER!$B$4&amp;" ADD COLUMNS ("&amp;A139&amp;" "&amp;C139&amp;")",""))</f>
        <v/>
      </c>
      <c r="BZ139" t="str">
        <f ca="1">IF(R139="","",IF(R139&gt;Options!$B$3,A139,""))</f>
        <v/>
      </c>
      <c r="CA139" t="str">
        <f ca="1">IF(R139="","",IF(R139&gt;Options!$B$3,B139,""))</f>
        <v/>
      </c>
      <c r="CB139" t="str">
        <f t="shared" ca="1" si="210"/>
        <v/>
      </c>
      <c r="CC139">
        <f t="shared" ca="1" si="211"/>
        <v>0</v>
      </c>
      <c r="CD139" t="str">
        <f ca="1">IF(J139="","",Options!$B$23 &amp; "." &amp; J139)</f>
        <v/>
      </c>
    </row>
    <row r="140" spans="1:82">
      <c r="A140" s="161" t="str">
        <f t="array" aca="1" ref="A140" ca="1">IF(TRIM(INDIRECT("Columns!A140")) ="","",TRIM(INDIRECT("Columns!A140")))</f>
        <v/>
      </c>
      <c r="B140" s="161" t="str">
        <f t="shared" ca="1" si="179"/>
        <v/>
      </c>
      <c r="C140" s="161" t="str">
        <f t="shared" ca="1" si="180"/>
        <v/>
      </c>
      <c r="D140" s="161" t="str">
        <f t="shared" ca="1" si="181"/>
        <v/>
      </c>
      <c r="E140" s="161" t="str">
        <f t="array" aca="1" ref="E140" ca="1">IF(TRIM(INDIRECT("Columns!E140"))="","",TRIM(INDIRECT("Columns!E140")))</f>
        <v/>
      </c>
      <c r="F140" s="161" t="str">
        <f t="array" aca="1" ref="F140" ca="1">IF(TRIM(INDIRECT("Columns!G140"))="","",TRIM(INDIRECT("Columns!G140")))</f>
        <v/>
      </c>
      <c r="G140" s="161" t="str">
        <f t="array" aca="1" ref="G140" ca="1">IF(TRIM(INDIRECT("Columns!F140"))="","",TRIM(INDIRECT("Columns!F140")))</f>
        <v/>
      </c>
      <c r="H140" s="161" t="str">
        <f t="array" aca="1" ref="H140" ca="1">IF(TRIM(INDIRECT("Columns!H140"))="","",TRIM(INDIRECT("Columns!H140")))</f>
        <v/>
      </c>
      <c r="I140" s="161" t="str">
        <f t="array" aca="1" ref="I140" ca="1">IF(TRIM(INDIRECT("Columns!I140"))="","",TRIM(INDIRECT("Columns!I140")))</f>
        <v/>
      </c>
      <c r="J140" s="161" t="str">
        <f t="array" aca="1" ref="J140" ca="1">IF(TRIM(INDIRECT("Columns!J140"))="","",TRIM(INDIRECT("Columns!J140")))</f>
        <v/>
      </c>
      <c r="K140" s="161" t="str">
        <f t="array" aca="1" ref="K140" ca="1">IF(TRIM(INDIRECT("Columns!K140"))="","",TRIM(INDIRECT("Columns!K140")))</f>
        <v/>
      </c>
      <c r="L140" s="161" t="str">
        <f t="array" aca="1" ref="L140" ca="1">IF(TRIM(INDIRECT("Columns!L140"))="","",TRIM(INDIRECT("Columns!L140")))</f>
        <v/>
      </c>
      <c r="M140" s="161" t="str">
        <f t="array" aca="1" ref="M140" ca="1">IF(TRIM(INDIRECT("Columns!M140"))="","",TRIM(INDIRECT("Columns!M140")))</f>
        <v/>
      </c>
      <c r="N140" s="161" t="str">
        <f t="array" aca="1" ref="N140" ca="1">IF(TRIM(INDIRECT("Columns!N140"))="","",TRIM(INDIRECT("Columns!N140")))</f>
        <v/>
      </c>
      <c r="O140" s="227" t="str">
        <f t="array" aca="1" ref="O140" ca="1">IF(TRIM(INDIRECT("Columns!B140"))="","",TRIM(INDIRECT("Columns!B140")))</f>
        <v/>
      </c>
      <c r="P140" s="227" t="str">
        <f t="array" aca="1" ref="P140" ca="1">IF(TRIM(INDIRECT("Columns!C140"))="","",TRIM(INDIRECT("Columns!C140")))</f>
        <v/>
      </c>
      <c r="Q140" s="227" t="str">
        <f t="array" aca="1" ref="Q140" ca="1">IF(TRIM(INDIRECT("Columns!D140"))="","",TRIM(INDIRECT("Columns!D140")))</f>
        <v/>
      </c>
      <c r="R140" s="227" t="str">
        <f t="array" aca="1" ref="R140" ca="1">IF(TRIM(INDIRECT("Columns!O140"))="","",TRIM(INDIRECT("Columns!O140")))</f>
        <v/>
      </c>
      <c r="S140" t="str">
        <f t="shared" ca="1" si="182"/>
        <v/>
      </c>
      <c r="T140" t="str">
        <f t="shared" ca="1" si="183"/>
        <v/>
      </c>
      <c r="U140" t="str">
        <f t="shared" ca="1" si="184"/>
        <v/>
      </c>
      <c r="V140" t="str">
        <f t="shared" ca="1" si="185"/>
        <v/>
      </c>
      <c r="W140" t="str">
        <f t="shared" ca="1" si="186"/>
        <v/>
      </c>
      <c r="X140" t="str">
        <f t="shared" ca="1" si="187"/>
        <v/>
      </c>
      <c r="Y140" t="str">
        <f t="shared" ca="1" si="188"/>
        <v/>
      </c>
      <c r="Z140" t="str">
        <f t="shared" ca="1" si="212"/>
        <v/>
      </c>
      <c r="AA140" t="str">
        <f ca="1">IF(E140="1",   IF( A140="","",IF(OR(F140="1",H140="1",I140="1"),"","COALESCE (CAST("&amp;A140&amp;" as varchar(" &amp; Options!$B$49&amp; ")),'')")),"")</f>
        <v/>
      </c>
      <c r="AB140" t="str">
        <f ca="1">IF(E140="1", IF(C140="string",  IF( A140="","",IF(OR(F140="1",H140="1",I140="1"),"","COALESCE (CAST(lower("&amp;A140&amp;") as varchar(" &amp;Options!$B$49 &amp; ")),'')")),AA140),"")</f>
        <v/>
      </c>
      <c r="AC140" t="str">
        <f ca="1">IF(E140="4",   IF( A140="","",IF(OR(F140="1",H140="1",I140="1"),"","COALESCE (CAST("  &amp;A140&amp;" as varchar(" &amp; Options!$B$49&amp; ")),'')")),"")</f>
        <v/>
      </c>
      <c r="AD140" t="str">
        <f ca="1">IF(E140="4",   IF( A140="","",IF(OR(F140="1",H140="1",I140="1"),"","COALESCE (CAST(" &amp; HELPER!$B$94 &amp; "."  &amp;A140&amp;" as varchar(" &amp; Options!$B$49&amp; ")),'')")),"")</f>
        <v/>
      </c>
      <c r="AE140" t="str">
        <f t="shared" ca="1" si="189"/>
        <v/>
      </c>
      <c r="AF140" t="str">
        <f ca="1">IF(AE140&lt;&gt;"", HELPER!$B$93 &amp;  "." &amp; AE140,"")</f>
        <v/>
      </c>
      <c r="AG140" t="str">
        <f ca="1">IF(AE140&lt;&gt;"", HELPER!$B$94 &amp; "." &amp; AE140,"")</f>
        <v/>
      </c>
      <c r="AH140" t="str">
        <f t="shared" ca="1" si="213"/>
        <v/>
      </c>
      <c r="AI140" t="str">
        <f t="shared" ca="1" si="190"/>
        <v/>
      </c>
      <c r="AJ140" t="str">
        <f t="shared" ca="1" si="191"/>
        <v/>
      </c>
      <c r="AK140" t="str">
        <f ca="1">IF(E140="4", HELPER!$B$94 &amp;  "." &amp; A140,"")</f>
        <v/>
      </c>
      <c r="AL140" t="str">
        <f ca="1">IF(E140="4", HELPER!$B$93 &amp;  "." &amp; A140,"")</f>
        <v/>
      </c>
      <c r="AM140" t="str">
        <f t="shared" ca="1" si="192"/>
        <v/>
      </c>
      <c r="AN140" t="str">
        <f t="shared" ca="1" si="193"/>
        <v/>
      </c>
      <c r="AO140" t="str">
        <f ca="1">IF(A140&lt;&gt;"", IF(OR(F140="1",H140="1",I140="1"),""," "&amp; HELPER!$B$94 &amp; "." &amp; A140),"")</f>
        <v/>
      </c>
      <c r="AP140" t="str">
        <f t="shared" ca="1" si="194"/>
        <v/>
      </c>
      <c r="AQ140" t="str">
        <f t="shared" ca="1" si="219"/>
        <v/>
      </c>
      <c r="AS140" t="str">
        <f ca="1">IF(A140="","",  HELPER!$B$94 &amp;  "." &amp; A140)</f>
        <v/>
      </c>
      <c r="AT140" t="str">
        <f t="shared" ca="1" si="195"/>
        <v/>
      </c>
      <c r="AU140" t="str">
        <f t="shared" ca="1" si="196"/>
        <v/>
      </c>
      <c r="AV140" s="190" t="str">
        <f t="shared" ca="1" si="197"/>
        <v/>
      </c>
      <c r="AW140" t="str">
        <f t="shared" ca="1" si="198"/>
        <v/>
      </c>
      <c r="AY140" t="str">
        <f t="shared" ca="1" si="199"/>
        <v/>
      </c>
      <c r="BF140" t="str">
        <f t="shared" ca="1" si="200"/>
        <v/>
      </c>
      <c r="BH140" s="285" t="str">
        <f t="shared" ca="1" si="214"/>
        <v/>
      </c>
      <c r="BI140" t="str">
        <f t="shared" ca="1" si="201"/>
        <v/>
      </c>
      <c r="BJ140" t="str">
        <f t="shared" ca="1" si="202"/>
        <v/>
      </c>
      <c r="BK140" t="str">
        <f t="shared" ca="1" si="215"/>
        <v/>
      </c>
      <c r="BM140" t="str">
        <f t="shared" ca="1" si="216"/>
        <v/>
      </c>
      <c r="BN140" t="str">
        <f t="shared" ca="1" si="217"/>
        <v/>
      </c>
      <c r="BO140" t="str">
        <f t="shared" ca="1" si="203"/>
        <v/>
      </c>
      <c r="BP140" t="b">
        <f ca="1">COUNTIF(COLHELPER!A140:'COLHELPER'!A140,COLHELPER!A140)&gt;1</f>
        <v>0</v>
      </c>
      <c r="BQ140">
        <f t="shared" ca="1" si="204"/>
        <v>0</v>
      </c>
      <c r="BR140" s="290" t="str">
        <f t="shared" ca="1" si="220"/>
        <v/>
      </c>
      <c r="BS140" t="str">
        <f t="shared" ca="1" si="205"/>
        <v/>
      </c>
      <c r="BT140" t="str">
        <f t="shared" ca="1" si="218"/>
        <v/>
      </c>
      <c r="BU140" t="str">
        <f t="shared" ca="1" si="206"/>
        <v/>
      </c>
      <c r="BV140">
        <f t="shared" ca="1" si="207"/>
        <v>0</v>
      </c>
      <c r="BW140" t="str">
        <f t="shared" ca="1" si="208"/>
        <v/>
      </c>
      <c r="BX140" t="str">
        <f t="shared" ca="1" si="209"/>
        <v/>
      </c>
      <c r="BY140" t="str">
        <f ca="1">IF(R140="","",IF(R140&gt;Options!$B$3,"ALTER TABLE "&amp;HELPER!$B$4&amp;" ADD COLUMNS ("&amp;A140&amp;" "&amp;C140&amp;")",""))</f>
        <v/>
      </c>
      <c r="BZ140" t="str">
        <f ca="1">IF(R140="","",IF(R140&gt;Options!$B$3,A140,""))</f>
        <v/>
      </c>
      <c r="CA140" t="str">
        <f ca="1">IF(R140="","",IF(R140&gt;Options!$B$3,B140,""))</f>
        <v/>
      </c>
      <c r="CB140" t="str">
        <f t="shared" ca="1" si="210"/>
        <v/>
      </c>
      <c r="CC140">
        <f t="shared" ca="1" si="211"/>
        <v>0</v>
      </c>
      <c r="CD140" t="str">
        <f ca="1">IF(J140="","",Options!$B$23 &amp; "." &amp; J140)</f>
        <v/>
      </c>
    </row>
    <row r="141" spans="1:82">
      <c r="A141" s="161" t="str">
        <f t="array" aca="1" ref="A141" ca="1">IF(TRIM(INDIRECT("Columns!A141")) ="","",TRIM(INDIRECT("Columns!A141")))</f>
        <v/>
      </c>
      <c r="B141" s="161" t="str">
        <f t="shared" ca="1" si="179"/>
        <v/>
      </c>
      <c r="C141" s="161" t="str">
        <f t="shared" ca="1" si="180"/>
        <v/>
      </c>
      <c r="D141" s="161" t="str">
        <f t="shared" ca="1" si="181"/>
        <v/>
      </c>
      <c r="E141" s="161" t="str">
        <f t="array" aca="1" ref="E141" ca="1">IF(TRIM(INDIRECT("Columns!E141"))="","",TRIM(INDIRECT("Columns!E141")))</f>
        <v/>
      </c>
      <c r="F141" s="161" t="str">
        <f t="array" aca="1" ref="F141" ca="1">IF(TRIM(INDIRECT("Columns!G141"))="","",TRIM(INDIRECT("Columns!G141")))</f>
        <v/>
      </c>
      <c r="G141" s="161" t="str">
        <f t="array" aca="1" ref="G141" ca="1">IF(TRIM(INDIRECT("Columns!F141"))="","",TRIM(INDIRECT("Columns!F141")))</f>
        <v/>
      </c>
      <c r="H141" s="161" t="str">
        <f t="array" aca="1" ref="H141" ca="1">IF(TRIM(INDIRECT("Columns!H141"))="","",TRIM(INDIRECT("Columns!H141")))</f>
        <v/>
      </c>
      <c r="I141" s="161" t="str">
        <f t="array" aca="1" ref="I141" ca="1">IF(TRIM(INDIRECT("Columns!I141"))="","",TRIM(INDIRECT("Columns!I141")))</f>
        <v/>
      </c>
      <c r="J141" s="161" t="str">
        <f t="array" aca="1" ref="J141" ca="1">IF(TRIM(INDIRECT("Columns!J141"))="","",TRIM(INDIRECT("Columns!J141")))</f>
        <v/>
      </c>
      <c r="K141" s="161" t="str">
        <f t="array" aca="1" ref="K141" ca="1">IF(TRIM(INDIRECT("Columns!K141"))="","",TRIM(INDIRECT("Columns!K141")))</f>
        <v/>
      </c>
      <c r="L141" s="161" t="str">
        <f t="array" aca="1" ref="L141" ca="1">IF(TRIM(INDIRECT("Columns!L141"))="","",TRIM(INDIRECT("Columns!L141")))</f>
        <v/>
      </c>
      <c r="M141" s="161" t="str">
        <f t="array" aca="1" ref="M141" ca="1">IF(TRIM(INDIRECT("Columns!M141"))="","",TRIM(INDIRECT("Columns!M141")))</f>
        <v/>
      </c>
      <c r="N141" s="161" t="str">
        <f t="array" aca="1" ref="N141" ca="1">IF(TRIM(INDIRECT("Columns!N141"))="","",TRIM(INDIRECT("Columns!N141")))</f>
        <v/>
      </c>
      <c r="O141" s="227" t="str">
        <f t="array" aca="1" ref="O141" ca="1">IF(TRIM(INDIRECT("Columns!B141"))="","",TRIM(INDIRECT("Columns!B141")))</f>
        <v/>
      </c>
      <c r="P141" s="227" t="str">
        <f t="array" aca="1" ref="P141" ca="1">IF(TRIM(INDIRECT("Columns!C141"))="","",TRIM(INDIRECT("Columns!C141")))</f>
        <v/>
      </c>
      <c r="Q141" s="227" t="str">
        <f t="array" aca="1" ref="Q141" ca="1">IF(TRIM(INDIRECT("Columns!D141"))="","",TRIM(INDIRECT("Columns!D141")))</f>
        <v/>
      </c>
      <c r="R141" s="227" t="str">
        <f t="array" aca="1" ref="R141" ca="1">IF(TRIM(INDIRECT("Columns!O141"))="","",TRIM(INDIRECT("Columns!O141")))</f>
        <v/>
      </c>
      <c r="S141" t="str">
        <f t="shared" ca="1" si="182"/>
        <v/>
      </c>
      <c r="T141" t="str">
        <f t="shared" ca="1" si="183"/>
        <v/>
      </c>
      <c r="U141" t="str">
        <f t="shared" ca="1" si="184"/>
        <v/>
      </c>
      <c r="V141" t="str">
        <f t="shared" ca="1" si="185"/>
        <v/>
      </c>
      <c r="W141" t="str">
        <f t="shared" ca="1" si="186"/>
        <v/>
      </c>
      <c r="X141" t="str">
        <f t="shared" ca="1" si="187"/>
        <v/>
      </c>
      <c r="Y141" t="str">
        <f t="shared" ca="1" si="188"/>
        <v/>
      </c>
      <c r="Z141" t="str">
        <f t="shared" ca="1" si="212"/>
        <v/>
      </c>
      <c r="AA141" t="str">
        <f ca="1">IF(E141="1",   IF( A141="","",IF(OR(F141="1",H141="1",I141="1"),"","COALESCE (CAST("&amp;A141&amp;" as varchar(" &amp; Options!$B$49&amp; ")),'')")),"")</f>
        <v/>
      </c>
      <c r="AB141" t="str">
        <f ca="1">IF(E141="1", IF(C141="string",  IF( A141="","",IF(OR(F141="1",H141="1",I141="1"),"","COALESCE (CAST(lower("&amp;A141&amp;") as varchar(" &amp;Options!$B$49 &amp; ")),'')")),AA141),"")</f>
        <v/>
      </c>
      <c r="AC141" t="str">
        <f ca="1">IF(E141="4",   IF( A141="","",IF(OR(F141="1",H141="1",I141="1"),"","COALESCE (CAST("  &amp;A141&amp;" as varchar(" &amp; Options!$B$49&amp; ")),'')")),"")</f>
        <v/>
      </c>
      <c r="AD141" t="str">
        <f ca="1">IF(E141="4",   IF( A141="","",IF(OR(F141="1",H141="1",I141="1"),"","COALESCE (CAST(" &amp; HELPER!$B$94 &amp; "."  &amp;A141&amp;" as varchar(" &amp; Options!$B$49&amp; ")),'')")),"")</f>
        <v/>
      </c>
      <c r="AE141" t="str">
        <f t="shared" ca="1" si="189"/>
        <v/>
      </c>
      <c r="AF141" t="str">
        <f ca="1">IF(AE141&lt;&gt;"", HELPER!$B$93 &amp;  "." &amp; AE141,"")</f>
        <v/>
      </c>
      <c r="AG141" t="str">
        <f ca="1">IF(AE141&lt;&gt;"", HELPER!$B$94 &amp; "." &amp; AE141,"")</f>
        <v/>
      </c>
      <c r="AH141" t="str">
        <f t="shared" ca="1" si="213"/>
        <v/>
      </c>
      <c r="AI141" t="str">
        <f t="shared" ca="1" si="190"/>
        <v/>
      </c>
      <c r="AJ141" t="str">
        <f t="shared" ca="1" si="191"/>
        <v/>
      </c>
      <c r="AK141" t="str">
        <f ca="1">IF(E141="4", HELPER!$B$94 &amp;  "." &amp; A141,"")</f>
        <v/>
      </c>
      <c r="AL141" t="str">
        <f ca="1">IF(E141="4", HELPER!$B$93 &amp;  "." &amp; A141,"")</f>
        <v/>
      </c>
      <c r="AM141" t="str">
        <f t="shared" ca="1" si="192"/>
        <v/>
      </c>
      <c r="AN141" t="str">
        <f t="shared" ca="1" si="193"/>
        <v/>
      </c>
      <c r="AO141" t="str">
        <f ca="1">IF(A141&lt;&gt;"", IF(OR(F141="1",H141="1",I141="1"),""," "&amp; HELPER!$B$94 &amp; "." &amp; A141),"")</f>
        <v/>
      </c>
      <c r="AP141" t="str">
        <f t="shared" ca="1" si="194"/>
        <v/>
      </c>
      <c r="AQ141" t="str">
        <f t="shared" ca="1" si="219"/>
        <v/>
      </c>
      <c r="AS141" t="str">
        <f ca="1">IF(A141="","",  HELPER!$B$94 &amp;  "." &amp; A141)</f>
        <v/>
      </c>
      <c r="AT141" t="str">
        <f t="shared" ca="1" si="195"/>
        <v/>
      </c>
      <c r="AU141" t="str">
        <f t="shared" ca="1" si="196"/>
        <v/>
      </c>
      <c r="AV141" s="190" t="str">
        <f t="shared" ca="1" si="197"/>
        <v/>
      </c>
      <c r="AW141" t="str">
        <f t="shared" ca="1" si="198"/>
        <v/>
      </c>
      <c r="AY141" t="str">
        <f t="shared" ca="1" si="199"/>
        <v/>
      </c>
      <c r="BF141" t="str">
        <f t="shared" ca="1" si="200"/>
        <v/>
      </c>
      <c r="BH141" s="285" t="str">
        <f t="shared" ca="1" si="214"/>
        <v/>
      </c>
      <c r="BI141" t="str">
        <f t="shared" ca="1" si="201"/>
        <v/>
      </c>
      <c r="BJ141" t="str">
        <f t="shared" ca="1" si="202"/>
        <v/>
      </c>
      <c r="BK141" t="str">
        <f t="shared" ca="1" si="215"/>
        <v/>
      </c>
      <c r="BM141" t="str">
        <f t="shared" ca="1" si="216"/>
        <v/>
      </c>
      <c r="BN141" t="str">
        <f t="shared" ca="1" si="217"/>
        <v/>
      </c>
      <c r="BO141" t="str">
        <f t="shared" ca="1" si="203"/>
        <v/>
      </c>
      <c r="BP141" t="b">
        <f ca="1">COUNTIF(COLHELPER!A141:'COLHELPER'!A141,COLHELPER!A141)&gt;1</f>
        <v>0</v>
      </c>
      <c r="BQ141">
        <f t="shared" ca="1" si="204"/>
        <v>0</v>
      </c>
      <c r="BR141" s="290" t="str">
        <f t="shared" ca="1" si="220"/>
        <v/>
      </c>
      <c r="BS141" t="str">
        <f t="shared" ca="1" si="205"/>
        <v/>
      </c>
      <c r="BT141" t="str">
        <f t="shared" ca="1" si="218"/>
        <v/>
      </c>
      <c r="BU141" t="str">
        <f t="shared" ca="1" si="206"/>
        <v/>
      </c>
      <c r="BV141">
        <f t="shared" ca="1" si="207"/>
        <v>0</v>
      </c>
      <c r="BW141" t="str">
        <f t="shared" ca="1" si="208"/>
        <v/>
      </c>
      <c r="BX141" t="str">
        <f t="shared" ca="1" si="209"/>
        <v/>
      </c>
      <c r="BY141" t="str">
        <f ca="1">IF(R141="","",IF(R141&gt;Options!$B$3,"ALTER TABLE "&amp;HELPER!$B$4&amp;" ADD COLUMNS ("&amp;A141&amp;" "&amp;C141&amp;")",""))</f>
        <v/>
      </c>
      <c r="BZ141" t="str">
        <f ca="1">IF(R141="","",IF(R141&gt;Options!$B$3,A141,""))</f>
        <v/>
      </c>
      <c r="CA141" t="str">
        <f ca="1">IF(R141="","",IF(R141&gt;Options!$B$3,B141,""))</f>
        <v/>
      </c>
      <c r="CB141" t="str">
        <f t="shared" ca="1" si="210"/>
        <v/>
      </c>
      <c r="CC141">
        <f t="shared" ca="1" si="211"/>
        <v>0</v>
      </c>
      <c r="CD141" t="str">
        <f ca="1">IF(J141="","",Options!$B$23 &amp; "." &amp; J141)</f>
        <v/>
      </c>
    </row>
    <row r="142" spans="1:82">
      <c r="A142" s="161" t="str">
        <f t="array" aca="1" ref="A142" ca="1">IF(TRIM(INDIRECT("Columns!A142")) ="","",TRIM(INDIRECT("Columns!A142")))</f>
        <v/>
      </c>
      <c r="B142" s="161" t="str">
        <f t="shared" ca="1" si="179"/>
        <v/>
      </c>
      <c r="C142" s="161" t="str">
        <f t="shared" ca="1" si="180"/>
        <v/>
      </c>
      <c r="D142" s="161" t="str">
        <f t="shared" ca="1" si="181"/>
        <v/>
      </c>
      <c r="E142" s="161" t="str">
        <f t="array" aca="1" ref="E142" ca="1">IF(TRIM(INDIRECT("Columns!E142"))="","",TRIM(INDIRECT("Columns!E142")))</f>
        <v/>
      </c>
      <c r="F142" s="161" t="str">
        <f t="array" aca="1" ref="F142" ca="1">IF(TRIM(INDIRECT("Columns!G142"))="","",TRIM(INDIRECT("Columns!G142")))</f>
        <v/>
      </c>
      <c r="G142" s="161" t="str">
        <f t="array" aca="1" ref="G142" ca="1">IF(TRIM(INDIRECT("Columns!F142"))="","",TRIM(INDIRECT("Columns!F142")))</f>
        <v/>
      </c>
      <c r="H142" s="161" t="str">
        <f t="array" aca="1" ref="H142" ca="1">IF(TRIM(INDIRECT("Columns!H142"))="","",TRIM(INDIRECT("Columns!H142")))</f>
        <v/>
      </c>
      <c r="I142" s="161" t="str">
        <f t="array" aca="1" ref="I142" ca="1">IF(TRIM(INDIRECT("Columns!I142"))="","",TRIM(INDIRECT("Columns!I142")))</f>
        <v/>
      </c>
      <c r="J142" s="161" t="str">
        <f t="array" aca="1" ref="J142" ca="1">IF(TRIM(INDIRECT("Columns!J142"))="","",TRIM(INDIRECT("Columns!J142")))</f>
        <v/>
      </c>
      <c r="K142" s="161" t="str">
        <f t="array" aca="1" ref="K142" ca="1">IF(TRIM(INDIRECT("Columns!K142"))="","",TRIM(INDIRECT("Columns!K142")))</f>
        <v/>
      </c>
      <c r="L142" s="161" t="str">
        <f t="array" aca="1" ref="L142" ca="1">IF(TRIM(INDIRECT("Columns!L142"))="","",TRIM(INDIRECT("Columns!L142")))</f>
        <v/>
      </c>
      <c r="M142" s="161" t="str">
        <f t="array" aca="1" ref="M142" ca="1">IF(TRIM(INDIRECT("Columns!M142"))="","",TRIM(INDIRECT("Columns!M142")))</f>
        <v/>
      </c>
      <c r="N142" s="161" t="str">
        <f t="array" aca="1" ref="N142" ca="1">IF(TRIM(INDIRECT("Columns!N142"))="","",TRIM(INDIRECT("Columns!N142")))</f>
        <v/>
      </c>
      <c r="O142" s="227" t="str">
        <f t="array" aca="1" ref="O142" ca="1">IF(TRIM(INDIRECT("Columns!B142"))="","",TRIM(INDIRECT("Columns!B142")))</f>
        <v/>
      </c>
      <c r="P142" s="227" t="str">
        <f t="array" aca="1" ref="P142" ca="1">IF(TRIM(INDIRECT("Columns!C142"))="","",TRIM(INDIRECT("Columns!C142")))</f>
        <v/>
      </c>
      <c r="Q142" s="227" t="str">
        <f t="array" aca="1" ref="Q142" ca="1">IF(TRIM(INDIRECT("Columns!D142"))="","",TRIM(INDIRECT("Columns!D142")))</f>
        <v/>
      </c>
      <c r="R142" s="227" t="str">
        <f t="array" aca="1" ref="R142" ca="1">IF(TRIM(INDIRECT("Columns!O142"))="","",TRIM(INDIRECT("Columns!O142")))</f>
        <v/>
      </c>
      <c r="S142" t="str">
        <f t="shared" ca="1" si="182"/>
        <v/>
      </c>
      <c r="T142" t="str">
        <f t="shared" ca="1" si="183"/>
        <v/>
      </c>
      <c r="U142" t="str">
        <f t="shared" ca="1" si="184"/>
        <v/>
      </c>
      <c r="V142" t="str">
        <f t="shared" ca="1" si="185"/>
        <v/>
      </c>
      <c r="W142" t="str">
        <f t="shared" ca="1" si="186"/>
        <v/>
      </c>
      <c r="X142" t="str">
        <f t="shared" ca="1" si="187"/>
        <v/>
      </c>
      <c r="Y142" t="str">
        <f t="shared" ca="1" si="188"/>
        <v/>
      </c>
      <c r="Z142" t="str">
        <f t="shared" ca="1" si="212"/>
        <v/>
      </c>
      <c r="AA142" t="str">
        <f ca="1">IF(E142="1",   IF( A142="","",IF(OR(F142="1",H142="1",I142="1"),"","COALESCE (CAST("&amp;A142&amp;" as varchar(" &amp; Options!$B$49&amp; ")),'')")),"")</f>
        <v/>
      </c>
      <c r="AB142" t="str">
        <f ca="1">IF(E142="1", IF(C142="string",  IF( A142="","",IF(OR(F142="1",H142="1",I142="1"),"","COALESCE (CAST(lower("&amp;A142&amp;") as varchar(" &amp;Options!$B$49 &amp; ")),'')")),AA142),"")</f>
        <v/>
      </c>
      <c r="AC142" t="str">
        <f ca="1">IF(E142="4",   IF( A142="","",IF(OR(F142="1",H142="1",I142="1"),"","COALESCE (CAST("  &amp;A142&amp;" as varchar(" &amp; Options!$B$49&amp; ")),'')")),"")</f>
        <v/>
      </c>
      <c r="AD142" t="str">
        <f ca="1">IF(E142="4",   IF( A142="","",IF(OR(F142="1",H142="1",I142="1"),"","COALESCE (CAST(" &amp; HELPER!$B$94 &amp; "."  &amp;A142&amp;" as varchar(" &amp; Options!$B$49&amp; ")),'')")),"")</f>
        <v/>
      </c>
      <c r="AE142" t="str">
        <f t="shared" ca="1" si="189"/>
        <v/>
      </c>
      <c r="AF142" t="str">
        <f ca="1">IF(AE142&lt;&gt;"", HELPER!$B$93 &amp;  "." &amp; AE142,"")</f>
        <v/>
      </c>
      <c r="AG142" t="str">
        <f ca="1">IF(AE142&lt;&gt;"", HELPER!$B$94 &amp; "." &amp; AE142,"")</f>
        <v/>
      </c>
      <c r="AH142" t="str">
        <f t="shared" ca="1" si="213"/>
        <v/>
      </c>
      <c r="AI142" t="str">
        <f t="shared" ca="1" si="190"/>
        <v/>
      </c>
      <c r="AJ142" t="str">
        <f t="shared" ca="1" si="191"/>
        <v/>
      </c>
      <c r="AK142" t="str">
        <f ca="1">IF(E142="4", HELPER!$B$94 &amp;  "." &amp; A142,"")</f>
        <v/>
      </c>
      <c r="AL142" t="str">
        <f ca="1">IF(E142="4", HELPER!$B$93 &amp;  "." &amp; A142,"")</f>
        <v/>
      </c>
      <c r="AM142" t="str">
        <f t="shared" ca="1" si="192"/>
        <v/>
      </c>
      <c r="AN142" t="str">
        <f t="shared" ca="1" si="193"/>
        <v/>
      </c>
      <c r="AO142" t="str">
        <f ca="1">IF(A142&lt;&gt;"", IF(OR(F142="1",H142="1",I142="1"),""," "&amp; HELPER!$B$94 &amp; "." &amp; A142),"")</f>
        <v/>
      </c>
      <c r="AP142" t="str">
        <f t="shared" ca="1" si="194"/>
        <v/>
      </c>
      <c r="AQ142" t="str">
        <f t="shared" ca="1" si="219"/>
        <v/>
      </c>
      <c r="AS142" t="str">
        <f ca="1">IF(A142="","",  HELPER!$B$94 &amp;  "." &amp; A142)</f>
        <v/>
      </c>
      <c r="AT142" t="str">
        <f t="shared" ca="1" si="195"/>
        <v/>
      </c>
      <c r="AU142" t="str">
        <f t="shared" ca="1" si="196"/>
        <v/>
      </c>
      <c r="AV142" s="190" t="str">
        <f t="shared" ca="1" si="197"/>
        <v/>
      </c>
      <c r="AW142" t="str">
        <f t="shared" ca="1" si="198"/>
        <v/>
      </c>
      <c r="AY142" t="str">
        <f t="shared" ca="1" si="199"/>
        <v/>
      </c>
      <c r="BF142" t="str">
        <f t="shared" ca="1" si="200"/>
        <v/>
      </c>
      <c r="BH142" s="285" t="str">
        <f t="shared" ca="1" si="214"/>
        <v/>
      </c>
      <c r="BI142" t="str">
        <f t="shared" ca="1" si="201"/>
        <v/>
      </c>
      <c r="BJ142" t="str">
        <f t="shared" ca="1" si="202"/>
        <v/>
      </c>
      <c r="BK142" t="str">
        <f t="shared" ca="1" si="215"/>
        <v/>
      </c>
      <c r="BM142" t="str">
        <f t="shared" ca="1" si="216"/>
        <v/>
      </c>
      <c r="BN142" t="str">
        <f t="shared" ca="1" si="217"/>
        <v/>
      </c>
      <c r="BO142" t="str">
        <f t="shared" ca="1" si="203"/>
        <v/>
      </c>
      <c r="BP142" t="b">
        <f ca="1">COUNTIF(COLHELPER!A142:'COLHELPER'!A142,COLHELPER!A142)&gt;1</f>
        <v>0</v>
      </c>
      <c r="BQ142">
        <f t="shared" ca="1" si="204"/>
        <v>0</v>
      </c>
      <c r="BR142" s="290" t="str">
        <f t="shared" ca="1" si="220"/>
        <v/>
      </c>
      <c r="BS142" t="str">
        <f t="shared" ca="1" si="205"/>
        <v/>
      </c>
      <c r="BT142" t="str">
        <f t="shared" ca="1" si="218"/>
        <v/>
      </c>
      <c r="BU142" t="str">
        <f t="shared" ca="1" si="206"/>
        <v/>
      </c>
      <c r="BV142">
        <f t="shared" ca="1" si="207"/>
        <v>0</v>
      </c>
      <c r="BW142" t="str">
        <f t="shared" ca="1" si="208"/>
        <v/>
      </c>
      <c r="BX142" t="str">
        <f t="shared" ca="1" si="209"/>
        <v/>
      </c>
      <c r="BY142" t="str">
        <f ca="1">IF(R142="","",IF(R142&gt;Options!$B$3,"ALTER TABLE "&amp;HELPER!$B$4&amp;" ADD COLUMNS ("&amp;A142&amp;" "&amp;C142&amp;")",""))</f>
        <v/>
      </c>
      <c r="BZ142" t="str">
        <f ca="1">IF(R142="","",IF(R142&gt;Options!$B$3,A142,""))</f>
        <v/>
      </c>
      <c r="CA142" t="str">
        <f ca="1">IF(R142="","",IF(R142&gt;Options!$B$3,B142,""))</f>
        <v/>
      </c>
      <c r="CB142" t="str">
        <f t="shared" ca="1" si="210"/>
        <v/>
      </c>
      <c r="CC142">
        <f t="shared" ca="1" si="211"/>
        <v>0</v>
      </c>
      <c r="CD142" t="str">
        <f ca="1">IF(J142="","",Options!$B$23 &amp; "." &amp; J142)</f>
        <v/>
      </c>
    </row>
    <row r="143" spans="1:82">
      <c r="A143" s="161" t="str">
        <f t="array" aca="1" ref="A143" ca="1">IF(TRIM(INDIRECT("Columns!A143")) ="","",TRIM(INDIRECT("Columns!A143")))</f>
        <v/>
      </c>
      <c r="B143" s="161" t="str">
        <f t="shared" ca="1" si="179"/>
        <v/>
      </c>
      <c r="C143" s="161" t="str">
        <f t="shared" ca="1" si="180"/>
        <v/>
      </c>
      <c r="D143" s="161" t="str">
        <f t="shared" ca="1" si="181"/>
        <v/>
      </c>
      <c r="E143" s="161" t="str">
        <f t="array" aca="1" ref="E143" ca="1">IF(TRIM(INDIRECT("Columns!E143"))="","",TRIM(INDIRECT("Columns!E143")))</f>
        <v/>
      </c>
      <c r="F143" s="161" t="str">
        <f t="array" aca="1" ref="F143" ca="1">IF(TRIM(INDIRECT("Columns!G143"))="","",TRIM(INDIRECT("Columns!G143")))</f>
        <v/>
      </c>
      <c r="G143" s="161" t="str">
        <f t="array" aca="1" ref="G143" ca="1">IF(TRIM(INDIRECT("Columns!F143"))="","",TRIM(INDIRECT("Columns!F143")))</f>
        <v/>
      </c>
      <c r="H143" s="161" t="str">
        <f t="array" aca="1" ref="H143" ca="1">IF(TRIM(INDIRECT("Columns!H143"))="","",TRIM(INDIRECT("Columns!H143")))</f>
        <v/>
      </c>
      <c r="I143" s="161" t="str">
        <f t="array" aca="1" ref="I143" ca="1">IF(TRIM(INDIRECT("Columns!I143"))="","",TRIM(INDIRECT("Columns!I143")))</f>
        <v/>
      </c>
      <c r="J143" s="161" t="str">
        <f t="array" aca="1" ref="J143" ca="1">IF(TRIM(INDIRECT("Columns!J143"))="","",TRIM(INDIRECT("Columns!J143")))</f>
        <v/>
      </c>
      <c r="K143" s="161" t="str">
        <f t="array" aca="1" ref="K143" ca="1">IF(TRIM(INDIRECT("Columns!K143"))="","",TRIM(INDIRECT("Columns!K143")))</f>
        <v/>
      </c>
      <c r="L143" s="161" t="str">
        <f t="array" aca="1" ref="L143" ca="1">IF(TRIM(INDIRECT("Columns!L143"))="","",TRIM(INDIRECT("Columns!L143")))</f>
        <v/>
      </c>
      <c r="M143" s="161" t="str">
        <f t="array" aca="1" ref="M143" ca="1">IF(TRIM(INDIRECT("Columns!M143"))="","",TRIM(INDIRECT("Columns!M143")))</f>
        <v/>
      </c>
      <c r="N143" s="161" t="str">
        <f t="array" aca="1" ref="N143" ca="1">IF(TRIM(INDIRECT("Columns!N143"))="","",TRIM(INDIRECT("Columns!N143")))</f>
        <v/>
      </c>
      <c r="O143" s="227" t="str">
        <f t="array" aca="1" ref="O143" ca="1">IF(TRIM(INDIRECT("Columns!B143"))="","",TRIM(INDIRECT("Columns!B143")))</f>
        <v/>
      </c>
      <c r="P143" s="227" t="str">
        <f t="array" aca="1" ref="P143" ca="1">IF(TRIM(INDIRECT("Columns!C143"))="","",TRIM(INDIRECT("Columns!C143")))</f>
        <v/>
      </c>
      <c r="Q143" s="227" t="str">
        <f t="array" aca="1" ref="Q143" ca="1">IF(TRIM(INDIRECT("Columns!D143"))="","",TRIM(INDIRECT("Columns!D143")))</f>
        <v/>
      </c>
      <c r="R143" s="227" t="str">
        <f t="array" aca="1" ref="R143" ca="1">IF(TRIM(INDIRECT("Columns!O143"))="","",TRIM(INDIRECT("Columns!O143")))</f>
        <v/>
      </c>
      <c r="S143" t="str">
        <f t="shared" ca="1" si="182"/>
        <v/>
      </c>
      <c r="T143" t="str">
        <f t="shared" ca="1" si="183"/>
        <v/>
      </c>
      <c r="U143" t="str">
        <f t="shared" ca="1" si="184"/>
        <v/>
      </c>
      <c r="V143" t="str">
        <f t="shared" ca="1" si="185"/>
        <v/>
      </c>
      <c r="W143" t="str">
        <f t="shared" ca="1" si="186"/>
        <v/>
      </c>
      <c r="X143" t="str">
        <f t="shared" ca="1" si="187"/>
        <v/>
      </c>
      <c r="Y143" t="str">
        <f t="shared" ca="1" si="188"/>
        <v/>
      </c>
      <c r="Z143" t="str">
        <f t="shared" ca="1" si="212"/>
        <v/>
      </c>
      <c r="AA143" t="str">
        <f ca="1">IF(E143="1",   IF( A143="","",IF(OR(F143="1",H143="1",I143="1"),"","COALESCE (CAST("&amp;A143&amp;" as varchar(" &amp; Options!$B$49&amp; ")),'')")),"")</f>
        <v/>
      </c>
      <c r="AB143" t="str">
        <f ca="1">IF(E143="1", IF(C143="string",  IF( A143="","",IF(OR(F143="1",H143="1",I143="1"),"","COALESCE (CAST(lower("&amp;A143&amp;") as varchar(" &amp;Options!$B$49 &amp; ")),'')")),AA143),"")</f>
        <v/>
      </c>
      <c r="AC143" t="str">
        <f ca="1">IF(E143="4",   IF( A143="","",IF(OR(F143="1",H143="1",I143="1"),"","COALESCE (CAST("  &amp;A143&amp;" as varchar(" &amp; Options!$B$49&amp; ")),'')")),"")</f>
        <v/>
      </c>
      <c r="AD143" t="str">
        <f ca="1">IF(E143="4",   IF( A143="","",IF(OR(F143="1",H143="1",I143="1"),"","COALESCE (CAST(" &amp; HELPER!$B$94 &amp; "."  &amp;A143&amp;" as varchar(" &amp; Options!$B$49&amp; ")),'')")),"")</f>
        <v/>
      </c>
      <c r="AE143" t="str">
        <f t="shared" ca="1" si="189"/>
        <v/>
      </c>
      <c r="AF143" t="str">
        <f ca="1">IF(AE143&lt;&gt;"", HELPER!$B$93 &amp;  "." &amp; AE143,"")</f>
        <v/>
      </c>
      <c r="AG143" t="str">
        <f ca="1">IF(AE143&lt;&gt;"", HELPER!$B$94 &amp; "." &amp; AE143,"")</f>
        <v/>
      </c>
      <c r="AH143" t="str">
        <f t="shared" ca="1" si="213"/>
        <v/>
      </c>
      <c r="AI143" t="str">
        <f t="shared" ca="1" si="190"/>
        <v/>
      </c>
      <c r="AJ143" t="str">
        <f t="shared" ca="1" si="191"/>
        <v/>
      </c>
      <c r="AK143" t="str">
        <f ca="1">IF(E143="4", HELPER!$B$94 &amp;  "." &amp; A143,"")</f>
        <v/>
      </c>
      <c r="AL143" t="str">
        <f ca="1">IF(E143="4", HELPER!$B$93 &amp;  "." &amp; A143,"")</f>
        <v/>
      </c>
      <c r="AM143" t="str">
        <f t="shared" ca="1" si="192"/>
        <v/>
      </c>
      <c r="AN143" t="str">
        <f t="shared" ca="1" si="193"/>
        <v/>
      </c>
      <c r="AO143" t="str">
        <f ca="1">IF(A143&lt;&gt;"", IF(OR(F143="1",H143="1",I143="1"),""," "&amp; HELPER!$B$94 &amp; "." &amp; A143),"")</f>
        <v/>
      </c>
      <c r="AP143" t="str">
        <f t="shared" ca="1" si="194"/>
        <v/>
      </c>
      <c r="AQ143" t="str">
        <f t="shared" ca="1" si="219"/>
        <v/>
      </c>
      <c r="AS143" t="str">
        <f ca="1">IF(A143="","",  HELPER!$B$94 &amp;  "." &amp; A143)</f>
        <v/>
      </c>
      <c r="AT143" t="str">
        <f t="shared" ca="1" si="195"/>
        <v/>
      </c>
      <c r="AU143" t="str">
        <f t="shared" ca="1" si="196"/>
        <v/>
      </c>
      <c r="AV143" s="190" t="str">
        <f t="shared" ca="1" si="197"/>
        <v/>
      </c>
      <c r="AW143" t="str">
        <f t="shared" ca="1" si="198"/>
        <v/>
      </c>
      <c r="AY143" t="str">
        <f t="shared" ca="1" si="199"/>
        <v/>
      </c>
      <c r="BF143" t="str">
        <f t="shared" ca="1" si="200"/>
        <v/>
      </c>
      <c r="BH143" s="285" t="str">
        <f t="shared" ca="1" si="214"/>
        <v/>
      </c>
      <c r="BI143" t="str">
        <f t="shared" ca="1" si="201"/>
        <v/>
      </c>
      <c r="BJ143" t="str">
        <f t="shared" ca="1" si="202"/>
        <v/>
      </c>
      <c r="BK143" t="str">
        <f t="shared" ca="1" si="215"/>
        <v/>
      </c>
      <c r="BM143" t="str">
        <f t="shared" ca="1" si="216"/>
        <v/>
      </c>
      <c r="BN143" t="str">
        <f t="shared" ca="1" si="217"/>
        <v/>
      </c>
      <c r="BO143" t="str">
        <f t="shared" ca="1" si="203"/>
        <v/>
      </c>
      <c r="BP143" t="b">
        <f ca="1">COUNTIF(COLHELPER!A143:'COLHELPER'!A143,COLHELPER!A143)&gt;1</f>
        <v>0</v>
      </c>
      <c r="BQ143">
        <f t="shared" ca="1" si="204"/>
        <v>0</v>
      </c>
      <c r="BR143" s="290" t="str">
        <f t="shared" ca="1" si="220"/>
        <v/>
      </c>
      <c r="BS143" t="str">
        <f t="shared" ca="1" si="205"/>
        <v/>
      </c>
      <c r="BT143" t="str">
        <f t="shared" ca="1" si="218"/>
        <v/>
      </c>
      <c r="BU143" t="str">
        <f t="shared" ca="1" si="206"/>
        <v/>
      </c>
      <c r="BV143">
        <f t="shared" ca="1" si="207"/>
        <v>0</v>
      </c>
      <c r="BW143" t="str">
        <f t="shared" ca="1" si="208"/>
        <v/>
      </c>
      <c r="BX143" t="str">
        <f t="shared" ca="1" si="209"/>
        <v/>
      </c>
      <c r="BY143" t="str">
        <f ca="1">IF(R143="","",IF(R143&gt;Options!$B$3,"ALTER TABLE "&amp;HELPER!$B$4&amp;" ADD COLUMNS ("&amp;A143&amp;" "&amp;C143&amp;")",""))</f>
        <v/>
      </c>
      <c r="BZ143" t="str">
        <f ca="1">IF(R143="","",IF(R143&gt;Options!$B$3,A143,""))</f>
        <v/>
      </c>
      <c r="CA143" t="str">
        <f ca="1">IF(R143="","",IF(R143&gt;Options!$B$3,B143,""))</f>
        <v/>
      </c>
      <c r="CB143" t="str">
        <f t="shared" ca="1" si="210"/>
        <v/>
      </c>
      <c r="CC143">
        <f t="shared" ca="1" si="211"/>
        <v>0</v>
      </c>
      <c r="CD143" t="str">
        <f ca="1">IF(J143="","",Options!$B$23 &amp; "." &amp; J143)</f>
        <v/>
      </c>
    </row>
    <row r="144" spans="1:82">
      <c r="A144" s="161" t="str">
        <f t="array" aca="1" ref="A144" ca="1">IF(TRIM(INDIRECT("Columns!A144")) ="","",TRIM(INDIRECT("Columns!A144")))</f>
        <v/>
      </c>
      <c r="B144" s="161" t="str">
        <f t="shared" ca="1" si="179"/>
        <v/>
      </c>
      <c r="C144" s="161" t="str">
        <f t="shared" ca="1" si="180"/>
        <v/>
      </c>
      <c r="D144" s="161" t="str">
        <f t="shared" ca="1" si="181"/>
        <v/>
      </c>
      <c r="E144" s="161" t="str">
        <f t="array" aca="1" ref="E144" ca="1">IF(TRIM(INDIRECT("Columns!E144"))="","",TRIM(INDIRECT("Columns!E144")))</f>
        <v/>
      </c>
      <c r="F144" s="161" t="str">
        <f t="array" aca="1" ref="F144" ca="1">IF(TRIM(INDIRECT("Columns!G144"))="","",TRIM(INDIRECT("Columns!G144")))</f>
        <v/>
      </c>
      <c r="G144" s="161" t="str">
        <f t="array" aca="1" ref="G144" ca="1">IF(TRIM(INDIRECT("Columns!F144"))="","",TRIM(INDIRECT("Columns!F144")))</f>
        <v/>
      </c>
      <c r="H144" s="161" t="str">
        <f t="array" aca="1" ref="H144" ca="1">IF(TRIM(INDIRECT("Columns!H144"))="","",TRIM(INDIRECT("Columns!H144")))</f>
        <v/>
      </c>
      <c r="I144" s="161" t="str">
        <f t="array" aca="1" ref="I144" ca="1">IF(TRIM(INDIRECT("Columns!I144"))="","",TRIM(INDIRECT("Columns!I144")))</f>
        <v/>
      </c>
      <c r="J144" s="161" t="str">
        <f t="array" aca="1" ref="J144" ca="1">IF(TRIM(INDIRECT("Columns!J144"))="","",TRIM(INDIRECT("Columns!J144")))</f>
        <v/>
      </c>
      <c r="K144" s="161" t="str">
        <f t="array" aca="1" ref="K144" ca="1">IF(TRIM(INDIRECT("Columns!K144"))="","",TRIM(INDIRECT("Columns!K144")))</f>
        <v/>
      </c>
      <c r="L144" s="161" t="str">
        <f t="array" aca="1" ref="L144" ca="1">IF(TRIM(INDIRECT("Columns!L144"))="","",TRIM(INDIRECT("Columns!L144")))</f>
        <v/>
      </c>
      <c r="M144" s="161" t="str">
        <f t="array" aca="1" ref="M144" ca="1">IF(TRIM(INDIRECT("Columns!M144"))="","",TRIM(INDIRECT("Columns!M144")))</f>
        <v/>
      </c>
      <c r="N144" s="161" t="str">
        <f t="array" aca="1" ref="N144" ca="1">IF(TRIM(INDIRECT("Columns!N144"))="","",TRIM(INDIRECT("Columns!N144")))</f>
        <v/>
      </c>
      <c r="O144" s="227" t="str">
        <f t="array" aca="1" ref="O144" ca="1">IF(TRIM(INDIRECT("Columns!B144"))="","",TRIM(INDIRECT("Columns!B144")))</f>
        <v/>
      </c>
      <c r="P144" s="227" t="str">
        <f t="array" aca="1" ref="P144" ca="1">IF(TRIM(INDIRECT("Columns!C144"))="","",TRIM(INDIRECT("Columns!C144")))</f>
        <v/>
      </c>
      <c r="Q144" s="227" t="str">
        <f t="array" aca="1" ref="Q144" ca="1">IF(TRIM(INDIRECT("Columns!D144"))="","",TRIM(INDIRECT("Columns!D144")))</f>
        <v/>
      </c>
      <c r="R144" s="227" t="str">
        <f t="array" aca="1" ref="R144" ca="1">IF(TRIM(INDIRECT("Columns!O144"))="","",TRIM(INDIRECT("Columns!O144")))</f>
        <v/>
      </c>
      <c r="S144" t="str">
        <f t="shared" ca="1" si="182"/>
        <v/>
      </c>
      <c r="T144" t="str">
        <f t="shared" ca="1" si="183"/>
        <v/>
      </c>
      <c r="U144" t="str">
        <f t="shared" ca="1" si="184"/>
        <v/>
      </c>
      <c r="V144" t="str">
        <f t="shared" ca="1" si="185"/>
        <v/>
      </c>
      <c r="W144" t="str">
        <f t="shared" ca="1" si="186"/>
        <v/>
      </c>
      <c r="X144" t="str">
        <f t="shared" ca="1" si="187"/>
        <v/>
      </c>
      <c r="Y144" t="str">
        <f t="shared" ca="1" si="188"/>
        <v/>
      </c>
      <c r="Z144" t="str">
        <f t="shared" ca="1" si="212"/>
        <v/>
      </c>
      <c r="AA144" t="str">
        <f ca="1">IF(E144="1",   IF( A144="","",IF(OR(F144="1",H144="1",I144="1"),"","COALESCE (CAST("&amp;A144&amp;" as varchar(" &amp; Options!$B$49&amp; ")),'')")),"")</f>
        <v/>
      </c>
      <c r="AB144" t="str">
        <f ca="1">IF(E144="1", IF(C144="string",  IF( A144="","",IF(OR(F144="1",H144="1",I144="1"),"","COALESCE (CAST(lower("&amp;A144&amp;") as varchar(" &amp;Options!$B$49 &amp; ")),'')")),AA144),"")</f>
        <v/>
      </c>
      <c r="AC144" t="str">
        <f ca="1">IF(E144="4",   IF( A144="","",IF(OR(F144="1",H144="1",I144="1"),"","COALESCE (CAST("  &amp;A144&amp;" as varchar(" &amp; Options!$B$49&amp; ")),'')")),"")</f>
        <v/>
      </c>
      <c r="AD144" t="str">
        <f ca="1">IF(E144="4",   IF( A144="","",IF(OR(F144="1",H144="1",I144="1"),"","COALESCE (CAST(" &amp; HELPER!$B$94 &amp; "."  &amp;A144&amp;" as varchar(" &amp; Options!$B$49&amp; ")),'')")),"")</f>
        <v/>
      </c>
      <c r="AE144" t="str">
        <f t="shared" ca="1" si="189"/>
        <v/>
      </c>
      <c r="AF144" t="str">
        <f ca="1">IF(AE144&lt;&gt;"", HELPER!$B$93 &amp;  "." &amp; AE144,"")</f>
        <v/>
      </c>
      <c r="AG144" t="str">
        <f ca="1">IF(AE144&lt;&gt;"", HELPER!$B$94 &amp; "." &amp; AE144,"")</f>
        <v/>
      </c>
      <c r="AH144" t="str">
        <f t="shared" ca="1" si="213"/>
        <v/>
      </c>
      <c r="AI144" t="str">
        <f t="shared" ca="1" si="190"/>
        <v/>
      </c>
      <c r="AJ144" t="str">
        <f t="shared" ca="1" si="191"/>
        <v/>
      </c>
      <c r="AK144" t="str">
        <f ca="1">IF(E144="4", HELPER!$B$94 &amp;  "." &amp; A144,"")</f>
        <v/>
      </c>
      <c r="AL144" t="str">
        <f ca="1">IF(E144="4", HELPER!$B$93 &amp;  "." &amp; A144,"")</f>
        <v/>
      </c>
      <c r="AM144" t="str">
        <f t="shared" ca="1" si="192"/>
        <v/>
      </c>
      <c r="AN144" t="str">
        <f t="shared" ca="1" si="193"/>
        <v/>
      </c>
      <c r="AO144" t="str">
        <f ca="1">IF(A144&lt;&gt;"", IF(OR(F144="1",H144="1",I144="1"),""," "&amp; HELPER!$B$94 &amp; "." &amp; A144),"")</f>
        <v/>
      </c>
      <c r="AP144" t="str">
        <f t="shared" ca="1" si="194"/>
        <v/>
      </c>
      <c r="AQ144" t="str">
        <f t="shared" ca="1" si="219"/>
        <v/>
      </c>
      <c r="AS144" t="str">
        <f ca="1">IF(A144="","",  HELPER!$B$94 &amp;  "." &amp; A144)</f>
        <v/>
      </c>
      <c r="AT144" t="str">
        <f t="shared" ca="1" si="195"/>
        <v/>
      </c>
      <c r="AU144" t="str">
        <f t="shared" ca="1" si="196"/>
        <v/>
      </c>
      <c r="AV144" s="190" t="str">
        <f t="shared" ca="1" si="197"/>
        <v/>
      </c>
      <c r="AW144" t="str">
        <f t="shared" ca="1" si="198"/>
        <v/>
      </c>
      <c r="AY144" t="str">
        <f t="shared" ca="1" si="199"/>
        <v/>
      </c>
      <c r="BF144" t="str">
        <f t="shared" ca="1" si="200"/>
        <v/>
      </c>
      <c r="BH144" s="285" t="str">
        <f t="shared" ca="1" si="214"/>
        <v/>
      </c>
      <c r="BI144" t="str">
        <f t="shared" ca="1" si="201"/>
        <v/>
      </c>
      <c r="BJ144" t="str">
        <f t="shared" ca="1" si="202"/>
        <v/>
      </c>
      <c r="BK144" t="str">
        <f t="shared" ca="1" si="215"/>
        <v/>
      </c>
      <c r="BM144" t="str">
        <f t="shared" ca="1" si="216"/>
        <v/>
      </c>
      <c r="BN144" t="str">
        <f t="shared" ca="1" si="217"/>
        <v/>
      </c>
      <c r="BO144" t="str">
        <f t="shared" ca="1" si="203"/>
        <v/>
      </c>
      <c r="BP144" t="b">
        <f ca="1">COUNTIF(COLHELPER!A144:'COLHELPER'!A144,COLHELPER!A144)&gt;1</f>
        <v>0</v>
      </c>
      <c r="BQ144">
        <f t="shared" ca="1" si="204"/>
        <v>0</v>
      </c>
      <c r="BR144" s="290" t="str">
        <f t="shared" ca="1" si="220"/>
        <v/>
      </c>
      <c r="BS144" t="str">
        <f t="shared" ca="1" si="205"/>
        <v/>
      </c>
      <c r="BT144" t="str">
        <f t="shared" ca="1" si="218"/>
        <v/>
      </c>
      <c r="BU144" t="str">
        <f t="shared" ca="1" si="206"/>
        <v/>
      </c>
      <c r="BV144">
        <f t="shared" ca="1" si="207"/>
        <v>0</v>
      </c>
      <c r="BW144" t="str">
        <f t="shared" ca="1" si="208"/>
        <v/>
      </c>
      <c r="BX144" t="str">
        <f t="shared" ca="1" si="209"/>
        <v/>
      </c>
      <c r="BY144" t="str">
        <f ca="1">IF(R144="","",IF(R144&gt;Options!$B$3,"ALTER TABLE "&amp;HELPER!$B$4&amp;" ADD COLUMNS ("&amp;A144&amp;" "&amp;C144&amp;")",""))</f>
        <v/>
      </c>
      <c r="BZ144" t="str">
        <f ca="1">IF(R144="","",IF(R144&gt;Options!$B$3,A144,""))</f>
        <v/>
      </c>
      <c r="CA144" t="str">
        <f ca="1">IF(R144="","",IF(R144&gt;Options!$B$3,B144,""))</f>
        <v/>
      </c>
      <c r="CB144" t="str">
        <f t="shared" ca="1" si="210"/>
        <v/>
      </c>
      <c r="CC144">
        <f t="shared" ca="1" si="211"/>
        <v>0</v>
      </c>
      <c r="CD144" t="str">
        <f ca="1">IF(J144="","",Options!$B$23 &amp; "." &amp; J144)</f>
        <v/>
      </c>
    </row>
    <row r="145" spans="1:82">
      <c r="A145" s="161" t="str">
        <f t="array" aca="1" ref="A145" ca="1">IF(TRIM(INDIRECT("Columns!A145")) ="","",TRIM(INDIRECT("Columns!A145")))</f>
        <v/>
      </c>
      <c r="B145" s="161" t="str">
        <f t="shared" ca="1" si="179"/>
        <v/>
      </c>
      <c r="C145" s="161" t="str">
        <f t="shared" ca="1" si="180"/>
        <v/>
      </c>
      <c r="D145" s="161" t="str">
        <f t="shared" ca="1" si="181"/>
        <v/>
      </c>
      <c r="E145" s="161" t="str">
        <f t="array" aca="1" ref="E145" ca="1">IF(TRIM(INDIRECT("Columns!E145"))="","",TRIM(INDIRECT("Columns!E145")))</f>
        <v/>
      </c>
      <c r="F145" s="161" t="str">
        <f t="array" aca="1" ref="F145" ca="1">IF(TRIM(INDIRECT("Columns!G145"))="","",TRIM(INDIRECT("Columns!G145")))</f>
        <v/>
      </c>
      <c r="G145" s="161" t="str">
        <f t="array" aca="1" ref="G145" ca="1">IF(TRIM(INDIRECT("Columns!F145"))="","",TRIM(INDIRECT("Columns!F145")))</f>
        <v/>
      </c>
      <c r="H145" s="161" t="str">
        <f t="array" aca="1" ref="H145" ca="1">IF(TRIM(INDIRECT("Columns!H145"))="","",TRIM(INDIRECT("Columns!H145")))</f>
        <v/>
      </c>
      <c r="I145" s="161" t="str">
        <f t="array" aca="1" ref="I145" ca="1">IF(TRIM(INDIRECT("Columns!I145"))="","",TRIM(INDIRECT("Columns!I145")))</f>
        <v/>
      </c>
      <c r="J145" s="161" t="str">
        <f t="array" aca="1" ref="J145" ca="1">IF(TRIM(INDIRECT("Columns!J145"))="","",TRIM(INDIRECT("Columns!J145")))</f>
        <v/>
      </c>
      <c r="K145" s="161" t="str">
        <f t="array" aca="1" ref="K145" ca="1">IF(TRIM(INDIRECT("Columns!K145"))="","",TRIM(INDIRECT("Columns!K145")))</f>
        <v/>
      </c>
      <c r="L145" s="161" t="str">
        <f t="array" aca="1" ref="L145" ca="1">IF(TRIM(INDIRECT("Columns!L145"))="","",TRIM(INDIRECT("Columns!L145")))</f>
        <v/>
      </c>
      <c r="M145" s="161" t="str">
        <f t="array" aca="1" ref="M145" ca="1">IF(TRIM(INDIRECT("Columns!M145"))="","",TRIM(INDIRECT("Columns!M145")))</f>
        <v/>
      </c>
      <c r="N145" s="161" t="str">
        <f t="array" aca="1" ref="N145" ca="1">IF(TRIM(INDIRECT("Columns!N145"))="","",TRIM(INDIRECT("Columns!N145")))</f>
        <v/>
      </c>
      <c r="O145" s="227" t="str">
        <f t="array" aca="1" ref="O145" ca="1">IF(TRIM(INDIRECT("Columns!B145"))="","",TRIM(INDIRECT("Columns!B145")))</f>
        <v/>
      </c>
      <c r="P145" s="227" t="str">
        <f t="array" aca="1" ref="P145" ca="1">IF(TRIM(INDIRECT("Columns!C145"))="","",TRIM(INDIRECT("Columns!C145")))</f>
        <v/>
      </c>
      <c r="Q145" s="227" t="str">
        <f t="array" aca="1" ref="Q145" ca="1">IF(TRIM(INDIRECT("Columns!D145"))="","",TRIM(INDIRECT("Columns!D145")))</f>
        <v/>
      </c>
      <c r="R145" s="227" t="str">
        <f t="array" aca="1" ref="R145" ca="1">IF(TRIM(INDIRECT("Columns!O145"))="","",TRIM(INDIRECT("Columns!O145")))</f>
        <v/>
      </c>
      <c r="S145" t="str">
        <f t="shared" ca="1" si="182"/>
        <v/>
      </c>
      <c r="T145" t="str">
        <f t="shared" ca="1" si="183"/>
        <v/>
      </c>
      <c r="U145" t="str">
        <f t="shared" ca="1" si="184"/>
        <v/>
      </c>
      <c r="V145" t="str">
        <f t="shared" ca="1" si="185"/>
        <v/>
      </c>
      <c r="W145" t="str">
        <f t="shared" ca="1" si="186"/>
        <v/>
      </c>
      <c r="X145" t="str">
        <f t="shared" ca="1" si="187"/>
        <v/>
      </c>
      <c r="Y145" t="str">
        <f t="shared" ca="1" si="188"/>
        <v/>
      </c>
      <c r="Z145" t="str">
        <f t="shared" ca="1" si="212"/>
        <v/>
      </c>
      <c r="AA145" t="str">
        <f ca="1">IF(E145="1",   IF( A145="","",IF(OR(F145="1",H145="1",I145="1"),"","COALESCE (CAST("&amp;A145&amp;" as varchar(" &amp; Options!$B$49&amp; ")),'')")),"")</f>
        <v/>
      </c>
      <c r="AB145" t="str">
        <f ca="1">IF(E145="1", IF(C145="string",  IF( A145="","",IF(OR(F145="1",H145="1",I145="1"),"","COALESCE (CAST(lower("&amp;A145&amp;") as varchar(" &amp;Options!$B$49 &amp; ")),'')")),AA145),"")</f>
        <v/>
      </c>
      <c r="AC145" t="str">
        <f ca="1">IF(E145="4",   IF( A145="","",IF(OR(F145="1",H145="1",I145="1"),"","COALESCE (CAST("  &amp;A145&amp;" as varchar(" &amp; Options!$B$49&amp; ")),'')")),"")</f>
        <v/>
      </c>
      <c r="AD145" t="str">
        <f ca="1">IF(E145="4",   IF( A145="","",IF(OR(F145="1",H145="1",I145="1"),"","COALESCE (CAST(" &amp; HELPER!$B$94 &amp; "."  &amp;A145&amp;" as varchar(" &amp; Options!$B$49&amp; ")),'')")),"")</f>
        <v/>
      </c>
      <c r="AE145" t="str">
        <f t="shared" ca="1" si="189"/>
        <v/>
      </c>
      <c r="AF145" t="str">
        <f ca="1">IF(AE145&lt;&gt;"", HELPER!$B$93 &amp;  "." &amp; AE145,"")</f>
        <v/>
      </c>
      <c r="AG145" t="str">
        <f ca="1">IF(AE145&lt;&gt;"", HELPER!$B$94 &amp; "." &amp; AE145,"")</f>
        <v/>
      </c>
      <c r="AH145" t="str">
        <f t="shared" ca="1" si="213"/>
        <v/>
      </c>
      <c r="AI145" t="str">
        <f t="shared" ca="1" si="190"/>
        <v/>
      </c>
      <c r="AJ145" t="str">
        <f t="shared" ca="1" si="191"/>
        <v/>
      </c>
      <c r="AK145" t="str">
        <f ca="1">IF(E145="4", HELPER!$B$94 &amp;  "." &amp; A145,"")</f>
        <v/>
      </c>
      <c r="AL145" t="str">
        <f ca="1">IF(E145="4", HELPER!$B$93 &amp;  "." &amp; A145,"")</f>
        <v/>
      </c>
      <c r="AM145" t="str">
        <f t="shared" ca="1" si="192"/>
        <v/>
      </c>
      <c r="AN145" t="str">
        <f t="shared" ca="1" si="193"/>
        <v/>
      </c>
      <c r="AO145" t="str">
        <f ca="1">IF(A145&lt;&gt;"", IF(OR(F145="1",H145="1",I145="1"),""," "&amp; HELPER!$B$94 &amp; "." &amp; A145),"")</f>
        <v/>
      </c>
      <c r="AP145" t="str">
        <f t="shared" ca="1" si="194"/>
        <v/>
      </c>
      <c r="AQ145" t="str">
        <f t="shared" ca="1" si="219"/>
        <v/>
      </c>
      <c r="AS145" t="str">
        <f ca="1">IF(A145="","",  HELPER!$B$94 &amp;  "." &amp; A145)</f>
        <v/>
      </c>
      <c r="AT145" t="str">
        <f t="shared" ca="1" si="195"/>
        <v/>
      </c>
      <c r="AU145" t="str">
        <f t="shared" ca="1" si="196"/>
        <v/>
      </c>
      <c r="AV145" s="190" t="str">
        <f t="shared" ca="1" si="197"/>
        <v/>
      </c>
      <c r="AW145" t="str">
        <f t="shared" ca="1" si="198"/>
        <v/>
      </c>
      <c r="AY145" t="str">
        <f t="shared" ca="1" si="199"/>
        <v/>
      </c>
      <c r="BF145" t="str">
        <f t="shared" ca="1" si="200"/>
        <v/>
      </c>
      <c r="BH145" s="285" t="str">
        <f t="shared" ca="1" si="214"/>
        <v/>
      </c>
      <c r="BI145" t="str">
        <f t="shared" ca="1" si="201"/>
        <v/>
      </c>
      <c r="BJ145" t="str">
        <f t="shared" ca="1" si="202"/>
        <v/>
      </c>
      <c r="BK145" t="str">
        <f t="shared" ca="1" si="215"/>
        <v/>
      </c>
      <c r="BM145" t="str">
        <f t="shared" ca="1" si="216"/>
        <v/>
      </c>
      <c r="BN145" t="str">
        <f t="shared" ca="1" si="217"/>
        <v/>
      </c>
      <c r="BO145" t="str">
        <f t="shared" ca="1" si="203"/>
        <v/>
      </c>
      <c r="BP145" t="b">
        <f ca="1">COUNTIF(COLHELPER!A145:'COLHELPER'!A145,COLHELPER!A145)&gt;1</f>
        <v>0</v>
      </c>
      <c r="BQ145">
        <f t="shared" ca="1" si="204"/>
        <v>0</v>
      </c>
      <c r="BR145" s="290" t="str">
        <f t="shared" ca="1" si="220"/>
        <v/>
      </c>
      <c r="BS145" t="str">
        <f t="shared" ca="1" si="205"/>
        <v/>
      </c>
      <c r="BT145" t="str">
        <f t="shared" ca="1" si="218"/>
        <v/>
      </c>
      <c r="BU145" t="str">
        <f t="shared" ca="1" si="206"/>
        <v/>
      </c>
      <c r="BV145">
        <f t="shared" ca="1" si="207"/>
        <v>0</v>
      </c>
      <c r="BW145" t="str">
        <f t="shared" ca="1" si="208"/>
        <v/>
      </c>
      <c r="BX145" t="str">
        <f t="shared" ca="1" si="209"/>
        <v/>
      </c>
      <c r="BY145" t="str">
        <f ca="1">IF(R145="","",IF(R145&gt;Options!$B$3,"ALTER TABLE "&amp;HELPER!$B$4&amp;" ADD COLUMNS ("&amp;A145&amp;" "&amp;C145&amp;")",""))</f>
        <v/>
      </c>
      <c r="BZ145" t="str">
        <f ca="1">IF(R145="","",IF(R145&gt;Options!$B$3,A145,""))</f>
        <v/>
      </c>
      <c r="CA145" t="str">
        <f ca="1">IF(R145="","",IF(R145&gt;Options!$B$3,B145,""))</f>
        <v/>
      </c>
      <c r="CB145" t="str">
        <f t="shared" ca="1" si="210"/>
        <v/>
      </c>
      <c r="CC145">
        <f t="shared" ca="1" si="211"/>
        <v>0</v>
      </c>
      <c r="CD145" t="str">
        <f ca="1">IF(J145="","",Options!$B$23 &amp; "." &amp; J145)</f>
        <v/>
      </c>
    </row>
    <row r="146" spans="1:82">
      <c r="A146" s="161" t="str">
        <f t="array" aca="1" ref="A146" ca="1">IF(TRIM(INDIRECT("Columns!A146")) ="","",TRIM(INDIRECT("Columns!A146")))</f>
        <v/>
      </c>
      <c r="B146" s="161" t="str">
        <f t="shared" ca="1" si="179"/>
        <v/>
      </c>
      <c r="C146" s="161" t="str">
        <f t="shared" ca="1" si="180"/>
        <v/>
      </c>
      <c r="D146" s="161" t="str">
        <f t="shared" ca="1" si="181"/>
        <v/>
      </c>
      <c r="E146" s="161" t="str">
        <f t="array" aca="1" ref="E146" ca="1">IF(TRIM(INDIRECT("Columns!E146"))="","",TRIM(INDIRECT("Columns!E146")))</f>
        <v/>
      </c>
      <c r="F146" s="161" t="str">
        <f t="array" aca="1" ref="F146" ca="1">IF(TRIM(INDIRECT("Columns!G146"))="","",TRIM(INDIRECT("Columns!G146")))</f>
        <v/>
      </c>
      <c r="G146" s="161" t="str">
        <f t="array" aca="1" ref="G146" ca="1">IF(TRIM(INDIRECT("Columns!F146"))="","",TRIM(INDIRECT("Columns!F146")))</f>
        <v/>
      </c>
      <c r="H146" s="161" t="str">
        <f t="array" aca="1" ref="H146" ca="1">IF(TRIM(INDIRECT("Columns!H146"))="","",TRIM(INDIRECT("Columns!H146")))</f>
        <v/>
      </c>
      <c r="I146" s="161" t="str">
        <f t="array" aca="1" ref="I146" ca="1">IF(TRIM(INDIRECT("Columns!I146"))="","",TRIM(INDIRECT("Columns!I146")))</f>
        <v/>
      </c>
      <c r="J146" s="161" t="str">
        <f t="array" aca="1" ref="J146" ca="1">IF(TRIM(INDIRECT("Columns!J146"))="","",TRIM(INDIRECT("Columns!J146")))</f>
        <v/>
      </c>
      <c r="K146" s="161" t="str">
        <f t="array" aca="1" ref="K146" ca="1">IF(TRIM(INDIRECT("Columns!K146"))="","",TRIM(INDIRECT("Columns!K146")))</f>
        <v/>
      </c>
      <c r="L146" s="161" t="str">
        <f t="array" aca="1" ref="L146" ca="1">IF(TRIM(INDIRECT("Columns!L146"))="","",TRIM(INDIRECT("Columns!L146")))</f>
        <v/>
      </c>
      <c r="M146" s="161" t="str">
        <f t="array" aca="1" ref="M146" ca="1">IF(TRIM(INDIRECT("Columns!M146"))="","",TRIM(INDIRECT("Columns!M146")))</f>
        <v/>
      </c>
      <c r="N146" s="161" t="str">
        <f t="array" aca="1" ref="N146" ca="1">IF(TRIM(INDIRECT("Columns!N146"))="","",TRIM(INDIRECT("Columns!N146")))</f>
        <v/>
      </c>
      <c r="O146" s="227" t="str">
        <f t="array" aca="1" ref="O146" ca="1">IF(TRIM(INDIRECT("Columns!B146"))="","",TRIM(INDIRECT("Columns!B146")))</f>
        <v/>
      </c>
      <c r="P146" s="227" t="str">
        <f t="array" aca="1" ref="P146" ca="1">IF(TRIM(INDIRECT("Columns!C146"))="","",TRIM(INDIRECT("Columns!C146")))</f>
        <v/>
      </c>
      <c r="Q146" s="227" t="str">
        <f t="array" aca="1" ref="Q146" ca="1">IF(TRIM(INDIRECT("Columns!D146"))="","",TRIM(INDIRECT("Columns!D146")))</f>
        <v/>
      </c>
      <c r="R146" s="227" t="str">
        <f t="array" aca="1" ref="R146" ca="1">IF(TRIM(INDIRECT("Columns!O146"))="","",TRIM(INDIRECT("Columns!O146")))</f>
        <v/>
      </c>
      <c r="S146" t="str">
        <f t="shared" ca="1" si="182"/>
        <v/>
      </c>
      <c r="T146" t="str">
        <f t="shared" ca="1" si="183"/>
        <v/>
      </c>
      <c r="U146" t="str">
        <f t="shared" ca="1" si="184"/>
        <v/>
      </c>
      <c r="V146" t="str">
        <f t="shared" ca="1" si="185"/>
        <v/>
      </c>
      <c r="W146" t="str">
        <f t="shared" ca="1" si="186"/>
        <v/>
      </c>
      <c r="X146" t="str">
        <f t="shared" ca="1" si="187"/>
        <v/>
      </c>
      <c r="Y146" t="str">
        <f t="shared" ca="1" si="188"/>
        <v/>
      </c>
      <c r="Z146" t="str">
        <f t="shared" ca="1" si="212"/>
        <v/>
      </c>
      <c r="AA146" t="str">
        <f ca="1">IF(E146="1",   IF( A146="","",IF(OR(F146="1",H146="1",I146="1"),"","COALESCE (CAST("&amp;A146&amp;" as varchar(" &amp; Options!$B$49&amp; ")),'')")),"")</f>
        <v/>
      </c>
      <c r="AB146" t="str">
        <f ca="1">IF(E146="1", IF(C146="string",  IF( A146="","",IF(OR(F146="1",H146="1",I146="1"),"","COALESCE (CAST(lower("&amp;A146&amp;") as varchar(" &amp;Options!$B$49 &amp; ")),'')")),AA146),"")</f>
        <v/>
      </c>
      <c r="AC146" t="str">
        <f ca="1">IF(E146="4",   IF( A146="","",IF(OR(F146="1",H146="1",I146="1"),"","COALESCE (CAST("  &amp;A146&amp;" as varchar(" &amp; Options!$B$49&amp; ")),'')")),"")</f>
        <v/>
      </c>
      <c r="AD146" t="str">
        <f ca="1">IF(E146="4",   IF( A146="","",IF(OR(F146="1",H146="1",I146="1"),"","COALESCE (CAST(" &amp; HELPER!$B$94 &amp; "."  &amp;A146&amp;" as varchar(" &amp; Options!$B$49&amp; ")),'')")),"")</f>
        <v/>
      </c>
      <c r="AE146" t="str">
        <f t="shared" ca="1" si="189"/>
        <v/>
      </c>
      <c r="AF146" t="str">
        <f ca="1">IF(AE146&lt;&gt;"", HELPER!$B$93 &amp;  "." &amp; AE146,"")</f>
        <v/>
      </c>
      <c r="AG146" t="str">
        <f ca="1">IF(AE146&lt;&gt;"", HELPER!$B$94 &amp; "." &amp; AE146,"")</f>
        <v/>
      </c>
      <c r="AH146" t="str">
        <f t="shared" ca="1" si="213"/>
        <v/>
      </c>
      <c r="AI146" t="str">
        <f t="shared" ca="1" si="190"/>
        <v/>
      </c>
      <c r="AJ146" t="str">
        <f t="shared" ca="1" si="191"/>
        <v/>
      </c>
      <c r="AK146" t="str">
        <f ca="1">IF(E146="4", HELPER!$B$94 &amp;  "." &amp; A146,"")</f>
        <v/>
      </c>
      <c r="AL146" t="str">
        <f ca="1">IF(E146="4", HELPER!$B$93 &amp;  "." &amp; A146,"")</f>
        <v/>
      </c>
      <c r="AM146" t="str">
        <f t="shared" ca="1" si="192"/>
        <v/>
      </c>
      <c r="AN146" t="str">
        <f t="shared" ca="1" si="193"/>
        <v/>
      </c>
      <c r="AO146" t="str">
        <f ca="1">IF(A146&lt;&gt;"", IF(OR(F146="1",H146="1",I146="1"),""," "&amp; HELPER!$B$94 &amp; "." &amp; A146),"")</f>
        <v/>
      </c>
      <c r="AP146" t="str">
        <f t="shared" ca="1" si="194"/>
        <v/>
      </c>
      <c r="AQ146" t="str">
        <f t="shared" ca="1" si="219"/>
        <v/>
      </c>
      <c r="AS146" t="str">
        <f ca="1">IF(A146="","",  HELPER!$B$94 &amp;  "." &amp; A146)</f>
        <v/>
      </c>
      <c r="AT146" t="str">
        <f t="shared" ca="1" si="195"/>
        <v/>
      </c>
      <c r="AU146" t="str">
        <f t="shared" ca="1" si="196"/>
        <v/>
      </c>
      <c r="AV146" s="190" t="str">
        <f t="shared" ca="1" si="197"/>
        <v/>
      </c>
      <c r="AW146" t="str">
        <f t="shared" ca="1" si="198"/>
        <v/>
      </c>
      <c r="AY146" t="str">
        <f t="shared" ca="1" si="199"/>
        <v/>
      </c>
      <c r="BF146" t="str">
        <f t="shared" ca="1" si="200"/>
        <v/>
      </c>
      <c r="BH146" s="285" t="str">
        <f t="shared" ca="1" si="214"/>
        <v/>
      </c>
      <c r="BI146" t="str">
        <f t="shared" ca="1" si="201"/>
        <v/>
      </c>
      <c r="BJ146" t="str">
        <f t="shared" ca="1" si="202"/>
        <v/>
      </c>
      <c r="BK146" t="str">
        <f t="shared" ca="1" si="215"/>
        <v/>
      </c>
      <c r="BM146" t="str">
        <f t="shared" ca="1" si="216"/>
        <v/>
      </c>
      <c r="BN146" t="str">
        <f t="shared" ca="1" si="217"/>
        <v/>
      </c>
      <c r="BO146" t="str">
        <f t="shared" ca="1" si="203"/>
        <v/>
      </c>
      <c r="BP146" t="b">
        <f ca="1">COUNTIF(COLHELPER!A146:'COLHELPER'!A146,COLHELPER!A146)&gt;1</f>
        <v>0</v>
      </c>
      <c r="BQ146">
        <f t="shared" ca="1" si="204"/>
        <v>0</v>
      </c>
      <c r="BR146" s="290" t="str">
        <f t="shared" ca="1" si="220"/>
        <v/>
      </c>
      <c r="BS146" t="str">
        <f t="shared" ca="1" si="205"/>
        <v/>
      </c>
      <c r="BT146" t="str">
        <f t="shared" ca="1" si="218"/>
        <v/>
      </c>
      <c r="BU146" t="str">
        <f t="shared" ca="1" si="206"/>
        <v/>
      </c>
      <c r="BV146">
        <f t="shared" ca="1" si="207"/>
        <v>0</v>
      </c>
      <c r="BW146" t="str">
        <f t="shared" ca="1" si="208"/>
        <v/>
      </c>
      <c r="BX146" t="str">
        <f t="shared" ca="1" si="209"/>
        <v/>
      </c>
      <c r="BY146" t="str">
        <f ca="1">IF(R146="","",IF(R146&gt;Options!$B$3,"ALTER TABLE "&amp;HELPER!$B$4&amp;" ADD COLUMNS ("&amp;A146&amp;" "&amp;C146&amp;")",""))</f>
        <v/>
      </c>
      <c r="BZ146" t="str">
        <f ca="1">IF(R146="","",IF(R146&gt;Options!$B$3,A146,""))</f>
        <v/>
      </c>
      <c r="CA146" t="str">
        <f ca="1">IF(R146="","",IF(R146&gt;Options!$B$3,B146,""))</f>
        <v/>
      </c>
      <c r="CB146" t="str">
        <f t="shared" ca="1" si="210"/>
        <v/>
      </c>
      <c r="CC146">
        <f t="shared" ca="1" si="211"/>
        <v>0</v>
      </c>
      <c r="CD146" t="str">
        <f ca="1">IF(J146="","",Options!$B$23 &amp; "." &amp; J146)</f>
        <v/>
      </c>
    </row>
    <row r="147" spans="1:82">
      <c r="A147" s="161" t="str">
        <f t="array" aca="1" ref="A147" ca="1">IF(TRIM(INDIRECT("Columns!A147")) ="","",TRIM(INDIRECT("Columns!A147")))</f>
        <v/>
      </c>
      <c r="B147" s="161" t="str">
        <f t="shared" ca="1" si="179"/>
        <v/>
      </c>
      <c r="C147" s="161" t="str">
        <f t="shared" ca="1" si="180"/>
        <v/>
      </c>
      <c r="D147" s="161" t="str">
        <f t="shared" ca="1" si="181"/>
        <v/>
      </c>
      <c r="E147" s="161" t="str">
        <f t="array" aca="1" ref="E147" ca="1">IF(TRIM(INDIRECT("Columns!E147"))="","",TRIM(INDIRECT("Columns!E147")))</f>
        <v/>
      </c>
      <c r="F147" s="161" t="str">
        <f t="array" aca="1" ref="F147" ca="1">IF(TRIM(INDIRECT("Columns!G147"))="","",TRIM(INDIRECT("Columns!G147")))</f>
        <v/>
      </c>
      <c r="G147" s="161" t="str">
        <f t="array" aca="1" ref="G147" ca="1">IF(TRIM(INDIRECT("Columns!F147"))="","",TRIM(INDIRECT("Columns!F147")))</f>
        <v/>
      </c>
      <c r="H147" s="161" t="str">
        <f t="array" aca="1" ref="H147" ca="1">IF(TRIM(INDIRECT("Columns!H147"))="","",TRIM(INDIRECT("Columns!H147")))</f>
        <v/>
      </c>
      <c r="I147" s="161" t="str">
        <f t="array" aca="1" ref="I147" ca="1">IF(TRIM(INDIRECT("Columns!I147"))="","",TRIM(INDIRECT("Columns!I147")))</f>
        <v/>
      </c>
      <c r="J147" s="161" t="str">
        <f t="array" aca="1" ref="J147" ca="1">IF(TRIM(INDIRECT("Columns!J147"))="","",TRIM(INDIRECT("Columns!J147")))</f>
        <v/>
      </c>
      <c r="K147" s="161" t="str">
        <f t="array" aca="1" ref="K147" ca="1">IF(TRIM(INDIRECT("Columns!K147"))="","",TRIM(INDIRECT("Columns!K147")))</f>
        <v/>
      </c>
      <c r="L147" s="161" t="str">
        <f t="array" aca="1" ref="L147" ca="1">IF(TRIM(INDIRECT("Columns!L147"))="","",TRIM(INDIRECT("Columns!L147")))</f>
        <v/>
      </c>
      <c r="M147" s="161" t="str">
        <f t="array" aca="1" ref="M147" ca="1">IF(TRIM(INDIRECT("Columns!M147"))="","",TRIM(INDIRECT("Columns!M147")))</f>
        <v/>
      </c>
      <c r="N147" s="161" t="str">
        <f t="array" aca="1" ref="N147" ca="1">IF(TRIM(INDIRECT("Columns!N147"))="","",TRIM(INDIRECT("Columns!N147")))</f>
        <v/>
      </c>
      <c r="O147" s="227" t="str">
        <f t="array" aca="1" ref="O147" ca="1">IF(TRIM(INDIRECT("Columns!B147"))="","",TRIM(INDIRECT("Columns!B147")))</f>
        <v/>
      </c>
      <c r="P147" s="227" t="str">
        <f t="array" aca="1" ref="P147" ca="1">IF(TRIM(INDIRECT("Columns!C147"))="","",TRIM(INDIRECT("Columns!C147")))</f>
        <v/>
      </c>
      <c r="Q147" s="227" t="str">
        <f t="array" aca="1" ref="Q147" ca="1">IF(TRIM(INDIRECT("Columns!D147"))="","",TRIM(INDIRECT("Columns!D147")))</f>
        <v/>
      </c>
      <c r="R147" s="227" t="str">
        <f t="array" aca="1" ref="R147" ca="1">IF(TRIM(INDIRECT("Columns!O147"))="","",TRIM(INDIRECT("Columns!O147")))</f>
        <v/>
      </c>
      <c r="S147" t="str">
        <f t="shared" ca="1" si="182"/>
        <v/>
      </c>
      <c r="T147" t="str">
        <f t="shared" ca="1" si="183"/>
        <v/>
      </c>
      <c r="U147" t="str">
        <f t="shared" ca="1" si="184"/>
        <v/>
      </c>
      <c r="V147" t="str">
        <f t="shared" ca="1" si="185"/>
        <v/>
      </c>
      <c r="W147" t="str">
        <f t="shared" ca="1" si="186"/>
        <v/>
      </c>
      <c r="X147" t="str">
        <f t="shared" ca="1" si="187"/>
        <v/>
      </c>
      <c r="Y147" t="str">
        <f t="shared" ca="1" si="188"/>
        <v/>
      </c>
      <c r="Z147" t="str">
        <f t="shared" ca="1" si="212"/>
        <v/>
      </c>
      <c r="AA147" t="str">
        <f ca="1">IF(E147="1",   IF( A147="","",IF(OR(F147="1",H147="1",I147="1"),"","COALESCE (CAST("&amp;A147&amp;" as varchar(" &amp; Options!$B$49&amp; ")),'')")),"")</f>
        <v/>
      </c>
      <c r="AB147" t="str">
        <f ca="1">IF(E147="1", IF(C147="string",  IF( A147="","",IF(OR(F147="1",H147="1",I147="1"),"","COALESCE (CAST(lower("&amp;A147&amp;") as varchar(" &amp;Options!$B$49 &amp; ")),'')")),AA147),"")</f>
        <v/>
      </c>
      <c r="AC147" t="str">
        <f ca="1">IF(E147="4",   IF( A147="","",IF(OR(F147="1",H147="1",I147="1"),"","COALESCE (CAST("  &amp;A147&amp;" as varchar(" &amp; Options!$B$49&amp; ")),'')")),"")</f>
        <v/>
      </c>
      <c r="AD147" t="str">
        <f ca="1">IF(E147="4",   IF( A147="","",IF(OR(F147="1",H147="1",I147="1"),"","COALESCE (CAST(" &amp; HELPER!$B$94 &amp; "."  &amp;A147&amp;" as varchar(" &amp; Options!$B$49&amp; ")),'')")),"")</f>
        <v/>
      </c>
      <c r="AE147" t="str">
        <f t="shared" ca="1" si="189"/>
        <v/>
      </c>
      <c r="AF147" t="str">
        <f ca="1">IF(AE147&lt;&gt;"", HELPER!$B$93 &amp;  "." &amp; AE147,"")</f>
        <v/>
      </c>
      <c r="AG147" t="str">
        <f ca="1">IF(AE147&lt;&gt;"", HELPER!$B$94 &amp; "." &amp; AE147,"")</f>
        <v/>
      </c>
      <c r="AH147" t="str">
        <f t="shared" ca="1" si="213"/>
        <v/>
      </c>
      <c r="AI147" t="str">
        <f t="shared" ca="1" si="190"/>
        <v/>
      </c>
      <c r="AJ147" t="str">
        <f t="shared" ca="1" si="191"/>
        <v/>
      </c>
      <c r="AK147" t="str">
        <f ca="1">IF(E147="4", HELPER!$B$94 &amp;  "." &amp; A147,"")</f>
        <v/>
      </c>
      <c r="AL147" t="str">
        <f ca="1">IF(E147="4", HELPER!$B$93 &amp;  "." &amp; A147,"")</f>
        <v/>
      </c>
      <c r="AM147" t="str">
        <f t="shared" ca="1" si="192"/>
        <v/>
      </c>
      <c r="AN147" t="str">
        <f t="shared" ca="1" si="193"/>
        <v/>
      </c>
      <c r="AO147" t="str">
        <f ca="1">IF(A147&lt;&gt;"", IF(OR(F147="1",H147="1",I147="1"),""," "&amp; HELPER!$B$94 &amp; "." &amp; A147),"")</f>
        <v/>
      </c>
      <c r="AP147" t="str">
        <f t="shared" ca="1" si="194"/>
        <v/>
      </c>
      <c r="AQ147" t="str">
        <f t="shared" ca="1" si="219"/>
        <v/>
      </c>
      <c r="AS147" t="str">
        <f ca="1">IF(A147="","",  HELPER!$B$94 &amp;  "." &amp; A147)</f>
        <v/>
      </c>
      <c r="AT147" t="str">
        <f t="shared" ca="1" si="195"/>
        <v/>
      </c>
      <c r="AU147" t="str">
        <f t="shared" ca="1" si="196"/>
        <v/>
      </c>
      <c r="AV147" s="190" t="str">
        <f t="shared" ca="1" si="197"/>
        <v/>
      </c>
      <c r="AW147" t="str">
        <f t="shared" ca="1" si="198"/>
        <v/>
      </c>
      <c r="AY147" t="str">
        <f t="shared" ca="1" si="199"/>
        <v/>
      </c>
      <c r="BF147" t="str">
        <f t="shared" ca="1" si="200"/>
        <v/>
      </c>
      <c r="BH147" s="285" t="str">
        <f t="shared" ca="1" si="214"/>
        <v/>
      </c>
      <c r="BI147" t="str">
        <f t="shared" ca="1" si="201"/>
        <v/>
      </c>
      <c r="BJ147" t="str">
        <f t="shared" ca="1" si="202"/>
        <v/>
      </c>
      <c r="BK147" t="str">
        <f t="shared" ca="1" si="215"/>
        <v/>
      </c>
      <c r="BM147" t="str">
        <f t="shared" ca="1" si="216"/>
        <v/>
      </c>
      <c r="BN147" t="str">
        <f t="shared" ca="1" si="217"/>
        <v/>
      </c>
      <c r="BO147" t="str">
        <f t="shared" ca="1" si="203"/>
        <v/>
      </c>
      <c r="BP147" t="b">
        <f ca="1">COUNTIF(COLHELPER!A147:'COLHELPER'!A147,COLHELPER!A147)&gt;1</f>
        <v>0</v>
      </c>
      <c r="BQ147">
        <f t="shared" ca="1" si="204"/>
        <v>0</v>
      </c>
      <c r="BR147" s="290" t="str">
        <f t="shared" ca="1" si="220"/>
        <v/>
      </c>
      <c r="BS147" t="str">
        <f t="shared" ca="1" si="205"/>
        <v/>
      </c>
      <c r="BT147" t="str">
        <f t="shared" ca="1" si="218"/>
        <v/>
      </c>
      <c r="BU147" t="str">
        <f t="shared" ca="1" si="206"/>
        <v/>
      </c>
      <c r="BV147">
        <f t="shared" ca="1" si="207"/>
        <v>0</v>
      </c>
      <c r="BW147" t="str">
        <f t="shared" ca="1" si="208"/>
        <v/>
      </c>
      <c r="BX147" t="str">
        <f t="shared" ca="1" si="209"/>
        <v/>
      </c>
      <c r="BY147" t="str">
        <f ca="1">IF(R147="","",IF(R147&gt;Options!$B$3,"ALTER TABLE "&amp;HELPER!$B$4&amp;" ADD COLUMNS ("&amp;A147&amp;" "&amp;C147&amp;")",""))</f>
        <v/>
      </c>
      <c r="BZ147" t="str">
        <f ca="1">IF(R147="","",IF(R147&gt;Options!$B$3,A147,""))</f>
        <v/>
      </c>
      <c r="CA147" t="str">
        <f ca="1">IF(R147="","",IF(R147&gt;Options!$B$3,B147,""))</f>
        <v/>
      </c>
      <c r="CB147" t="str">
        <f t="shared" ca="1" si="210"/>
        <v/>
      </c>
      <c r="CC147">
        <f t="shared" ca="1" si="211"/>
        <v>0</v>
      </c>
      <c r="CD147" t="str">
        <f ca="1">IF(J147="","",Options!$B$23 &amp; "." &amp; J147)</f>
        <v/>
      </c>
    </row>
    <row r="148" spans="1:82">
      <c r="A148" s="161" t="str">
        <f t="array" aca="1" ref="A148" ca="1">IF(TRIM(INDIRECT("Columns!A148")) ="","",TRIM(INDIRECT("Columns!A148")))</f>
        <v/>
      </c>
      <c r="B148" s="161" t="str">
        <f t="shared" ca="1" si="179"/>
        <v/>
      </c>
      <c r="C148" s="161" t="str">
        <f t="shared" ca="1" si="180"/>
        <v/>
      </c>
      <c r="D148" s="161" t="str">
        <f t="shared" ca="1" si="181"/>
        <v/>
      </c>
      <c r="E148" s="161" t="str">
        <f t="array" aca="1" ref="E148" ca="1">IF(TRIM(INDIRECT("Columns!E148"))="","",TRIM(INDIRECT("Columns!E148")))</f>
        <v/>
      </c>
      <c r="F148" s="161" t="str">
        <f t="array" aca="1" ref="F148" ca="1">IF(TRIM(INDIRECT("Columns!G148"))="","",TRIM(INDIRECT("Columns!G148")))</f>
        <v/>
      </c>
      <c r="G148" s="161" t="str">
        <f t="array" aca="1" ref="G148" ca="1">IF(TRIM(INDIRECT("Columns!F148"))="","",TRIM(INDIRECT("Columns!F148")))</f>
        <v/>
      </c>
      <c r="H148" s="161" t="str">
        <f t="array" aca="1" ref="H148" ca="1">IF(TRIM(INDIRECT("Columns!H148"))="","",TRIM(INDIRECT("Columns!H148")))</f>
        <v/>
      </c>
      <c r="I148" s="161" t="str">
        <f t="array" aca="1" ref="I148" ca="1">IF(TRIM(INDIRECT("Columns!I148"))="","",TRIM(INDIRECT("Columns!I148")))</f>
        <v/>
      </c>
      <c r="J148" s="161" t="str">
        <f t="array" aca="1" ref="J148" ca="1">IF(TRIM(INDIRECT("Columns!J148"))="","",TRIM(INDIRECT("Columns!J148")))</f>
        <v/>
      </c>
      <c r="K148" s="161" t="str">
        <f t="array" aca="1" ref="K148" ca="1">IF(TRIM(INDIRECT("Columns!K148"))="","",TRIM(INDIRECT("Columns!K148")))</f>
        <v/>
      </c>
      <c r="L148" s="161" t="str">
        <f t="array" aca="1" ref="L148" ca="1">IF(TRIM(INDIRECT("Columns!L148"))="","",TRIM(INDIRECT("Columns!L148")))</f>
        <v/>
      </c>
      <c r="M148" s="161" t="str">
        <f t="array" aca="1" ref="M148" ca="1">IF(TRIM(INDIRECT("Columns!M148"))="","",TRIM(INDIRECT("Columns!M148")))</f>
        <v/>
      </c>
      <c r="N148" s="161" t="str">
        <f t="array" aca="1" ref="N148" ca="1">IF(TRIM(INDIRECT("Columns!N148"))="","",TRIM(INDIRECT("Columns!N148")))</f>
        <v/>
      </c>
      <c r="O148" s="227" t="str">
        <f t="array" aca="1" ref="O148" ca="1">IF(TRIM(INDIRECT("Columns!B148"))="","",TRIM(INDIRECT("Columns!B148")))</f>
        <v/>
      </c>
      <c r="P148" s="227" t="str">
        <f t="array" aca="1" ref="P148" ca="1">IF(TRIM(INDIRECT("Columns!C148"))="","",TRIM(INDIRECT("Columns!C148")))</f>
        <v/>
      </c>
      <c r="Q148" s="227" t="str">
        <f t="array" aca="1" ref="Q148" ca="1">IF(TRIM(INDIRECT("Columns!D148"))="","",TRIM(INDIRECT("Columns!D148")))</f>
        <v/>
      </c>
      <c r="R148" s="227" t="str">
        <f t="array" aca="1" ref="R148" ca="1">IF(TRIM(INDIRECT("Columns!O148"))="","",TRIM(INDIRECT("Columns!O148")))</f>
        <v/>
      </c>
      <c r="S148" t="str">
        <f t="shared" ca="1" si="182"/>
        <v/>
      </c>
      <c r="T148" t="str">
        <f t="shared" ca="1" si="183"/>
        <v/>
      </c>
      <c r="U148" t="str">
        <f t="shared" ca="1" si="184"/>
        <v/>
      </c>
      <c r="V148" t="str">
        <f t="shared" ca="1" si="185"/>
        <v/>
      </c>
      <c r="W148" t="str">
        <f t="shared" ca="1" si="186"/>
        <v/>
      </c>
      <c r="X148" t="str">
        <f t="shared" ca="1" si="187"/>
        <v/>
      </c>
      <c r="Y148" t="str">
        <f t="shared" ca="1" si="188"/>
        <v/>
      </c>
      <c r="Z148" t="str">
        <f t="shared" ca="1" si="212"/>
        <v/>
      </c>
      <c r="AA148" t="str">
        <f ca="1">IF(E148="1",   IF( A148="","",IF(OR(F148="1",H148="1",I148="1"),"","COALESCE (CAST("&amp;A148&amp;" as varchar(" &amp; Options!$B$49&amp; ")),'')")),"")</f>
        <v/>
      </c>
      <c r="AB148" t="str">
        <f ca="1">IF(E148="1", IF(C148="string",  IF( A148="","",IF(OR(F148="1",H148="1",I148="1"),"","COALESCE (CAST(lower("&amp;A148&amp;") as varchar(" &amp;Options!$B$49 &amp; ")),'')")),AA148),"")</f>
        <v/>
      </c>
      <c r="AC148" t="str">
        <f ca="1">IF(E148="4",   IF( A148="","",IF(OR(F148="1",H148="1",I148="1"),"","COALESCE (CAST("  &amp;A148&amp;" as varchar(" &amp; Options!$B$49&amp; ")),'')")),"")</f>
        <v/>
      </c>
      <c r="AD148" t="str">
        <f ca="1">IF(E148="4",   IF( A148="","",IF(OR(F148="1",H148="1",I148="1"),"","COALESCE (CAST(" &amp; HELPER!$B$94 &amp; "."  &amp;A148&amp;" as varchar(" &amp; Options!$B$49&amp; ")),'')")),"")</f>
        <v/>
      </c>
      <c r="AE148" t="str">
        <f t="shared" ca="1" si="189"/>
        <v/>
      </c>
      <c r="AF148" t="str">
        <f ca="1">IF(AE148&lt;&gt;"", HELPER!$B$93 &amp;  "." &amp; AE148,"")</f>
        <v/>
      </c>
      <c r="AG148" t="str">
        <f ca="1">IF(AE148&lt;&gt;"", HELPER!$B$94 &amp; "." &amp; AE148,"")</f>
        <v/>
      </c>
      <c r="AH148" t="str">
        <f t="shared" ca="1" si="213"/>
        <v/>
      </c>
      <c r="AI148" t="str">
        <f t="shared" ca="1" si="190"/>
        <v/>
      </c>
      <c r="AJ148" t="str">
        <f t="shared" ca="1" si="191"/>
        <v/>
      </c>
      <c r="AK148" t="str">
        <f ca="1">IF(E148="4", HELPER!$B$94 &amp;  "." &amp; A148,"")</f>
        <v/>
      </c>
      <c r="AL148" t="str">
        <f ca="1">IF(E148="4", HELPER!$B$93 &amp;  "." &amp; A148,"")</f>
        <v/>
      </c>
      <c r="AM148" t="str">
        <f t="shared" ca="1" si="192"/>
        <v/>
      </c>
      <c r="AN148" t="str">
        <f t="shared" ca="1" si="193"/>
        <v/>
      </c>
      <c r="AO148" t="str">
        <f ca="1">IF(A148&lt;&gt;"", IF(OR(F148="1",H148="1",I148="1"),""," "&amp; HELPER!$B$94 &amp; "." &amp; A148),"")</f>
        <v/>
      </c>
      <c r="AP148" t="str">
        <f t="shared" ca="1" si="194"/>
        <v/>
      </c>
      <c r="AQ148" t="str">
        <f t="shared" ca="1" si="219"/>
        <v/>
      </c>
      <c r="AS148" t="str">
        <f ca="1">IF(A148="","",  HELPER!$B$94 &amp;  "." &amp; A148)</f>
        <v/>
      </c>
      <c r="AT148" t="str">
        <f t="shared" ca="1" si="195"/>
        <v/>
      </c>
      <c r="AU148" t="str">
        <f t="shared" ca="1" si="196"/>
        <v/>
      </c>
      <c r="AV148" s="190" t="str">
        <f t="shared" ca="1" si="197"/>
        <v/>
      </c>
      <c r="AW148" t="str">
        <f t="shared" ca="1" si="198"/>
        <v/>
      </c>
      <c r="AY148" t="str">
        <f t="shared" ca="1" si="199"/>
        <v/>
      </c>
      <c r="BF148" t="str">
        <f t="shared" ca="1" si="200"/>
        <v/>
      </c>
      <c r="BH148" s="285" t="str">
        <f t="shared" ca="1" si="214"/>
        <v/>
      </c>
      <c r="BI148" t="str">
        <f t="shared" ca="1" si="201"/>
        <v/>
      </c>
      <c r="BJ148" t="str">
        <f t="shared" ca="1" si="202"/>
        <v/>
      </c>
      <c r="BK148" t="str">
        <f t="shared" ca="1" si="215"/>
        <v/>
      </c>
      <c r="BM148" t="str">
        <f t="shared" ca="1" si="216"/>
        <v/>
      </c>
      <c r="BN148" t="str">
        <f t="shared" ca="1" si="217"/>
        <v/>
      </c>
      <c r="BO148" t="str">
        <f t="shared" ca="1" si="203"/>
        <v/>
      </c>
      <c r="BP148" t="b">
        <f ca="1">COUNTIF(COLHELPER!A148:'COLHELPER'!A148,COLHELPER!A148)&gt;1</f>
        <v>0</v>
      </c>
      <c r="BQ148">
        <f t="shared" ca="1" si="204"/>
        <v>0</v>
      </c>
      <c r="BR148" s="290" t="str">
        <f t="shared" ca="1" si="220"/>
        <v/>
      </c>
      <c r="BS148" t="str">
        <f t="shared" ca="1" si="205"/>
        <v/>
      </c>
      <c r="BT148" t="str">
        <f t="shared" ca="1" si="218"/>
        <v/>
      </c>
      <c r="BU148" t="str">
        <f t="shared" ca="1" si="206"/>
        <v/>
      </c>
      <c r="BV148">
        <f t="shared" ca="1" si="207"/>
        <v>0</v>
      </c>
      <c r="BW148" t="str">
        <f t="shared" ca="1" si="208"/>
        <v/>
      </c>
      <c r="BX148" t="str">
        <f t="shared" ca="1" si="209"/>
        <v/>
      </c>
      <c r="BY148" t="str">
        <f ca="1">IF(R148="","",IF(R148&gt;Options!$B$3,"ALTER TABLE "&amp;HELPER!$B$4&amp;" ADD COLUMNS ("&amp;A148&amp;" "&amp;C148&amp;")",""))</f>
        <v/>
      </c>
      <c r="BZ148" t="str">
        <f ca="1">IF(R148="","",IF(R148&gt;Options!$B$3,A148,""))</f>
        <v/>
      </c>
      <c r="CA148" t="str">
        <f ca="1">IF(R148="","",IF(R148&gt;Options!$B$3,B148,""))</f>
        <v/>
      </c>
      <c r="CB148" t="str">
        <f t="shared" ca="1" si="210"/>
        <v/>
      </c>
      <c r="CC148">
        <f t="shared" ca="1" si="211"/>
        <v>0</v>
      </c>
      <c r="CD148" t="str">
        <f ca="1">IF(J148="","",Options!$B$23 &amp; "." &amp; J148)</f>
        <v/>
      </c>
    </row>
    <row r="149" spans="1:82">
      <c r="A149" s="161" t="str">
        <f t="array" aca="1" ref="A149" ca="1">IF(TRIM(INDIRECT("Columns!A149")) ="","",TRIM(INDIRECT("Columns!A149")))</f>
        <v/>
      </c>
      <c r="B149" s="161" t="str">
        <f t="shared" ca="1" si="179"/>
        <v/>
      </c>
      <c r="C149" s="161" t="str">
        <f t="shared" ca="1" si="180"/>
        <v/>
      </c>
      <c r="D149" s="161" t="str">
        <f t="shared" ca="1" si="181"/>
        <v/>
      </c>
      <c r="E149" s="161" t="str">
        <f t="array" aca="1" ref="E149" ca="1">IF(TRIM(INDIRECT("Columns!E149"))="","",TRIM(INDIRECT("Columns!E149")))</f>
        <v/>
      </c>
      <c r="F149" s="161" t="str">
        <f t="array" aca="1" ref="F149" ca="1">IF(TRIM(INDIRECT("Columns!G149"))="","",TRIM(INDIRECT("Columns!G149")))</f>
        <v/>
      </c>
      <c r="G149" s="161" t="str">
        <f t="array" aca="1" ref="G149" ca="1">IF(TRIM(INDIRECT("Columns!F149"))="","",TRIM(INDIRECT("Columns!F149")))</f>
        <v/>
      </c>
      <c r="H149" s="161" t="str">
        <f t="array" aca="1" ref="H149" ca="1">IF(TRIM(INDIRECT("Columns!H149"))="","",TRIM(INDIRECT("Columns!H149")))</f>
        <v/>
      </c>
      <c r="I149" s="161" t="str">
        <f t="array" aca="1" ref="I149" ca="1">IF(TRIM(INDIRECT("Columns!I149"))="","",TRIM(INDIRECT("Columns!I149")))</f>
        <v/>
      </c>
      <c r="J149" s="161" t="str">
        <f t="array" aca="1" ref="J149" ca="1">IF(TRIM(INDIRECT("Columns!J149"))="","",TRIM(INDIRECT("Columns!J149")))</f>
        <v/>
      </c>
      <c r="K149" s="161" t="str">
        <f t="array" aca="1" ref="K149" ca="1">IF(TRIM(INDIRECT("Columns!K149"))="","",TRIM(INDIRECT("Columns!K149")))</f>
        <v/>
      </c>
      <c r="L149" s="161" t="str">
        <f t="array" aca="1" ref="L149" ca="1">IF(TRIM(INDIRECT("Columns!L149"))="","",TRIM(INDIRECT("Columns!L149")))</f>
        <v/>
      </c>
      <c r="M149" s="161" t="str">
        <f t="array" aca="1" ref="M149" ca="1">IF(TRIM(INDIRECT("Columns!M149"))="","",TRIM(INDIRECT("Columns!M149")))</f>
        <v/>
      </c>
      <c r="N149" s="161" t="str">
        <f t="array" aca="1" ref="N149" ca="1">IF(TRIM(INDIRECT("Columns!N149"))="","",TRIM(INDIRECT("Columns!N149")))</f>
        <v/>
      </c>
      <c r="O149" s="227" t="str">
        <f t="array" aca="1" ref="O149" ca="1">IF(TRIM(INDIRECT("Columns!B149"))="","",TRIM(INDIRECT("Columns!B149")))</f>
        <v/>
      </c>
      <c r="P149" s="227" t="str">
        <f t="array" aca="1" ref="P149" ca="1">IF(TRIM(INDIRECT("Columns!C149"))="","",TRIM(INDIRECT("Columns!C149")))</f>
        <v/>
      </c>
      <c r="Q149" s="227" t="str">
        <f t="array" aca="1" ref="Q149" ca="1">IF(TRIM(INDIRECT("Columns!D149"))="","",TRIM(INDIRECT("Columns!D149")))</f>
        <v/>
      </c>
      <c r="R149" s="227" t="str">
        <f t="array" aca="1" ref="R149" ca="1">IF(TRIM(INDIRECT("Columns!O149"))="","",TRIM(INDIRECT("Columns!O149")))</f>
        <v/>
      </c>
      <c r="S149" t="str">
        <f t="shared" ca="1" si="182"/>
        <v/>
      </c>
      <c r="T149" t="str">
        <f t="shared" ca="1" si="183"/>
        <v/>
      </c>
      <c r="U149" t="str">
        <f t="shared" ca="1" si="184"/>
        <v/>
      </c>
      <c r="V149" t="str">
        <f t="shared" ca="1" si="185"/>
        <v/>
      </c>
      <c r="W149" t="str">
        <f t="shared" ca="1" si="186"/>
        <v/>
      </c>
      <c r="X149" t="str">
        <f t="shared" ca="1" si="187"/>
        <v/>
      </c>
      <c r="Y149" t="str">
        <f t="shared" ca="1" si="188"/>
        <v/>
      </c>
      <c r="Z149" t="str">
        <f t="shared" ca="1" si="212"/>
        <v/>
      </c>
      <c r="AA149" t="str">
        <f ca="1">IF(E149="1",   IF( A149="","",IF(OR(F149="1",H149="1",I149="1"),"","COALESCE (CAST("&amp;A149&amp;" as varchar(" &amp; Options!$B$49&amp; ")),'')")),"")</f>
        <v/>
      </c>
      <c r="AB149" t="str">
        <f ca="1">IF(E149="1", IF(C149="string",  IF( A149="","",IF(OR(F149="1",H149="1",I149="1"),"","COALESCE (CAST(lower("&amp;A149&amp;") as varchar(" &amp;Options!$B$49 &amp; ")),'')")),AA149),"")</f>
        <v/>
      </c>
      <c r="AC149" t="str">
        <f ca="1">IF(E149="4",   IF( A149="","",IF(OR(F149="1",H149="1",I149="1"),"","COALESCE (CAST("  &amp;A149&amp;" as varchar(" &amp; Options!$B$49&amp; ")),'')")),"")</f>
        <v/>
      </c>
      <c r="AD149" t="str">
        <f ca="1">IF(E149="4",   IF( A149="","",IF(OR(F149="1",H149="1",I149="1"),"","COALESCE (CAST(" &amp; HELPER!$B$94 &amp; "."  &amp;A149&amp;" as varchar(" &amp; Options!$B$49&amp; ")),'')")),"")</f>
        <v/>
      </c>
      <c r="AE149" t="str">
        <f t="shared" ca="1" si="189"/>
        <v/>
      </c>
      <c r="AF149" t="str">
        <f ca="1">IF(AE149&lt;&gt;"", HELPER!$B$93 &amp;  "." &amp; AE149,"")</f>
        <v/>
      </c>
      <c r="AG149" t="str">
        <f ca="1">IF(AE149&lt;&gt;"", HELPER!$B$94 &amp; "." &amp; AE149,"")</f>
        <v/>
      </c>
      <c r="AH149" t="str">
        <f t="shared" ca="1" si="213"/>
        <v/>
      </c>
      <c r="AI149" t="str">
        <f t="shared" ca="1" si="190"/>
        <v/>
      </c>
      <c r="AJ149" t="str">
        <f t="shared" ca="1" si="191"/>
        <v/>
      </c>
      <c r="AK149" t="str">
        <f ca="1">IF(E149="4", HELPER!$B$94 &amp;  "." &amp; A149,"")</f>
        <v/>
      </c>
      <c r="AL149" t="str">
        <f ca="1">IF(E149="4", HELPER!$B$93 &amp;  "." &amp; A149,"")</f>
        <v/>
      </c>
      <c r="AM149" t="str">
        <f t="shared" ca="1" si="192"/>
        <v/>
      </c>
      <c r="AN149" t="str">
        <f t="shared" ca="1" si="193"/>
        <v/>
      </c>
      <c r="AO149" t="str">
        <f ca="1">IF(A149&lt;&gt;"", IF(OR(F149="1",H149="1",I149="1"),""," "&amp; HELPER!$B$94 &amp; "." &amp; A149),"")</f>
        <v/>
      </c>
      <c r="AP149" t="str">
        <f t="shared" ca="1" si="194"/>
        <v/>
      </c>
      <c r="AQ149" t="str">
        <f t="shared" ca="1" si="219"/>
        <v/>
      </c>
      <c r="AS149" t="str">
        <f ca="1">IF(A149="","",  HELPER!$B$94 &amp;  "." &amp; A149)</f>
        <v/>
      </c>
      <c r="AT149" t="str">
        <f t="shared" ca="1" si="195"/>
        <v/>
      </c>
      <c r="AU149" t="str">
        <f t="shared" ca="1" si="196"/>
        <v/>
      </c>
      <c r="AV149" s="190" t="str">
        <f t="shared" ca="1" si="197"/>
        <v/>
      </c>
      <c r="AW149" t="str">
        <f t="shared" ca="1" si="198"/>
        <v/>
      </c>
      <c r="AY149" t="str">
        <f t="shared" ca="1" si="199"/>
        <v/>
      </c>
      <c r="BF149" t="str">
        <f t="shared" ca="1" si="200"/>
        <v/>
      </c>
      <c r="BH149" s="285" t="str">
        <f t="shared" ca="1" si="214"/>
        <v/>
      </c>
      <c r="BI149" t="str">
        <f t="shared" ca="1" si="201"/>
        <v/>
      </c>
      <c r="BJ149" t="str">
        <f t="shared" ca="1" si="202"/>
        <v/>
      </c>
      <c r="BK149" t="str">
        <f t="shared" ca="1" si="215"/>
        <v/>
      </c>
      <c r="BM149" t="str">
        <f t="shared" ca="1" si="216"/>
        <v/>
      </c>
      <c r="BN149" t="str">
        <f t="shared" ca="1" si="217"/>
        <v/>
      </c>
      <c r="BO149" t="str">
        <f t="shared" ca="1" si="203"/>
        <v/>
      </c>
      <c r="BP149" t="b">
        <f ca="1">COUNTIF(COLHELPER!A149:'COLHELPER'!A149,COLHELPER!A149)&gt;1</f>
        <v>0</v>
      </c>
      <c r="BQ149">
        <f t="shared" ca="1" si="204"/>
        <v>0</v>
      </c>
      <c r="BR149" s="290" t="str">
        <f t="shared" ca="1" si="220"/>
        <v/>
      </c>
      <c r="BS149" t="str">
        <f t="shared" ca="1" si="205"/>
        <v/>
      </c>
      <c r="BT149" t="str">
        <f t="shared" ca="1" si="218"/>
        <v/>
      </c>
      <c r="BU149" t="str">
        <f t="shared" ca="1" si="206"/>
        <v/>
      </c>
      <c r="BV149">
        <f t="shared" ca="1" si="207"/>
        <v>0</v>
      </c>
      <c r="BW149" t="str">
        <f t="shared" ca="1" si="208"/>
        <v/>
      </c>
      <c r="BX149" t="str">
        <f t="shared" ca="1" si="209"/>
        <v/>
      </c>
      <c r="BY149" t="str">
        <f ca="1">IF(R149="","",IF(R149&gt;Options!$B$3,"ALTER TABLE "&amp;HELPER!$B$4&amp;" ADD COLUMNS ("&amp;A149&amp;" "&amp;C149&amp;")",""))</f>
        <v/>
      </c>
      <c r="BZ149" t="str">
        <f ca="1">IF(R149="","",IF(R149&gt;Options!$B$3,A149,""))</f>
        <v/>
      </c>
      <c r="CA149" t="str">
        <f ca="1">IF(R149="","",IF(R149&gt;Options!$B$3,B149,""))</f>
        <v/>
      </c>
      <c r="CB149" t="str">
        <f t="shared" ca="1" si="210"/>
        <v/>
      </c>
      <c r="CC149">
        <f t="shared" ca="1" si="211"/>
        <v>0</v>
      </c>
      <c r="CD149" t="str">
        <f ca="1">IF(J149="","",Options!$B$23 &amp; "." &amp; J149)</f>
        <v/>
      </c>
    </row>
    <row r="150" spans="1:82">
      <c r="A150" s="161" t="str">
        <f t="array" aca="1" ref="A150" ca="1">IF(TRIM(INDIRECT("Columns!A150")) ="","",TRIM(INDIRECT("Columns!A150")))</f>
        <v/>
      </c>
      <c r="B150" s="161" t="str">
        <f t="shared" ca="1" si="179"/>
        <v/>
      </c>
      <c r="C150" s="161" t="str">
        <f t="shared" ca="1" si="180"/>
        <v/>
      </c>
      <c r="D150" s="161" t="str">
        <f t="shared" ca="1" si="181"/>
        <v/>
      </c>
      <c r="E150" s="161" t="str">
        <f t="array" aca="1" ref="E150" ca="1">IF(TRIM(INDIRECT("Columns!E150"))="","",TRIM(INDIRECT("Columns!E150")))</f>
        <v/>
      </c>
      <c r="F150" s="161" t="str">
        <f t="array" aca="1" ref="F150" ca="1">IF(TRIM(INDIRECT("Columns!G150"))="","",TRIM(INDIRECT("Columns!G150")))</f>
        <v/>
      </c>
      <c r="G150" s="161" t="str">
        <f t="array" aca="1" ref="G150" ca="1">IF(TRIM(INDIRECT("Columns!F150"))="","",TRIM(INDIRECT("Columns!F150")))</f>
        <v/>
      </c>
      <c r="H150" s="161" t="str">
        <f t="array" aca="1" ref="H150" ca="1">IF(TRIM(INDIRECT("Columns!H150"))="","",TRIM(INDIRECT("Columns!H150")))</f>
        <v/>
      </c>
      <c r="I150" s="161" t="str">
        <f t="array" aca="1" ref="I150" ca="1">IF(TRIM(INDIRECT("Columns!I150"))="","",TRIM(INDIRECT("Columns!I150")))</f>
        <v/>
      </c>
      <c r="J150" s="161" t="str">
        <f t="array" aca="1" ref="J150" ca="1">IF(TRIM(INDIRECT("Columns!J150"))="","",TRIM(INDIRECT("Columns!J150")))</f>
        <v/>
      </c>
      <c r="K150" s="161" t="str">
        <f t="array" aca="1" ref="K150" ca="1">IF(TRIM(INDIRECT("Columns!K150"))="","",TRIM(INDIRECT("Columns!K150")))</f>
        <v/>
      </c>
      <c r="L150" s="162" t="str">
        <f t="array" aca="1" ref="L150" ca="1">IF(TRIM(INDIRECT("Columns!L150"))="","",TRIM(INDIRECT("Columns!L150")))</f>
        <v/>
      </c>
      <c r="M150" s="162" t="str">
        <f t="array" aca="1" ref="M150" ca="1">IF(TRIM(INDIRECT("Columns!M150"))="","",TRIM(INDIRECT("Columns!M150")))</f>
        <v/>
      </c>
      <c r="N150" s="162" t="str">
        <f t="array" aca="1" ref="N150" ca="1">IF(TRIM(INDIRECT("Columns!N150"))="","",TRIM(INDIRECT("Columns!N150")))</f>
        <v/>
      </c>
      <c r="O150" s="227" t="str">
        <f t="array" aca="1" ref="O150" ca="1">IF(TRIM(INDIRECT("Columns!B150"))="","",TRIM(INDIRECT("Columns!B150")))</f>
        <v/>
      </c>
      <c r="P150" s="227" t="str">
        <f t="array" aca="1" ref="P150" ca="1">IF(TRIM(INDIRECT("Columns!C150"))="","",TRIM(INDIRECT("Columns!C150")))</f>
        <v/>
      </c>
      <c r="Q150" s="227" t="str">
        <f t="array" aca="1" ref="Q150" ca="1">IF(TRIM(INDIRECT("Columns!D150"))="","",TRIM(INDIRECT("Columns!D150")))</f>
        <v/>
      </c>
      <c r="R150" s="227" t="str">
        <f t="array" aca="1" ref="R150" ca="1">IF(TRIM(INDIRECT("Columns!O150"))="","",TRIM(INDIRECT("Columns!O150")))</f>
        <v/>
      </c>
      <c r="S150" t="str">
        <f t="shared" ca="1" si="182"/>
        <v/>
      </c>
      <c r="T150" t="str">
        <f t="shared" ca="1" si="183"/>
        <v/>
      </c>
      <c r="U150" t="str">
        <f t="shared" ca="1" si="184"/>
        <v/>
      </c>
      <c r="V150" t="str">
        <f t="shared" ca="1" si="185"/>
        <v/>
      </c>
      <c r="W150" t="str">
        <f t="shared" ca="1" si="186"/>
        <v/>
      </c>
      <c r="X150" t="str">
        <f t="shared" ca="1" si="187"/>
        <v/>
      </c>
      <c r="Y150" t="str">
        <f t="shared" ca="1" si="188"/>
        <v/>
      </c>
      <c r="Z150" t="str">
        <f t="shared" ca="1" si="212"/>
        <v/>
      </c>
      <c r="AA150" t="str">
        <f ca="1">IF(E150="1",   IF( A150="","",IF(OR(F150="1",H150="1",I150="1"),"","COALESCE (CAST("&amp;A150&amp;" as varchar(" &amp; Options!$B$49&amp; ")),'')")),"")</f>
        <v/>
      </c>
      <c r="AB150" t="str">
        <f ca="1">IF(E150="1", IF(C150="string",  IF( A150="","",IF(OR(F150="1",H150="1",I150="1"),"","COALESCE (CAST(lower("&amp;A150&amp;") as varchar(" &amp;Options!$B$49 &amp; ")),'')")),AA150),"")</f>
        <v/>
      </c>
      <c r="AC150" t="str">
        <f ca="1">IF(E150="4",   IF( A150="","",IF(OR(F150="1",H150="1",I150="1"),"","COALESCE (CAST("  &amp;A150&amp;" as varchar(" &amp; Options!$B$49&amp; ")),'')")),"")</f>
        <v/>
      </c>
      <c r="AD150" t="str">
        <f ca="1">IF(E150="4",   IF( A150="","",IF(OR(F150="1",H150="1",I150="1"),"","COALESCE (CAST(" &amp; HELPER!$B$94 &amp; "."  &amp;A150&amp;" as varchar(" &amp; Options!$B$49&amp; ")),'')")),"")</f>
        <v/>
      </c>
      <c r="AE150" t="str">
        <f t="shared" ca="1" si="189"/>
        <v/>
      </c>
      <c r="AF150" t="str">
        <f ca="1">IF(AE150&lt;&gt;"", HELPER!$B$93 &amp;  "." &amp; AE150,"")</f>
        <v/>
      </c>
      <c r="AG150" t="str">
        <f ca="1">IF(AE150&lt;&gt;"", HELPER!$B$94 &amp; "." &amp; AE150,"")</f>
        <v/>
      </c>
      <c r="AH150" t="str">
        <f t="shared" ca="1" si="213"/>
        <v/>
      </c>
      <c r="AI150" t="str">
        <f t="shared" ca="1" si="190"/>
        <v/>
      </c>
      <c r="AJ150" t="str">
        <f t="shared" ca="1" si="191"/>
        <v/>
      </c>
      <c r="AK150" t="str">
        <f ca="1">IF(E150="4", HELPER!$B$94 &amp;  "." &amp; A150,"")</f>
        <v/>
      </c>
      <c r="AL150" t="str">
        <f ca="1">IF(E150="4", HELPER!$B$93 &amp;  "." &amp; A150,"")</f>
        <v/>
      </c>
      <c r="AM150" t="str">
        <f t="shared" ca="1" si="192"/>
        <v/>
      </c>
      <c r="AN150" t="str">
        <f t="shared" ca="1" si="193"/>
        <v/>
      </c>
      <c r="AO150" t="str">
        <f ca="1">IF(A150&lt;&gt;"", IF(OR(F150="1",H150="1",I150="1"),""," "&amp; HELPER!$B$94 &amp; "." &amp; A150),"")</f>
        <v/>
      </c>
      <c r="AP150" t="str">
        <f t="shared" ca="1" si="194"/>
        <v/>
      </c>
      <c r="AQ150" t="str">
        <f t="shared" ca="1" si="219"/>
        <v/>
      </c>
      <c r="AS150" t="str">
        <f ca="1">IF(A150="","",  HELPER!$B$94 &amp;  "." &amp; A150)</f>
        <v/>
      </c>
      <c r="AT150" t="str">
        <f t="shared" ca="1" si="195"/>
        <v/>
      </c>
      <c r="AU150" t="str">
        <f t="shared" ca="1" si="196"/>
        <v/>
      </c>
      <c r="AV150" s="190" t="str">
        <f t="shared" ca="1" si="197"/>
        <v/>
      </c>
      <c r="AW150" t="str">
        <f t="shared" ca="1" si="198"/>
        <v/>
      </c>
      <c r="AY150" t="str">
        <f t="shared" ca="1" si="199"/>
        <v/>
      </c>
      <c r="BF150" t="str">
        <f t="shared" ca="1" si="200"/>
        <v/>
      </c>
      <c r="BH150" s="285" t="str">
        <f t="shared" ca="1" si="214"/>
        <v/>
      </c>
      <c r="BI150" t="str">
        <f t="shared" ca="1" si="201"/>
        <v/>
      </c>
      <c r="BJ150" t="str">
        <f t="shared" ca="1" si="202"/>
        <v/>
      </c>
      <c r="BK150" t="str">
        <f t="shared" ca="1" si="215"/>
        <v/>
      </c>
      <c r="BM150" t="str">
        <f t="shared" ca="1" si="216"/>
        <v/>
      </c>
      <c r="BN150" t="str">
        <f t="shared" ca="1" si="217"/>
        <v/>
      </c>
      <c r="BO150" t="str">
        <f t="shared" ca="1" si="203"/>
        <v/>
      </c>
      <c r="BP150" t="b">
        <f ca="1">COUNTIF(COLHELPER!A150:'COLHELPER'!A150,COLHELPER!A150)&gt;1</f>
        <v>0</v>
      </c>
      <c r="BQ150">
        <f t="shared" ca="1" si="204"/>
        <v>0</v>
      </c>
      <c r="BR150" s="290" t="str">
        <f t="shared" ca="1" si="220"/>
        <v/>
      </c>
      <c r="BS150" t="str">
        <f t="shared" ca="1" si="205"/>
        <v/>
      </c>
      <c r="BT150" t="str">
        <f t="shared" ca="1" si="218"/>
        <v/>
      </c>
      <c r="BU150" t="str">
        <f t="shared" ca="1" si="206"/>
        <v/>
      </c>
      <c r="BV150">
        <f t="shared" ca="1" si="207"/>
        <v>0</v>
      </c>
      <c r="BW150" t="str">
        <f t="shared" ca="1" si="208"/>
        <v/>
      </c>
      <c r="BX150" t="str">
        <f t="shared" ca="1" si="209"/>
        <v/>
      </c>
      <c r="BY150" t="str">
        <f ca="1">IF(R150="","",IF(R150&gt;Options!$B$3,"ALTER TABLE "&amp;HELPER!$B$4&amp;" ADD COLUMNS ("&amp;A150&amp;" "&amp;C150&amp;")",""))</f>
        <v/>
      </c>
      <c r="BZ150" t="str">
        <f ca="1">IF(R150="","",IF(R150&gt;Options!$B$3,A150,""))</f>
        <v/>
      </c>
      <c r="CA150" t="str">
        <f ca="1">IF(R150="","",IF(R150&gt;Options!$B$3,B150,""))</f>
        <v/>
      </c>
      <c r="CB150" t="str">
        <f t="shared" ca="1" si="210"/>
        <v/>
      </c>
      <c r="CC150">
        <f t="shared" ca="1" si="211"/>
        <v>0</v>
      </c>
      <c r="CD150" t="str">
        <f ca="1">IF(J150="","",Options!$B$23 &amp; "." &amp; J150)</f>
        <v/>
      </c>
    </row>
    <row r="151" spans="1:82" s="192" customFormat="1">
      <c r="A151" s="163"/>
      <c r="B151" s="163"/>
      <c r="C151" s="163"/>
      <c r="D151" s="163"/>
      <c r="E151" s="163"/>
      <c r="F151" s="163" t="str">
        <f t="array" aca="1" ref="F151" ca="1">IF(TRIM(INDIRECT("Columns!G149"))="","",TRIM(INDIRECT("Columns!G149")))</f>
        <v/>
      </c>
      <c r="G151" s="163" t="str">
        <f t="array" aca="1" ref="G151" ca="1">IF(TRIM(INDIRECT("Columns!F150"))="","",TRIM(INDIRECT("Columns!F150")))</f>
        <v/>
      </c>
      <c r="H151" s="163" t="str">
        <f t="array" aca="1" ref="H151" ca="1">IF(TRIM(INDIRECT("Columns!H150"))="","",TRIM(INDIRECT("Columns!H150")))</f>
        <v/>
      </c>
      <c r="I151" s="163"/>
      <c r="J151" s="163"/>
      <c r="K151" s="163"/>
      <c r="L151" s="163"/>
      <c r="M151" s="163"/>
      <c r="N151" s="163"/>
      <c r="AV151" s="190"/>
      <c r="BH151" s="106"/>
    </row>
    <row r="152" spans="1:82" ht="45" customHeight="1">
      <c r="B152" s="164" t="str">
        <f ca="1">_xlfn.TEXTJOIN(", ",TRUE,B2:B150)</f>
        <v>wkVehicle, 1 AS has_communicated_last_90_days, lake_arrival_date</v>
      </c>
      <c r="F152" s="164">
        <f ca="1">SUM(F153:F267)</f>
        <v>1</v>
      </c>
      <c r="S152" s="190" t="str">
        <f ca="1">_xlfn.TEXTJOIN(", ",TRUE,S2:S150)</f>
        <v>wkVehicle bigint, has_communicated_last_90_days bigint, lake_arrival_date string</v>
      </c>
      <c r="T152" t="str">
        <f ca="1">_xlfn.TEXTJOIN(", ",TRUE,T2:T150)</f>
        <v>wkVehicle</v>
      </c>
      <c r="U152" t="str">
        <f ca="1">_xlfn.TEXTJOIN(", ",TRUE,U2:U150)</f>
        <v>wkVehicle</v>
      </c>
      <c r="W152" t="str">
        <f ca="1">_xlfn.TEXTJOIN(", ",TRUE,W2:W150)</f>
        <v/>
      </c>
      <c r="X152" s="285" t="str">
        <f ca="1">_xlfn.TEXTJOIN(", ",TRUE,X2:X150)</f>
        <v/>
      </c>
      <c r="AE152" t="str">
        <f ca="1">_xlfn.TEXTJOIN("|",TRUE,AE2:AE150)</f>
        <v>wkVehicle</v>
      </c>
      <c r="AI152" s="190" t="str">
        <f ca="1">_xlfn.TEXTJOIN(" AND ", TRUE,AI2:AI150)</f>
        <v/>
      </c>
      <c r="AJ152" s="190" t="str">
        <f ca="1">_xlfn.TEXTJOIN(", ",TRUE,AJ2:AJ150)</f>
        <v/>
      </c>
      <c r="AK152" s="190" t="str">
        <f ca="1">_xlfn.TEXTJOIN(", ", TRUE,AK2:AK150)</f>
        <v/>
      </c>
      <c r="AM152" s="190" t="str">
        <f ca="1">_xlfn.TEXTJOIN(" AND ",TRUE,AM2:AM150)</f>
        <v/>
      </c>
      <c r="AP152" s="10" t="str">
        <f ca="1">_xlfn.TEXTJOIN(",",TRUE,AP2:AP150)</f>
        <v>has_communicated_last_90_days =  src.has_communicated_last_90_days</v>
      </c>
      <c r="AQ152" s="10" t="str">
        <f ca="1">_xlfn.TEXTJOIN(",",TRUE,AQ2:AQ150)</f>
        <v/>
      </c>
      <c r="AR152" s="190"/>
      <c r="AW152" s="285" t="str">
        <f ca="1">_xlfn.TEXTJOIN(", ",TRUE,AW2:AW150)</f>
        <v>src.wkVehicle, COALESCE(src.lake_arrival_date,'')</v>
      </c>
      <c r="BH152" s="285"/>
      <c r="BR152" t="str">
        <f ca="1">_xlfn.TEXTJOIN(" AND ",TRUE,BR2:BR150)</f>
        <v>lake_arrival_date='[:date_yyyy_mm_dd]'</v>
      </c>
      <c r="CC152" s="285">
        <f ca="1">SUM(CC2:CC150)</f>
        <v>0</v>
      </c>
      <c r="CD152" t="str">
        <f ca="1">_xlfn.TEXTJOIN(", ", TRUE,CD2:CD150)</f>
        <v/>
      </c>
    </row>
    <row r="153" spans="1:82">
      <c r="F153" s="164">
        <f ca="1">IF(F2="1",VALUE(F2),0)</f>
        <v>0</v>
      </c>
      <c r="BH153" s="285"/>
    </row>
    <row r="154" spans="1:82">
      <c r="F154" s="164">
        <f t="shared" ref="F154:F217" ca="1" si="221">IF(F3="1",VALUE(F3),0)</f>
        <v>0</v>
      </c>
      <c r="BH154" s="285"/>
    </row>
    <row r="155" spans="1:82">
      <c r="F155" s="164">
        <f t="shared" ca="1" si="221"/>
        <v>1</v>
      </c>
      <c r="BH155" s="285"/>
    </row>
    <row r="156" spans="1:82">
      <c r="F156" s="164">
        <f t="shared" ca="1" si="221"/>
        <v>0</v>
      </c>
      <c r="BH156" s="285"/>
    </row>
    <row r="157" spans="1:82">
      <c r="F157" s="164">
        <f t="shared" ca="1" si="221"/>
        <v>0</v>
      </c>
      <c r="BH157" s="285"/>
    </row>
    <row r="158" spans="1:82">
      <c r="F158" s="164">
        <f t="shared" ca="1" si="221"/>
        <v>0</v>
      </c>
      <c r="BH158" s="285"/>
    </row>
    <row r="159" spans="1:82">
      <c r="F159" s="164">
        <f t="shared" ca="1" si="221"/>
        <v>0</v>
      </c>
      <c r="BH159" s="285"/>
    </row>
    <row r="160" spans="1:82">
      <c r="F160" s="164">
        <f t="shared" ca="1" si="221"/>
        <v>0</v>
      </c>
      <c r="BH160" s="285"/>
    </row>
    <row r="161" spans="6:74">
      <c r="F161" s="164">
        <f t="shared" ca="1" si="221"/>
        <v>0</v>
      </c>
      <c r="BH161" s="285"/>
    </row>
    <row r="162" spans="6:74">
      <c r="F162" s="164">
        <f t="shared" ca="1" si="221"/>
        <v>0</v>
      </c>
      <c r="BH162" s="285"/>
    </row>
    <row r="163" spans="6:74">
      <c r="F163" s="164">
        <f t="shared" ca="1" si="221"/>
        <v>0</v>
      </c>
      <c r="BH163" s="285"/>
    </row>
    <row r="164" spans="6:74">
      <c r="F164" s="164">
        <f t="shared" ca="1" si="221"/>
        <v>0</v>
      </c>
      <c r="BH164" s="285"/>
    </row>
    <row r="165" spans="6:74">
      <c r="F165" s="164">
        <f t="shared" ca="1" si="221"/>
        <v>0</v>
      </c>
      <c r="BH165" s="285"/>
    </row>
    <row r="166" spans="6:74">
      <c r="F166" s="164">
        <f t="shared" ca="1" si="221"/>
        <v>0</v>
      </c>
      <c r="BH166" s="285"/>
    </row>
    <row r="167" spans="6:74">
      <c r="F167" s="164">
        <f t="shared" ca="1" si="221"/>
        <v>0</v>
      </c>
      <c r="G167" s="164" t="str">
        <f t="array" aca="1" ref="G167" ca="1">IF(TRIM(INDIRECT("Columns!D2"))="","",TRIM(INDIRECT("Columns!D2")))</f>
        <v/>
      </c>
      <c r="S167" t="str">
        <f t="shared" ref="S167:S198" si="222">IF(A167="","",A167 &amp; " " &amp; IF(C167="array&lt;varchar&gt;","array&lt;string&gt;",C167))</f>
        <v/>
      </c>
      <c r="V167" t="str">
        <f t="shared" ref="V167:V198" si="223">IF(A167="","",IF(F167&lt;&gt;"1",S167,""))</f>
        <v/>
      </c>
      <c r="Y167" t="str">
        <f t="shared" ref="Y167:Y198" ca="1" si="224">IF(F167="1",A167 &amp; " " &amp; C167,"" )</f>
        <v/>
      </c>
      <c r="Z167" t="str">
        <f t="shared" ref="Z167:Z198" ca="1" si="225">IF(F167="1",A167,"")</f>
        <v/>
      </c>
      <c r="AA167" t="str">
        <f>IF( A167="","",IF(OR(F167="1",H167="1",I167="1"),"","COALESCE (CAST("&amp;A167&amp;" as varchar(" &amp; Options!$B$49&amp; ")),'')"))</f>
        <v/>
      </c>
      <c r="AB167" t="str">
        <f>IF(C167="string",  IF( A167="","",IF(OR(F167="1",H167="1",I167="1"),"","COALESCE (CAST(lower("&amp;A167&amp;") as varchar(" &amp;Options!$B$49 &amp; ")),'')")),AA167)</f>
        <v/>
      </c>
      <c r="AE167" t="str">
        <f t="shared" ref="AE167:AE198" si="226">IF(H167="1",A167,"")</f>
        <v/>
      </c>
      <c r="AF167" t="str">
        <f>IF(AE167&lt;&gt;"", HELPER!$B$93 &amp;  "." &amp; AE167,"")</f>
        <v/>
      </c>
      <c r="AG167" t="str">
        <f>IF(AE167&lt;&gt;"", HELPER!$B$94 &amp; "." &amp; AE167,"")</f>
        <v/>
      </c>
      <c r="AH167" t="str">
        <f t="shared" ref="AH167:AH198" si="227">IF(AE167&lt;&gt;"",AF167&amp;" = "&amp;AU167,"")</f>
        <v/>
      </c>
      <c r="AN167" t="str">
        <f t="shared" ref="AN167:AN198" si="228">IF(A167="","", IF(OR(F167="1",H167="1",I167="1"),"", A167))</f>
        <v/>
      </c>
      <c r="AO167" t="str">
        <f>IF(A167&lt;&gt;"", IF(OR(F167="1",H167="1",I167="1"),""," "&amp; HELPER!$B$94 &amp; "." &amp; A167),"")</f>
        <v/>
      </c>
      <c r="AP167" t="str">
        <f t="shared" ref="AP167:AP198" si="229">IF(A167="","", IF(AN167="","",AN167 &amp; " = " &amp; AO167))</f>
        <v/>
      </c>
      <c r="AS167" t="str">
        <f>IF(A167="","",  HELPER!$B$94 &amp;  "." &amp; A167)</f>
        <v/>
      </c>
      <c r="AT167" t="str">
        <f t="shared" ref="AT167:AT198" si="230">IF(I167="1",A167,"")</f>
        <v/>
      </c>
      <c r="AU167" t="str">
        <f t="shared" ref="AU167:AU198" si="231">IF(C167="string","COALESCE(" &amp; AS167 &amp; ",'')",AS167)</f>
        <v/>
      </c>
      <c r="AX167" t="str">
        <f>IF(COLUMNS!J118="","","LEFT JOIN "&amp; Options!$B$23 &amp; "." &amp;  COLUMNS!J118 &amp; " ON ")</f>
        <v/>
      </c>
      <c r="AY167" t="str">
        <f t="shared" ref="AY167:AY198" si="232">IF(A167="","",IF(I167="1","", IF(B167="",A167, B167) &amp;" AS "&amp;A167))</f>
        <v/>
      </c>
      <c r="BA167" t="str">
        <f>IF(AZ167="","", "CAST(" &amp; AZ167 &amp; " AS varchar(" &amp; Options!$B$49 &amp; "))")</f>
        <v/>
      </c>
      <c r="BB167" t="str">
        <f t="shared" ref="BB167:BB198" ca="1" si="233">IF(F167="1",IF(B167="",A167,B167),"")</f>
        <v/>
      </c>
      <c r="BC167" t="str">
        <f>IF(AZ167="","","COALESCE(" &amp;  AZ167 &amp; "," &amp; IF(C167="string","''",0  ) &amp; ") AS " &amp; A167)</f>
        <v/>
      </c>
      <c r="BE167" t="str">
        <f t="shared" ref="BE167:BE202" si="234">IF(AE167="","","t1." &amp; AE167 &amp; " =  t2." &amp; AE167)</f>
        <v/>
      </c>
      <c r="BF167" t="str">
        <f t="shared" ref="BF167:BF198" si="235">IF(A167="","",IF(I167="1","",B167&amp;" AS "&amp;A167))</f>
        <v/>
      </c>
      <c r="BG167" t="str">
        <f t="shared" ref="BG167:BG198" si="236">IF(AT167="","",AT167 &amp; "=-1")</f>
        <v/>
      </c>
      <c r="BH167" s="285" t="str">
        <f ca="1">IF(G167="",   IF(B167="","","COALESCE(" &amp;  B167 &amp; "," &amp; IF(C167="string","''",0  ) &amp; ") AS " &amp; A167),G167 &amp; " AS " &amp;A167 )</f>
        <v/>
      </c>
      <c r="BJ167" t="str">
        <f t="shared" ref="BJ167:BJ198" si="237">IF(A167="","",IF(I167="1","-1",IF(C167="string","'missing'","0")))</f>
        <v/>
      </c>
      <c r="BM167" t="str">
        <f>IF(A167="","",IF(I167="1","",IF(C167&lt;&gt;D167,  IF(AND(D167="string",C167="timestamp"),"cast(from_iso8601_timestamp(" &amp; BO167 &amp; ") as timestamp) AS " &amp; A167, IF(AND(D167="string",C167="date"),"cast( from_iso8601_timestamp(" &amp; BO167 &amp;") as date) AS " &amp; A167,"")),BO167 &amp; " AS " &amp; A167)))</f>
        <v/>
      </c>
      <c r="BN167" t="str">
        <f>IF(A167="","",IF(I167="1","",IF(C167&lt;&gt;D167,  IF(AND(D167="string",C167="timestamp"),"cast(from_iso8601_timestamp(" &amp; BO167 &amp; ") as timestamp) AS " &amp; A167, IF(AND(D167="string",C167="date"),"cast( from_iso8601_timestamp(" &amp; BO167 &amp;") as date) AS " &amp; A167,"")),BO167 &amp; " AS " &amp; A167)))</f>
        <v/>
      </c>
      <c r="BO167" t="str">
        <f t="shared" ref="BO167:BO198" ca="1" si="238">IF(G167="", IF(B167="","","f." &amp; B167),G167)</f>
        <v/>
      </c>
      <c r="BR167" t="str">
        <f t="shared" ref="BR167:BR198" si="239">IF(M167&lt;&gt;"",A167 &amp; M167,"")</f>
        <v/>
      </c>
      <c r="BS167" t="str">
        <f t="shared" ref="BS167:BS198" ca="1" si="240">IF(F167="1",SUBSTITUTE(BR167,"'",""),"")</f>
        <v/>
      </c>
      <c r="BT167" t="str">
        <f>IF(N167="","", SUBSTITUTE(BR167,"[:date_yyyy_mm_dd]",  N167))</f>
        <v/>
      </c>
      <c r="BU167" t="str">
        <f t="shared" ref="BU167:BU198" si="241">IF(N167="","",SUBSTITUTE(BS167,"[:date_yyyy_mm_dd]",SUBSTITUTE(N167,"'","")))</f>
        <v/>
      </c>
      <c r="BV167">
        <f t="shared" ref="BV167:BV198" si="242">IF(A166="",0,1)</f>
        <v>0</v>
      </c>
    </row>
    <row r="168" spans="6:74">
      <c r="F168" s="164">
        <f t="shared" ca="1" si="221"/>
        <v>0</v>
      </c>
      <c r="G168" s="164" t="str">
        <f t="array" aca="1" ref="G168" ca="1">IF(TRIM(INDIRECT("Columns!D2"))="","",TRIM(INDIRECT("Columns!D2")))</f>
        <v/>
      </c>
      <c r="S168" t="str">
        <f t="shared" si="222"/>
        <v/>
      </c>
      <c r="V168" t="str">
        <f t="shared" si="223"/>
        <v/>
      </c>
      <c r="Y168" t="str">
        <f t="shared" ca="1" si="224"/>
        <v/>
      </c>
      <c r="Z168" t="str">
        <f t="shared" ca="1" si="225"/>
        <v/>
      </c>
      <c r="AA168" t="str">
        <f>IF( A168="","",IF(OR(F168="1",H168="1",I168="1"),"","COALESCE (CAST("&amp;A168&amp;" as varchar(" &amp; Options!$B$49&amp; ")),'')"))</f>
        <v/>
      </c>
      <c r="AB168" t="str">
        <f>IF(C168="string",  IF( A168="","",IF(OR(F168="1",H168="1",I168="1"),"","COALESCE (CAST(lower("&amp;A168&amp;") as varchar(" &amp;Options!$B$49 &amp; ")),'')")),AA168)</f>
        <v/>
      </c>
      <c r="AE168" t="str">
        <f t="shared" si="226"/>
        <v/>
      </c>
      <c r="AF168" t="str">
        <f>IF(AE168&lt;&gt;"", HELPER!$B$93 &amp;  "." &amp; AE168,"")</f>
        <v/>
      </c>
      <c r="AG168" t="str">
        <f>IF(AE168&lt;&gt;"", HELPER!$B$94 &amp; "." &amp; AE168,"")</f>
        <v/>
      </c>
      <c r="AH168" t="str">
        <f t="shared" si="227"/>
        <v/>
      </c>
      <c r="AN168" t="str">
        <f t="shared" si="228"/>
        <v/>
      </c>
      <c r="AO168" t="str">
        <f>IF(A168&lt;&gt;"", IF(OR(F168="1",H168="1",I168="1"),""," "&amp; HELPER!$B$94 &amp; "." &amp; A168),"")</f>
        <v/>
      </c>
      <c r="AP168" t="str">
        <f t="shared" si="229"/>
        <v/>
      </c>
      <c r="AS168" t="str">
        <f>IF(A168="","",  HELPER!$B$94 &amp;  "." &amp; A168)</f>
        <v/>
      </c>
      <c r="AT168" t="str">
        <f t="shared" si="230"/>
        <v/>
      </c>
      <c r="AU168" t="str">
        <f t="shared" si="231"/>
        <v/>
      </c>
      <c r="AX168" t="str">
        <f>IF(COLUMNS!J119="","","LEFT JOIN "&amp; Options!$B$23 &amp; "." &amp;  COLUMNS!J119 &amp; " ON ")</f>
        <v/>
      </c>
      <c r="AY168" t="str">
        <f t="shared" si="232"/>
        <v/>
      </c>
      <c r="BA168" t="str">
        <f>IF(AZ168="","", "CAST(" &amp; AZ168 &amp; " AS varchar(" &amp; Options!$B$49 &amp; "))")</f>
        <v/>
      </c>
      <c r="BB168" t="str">
        <f t="shared" ca="1" si="233"/>
        <v/>
      </c>
      <c r="BC168" t="str">
        <f t="shared" ref="BC168:BC198" si="243">IF(AZ168="","","COALESCE(" &amp; AZ168 &amp; "," &amp; IF(C168="string","''",0 ) &amp; ") AS " &amp; A168)</f>
        <v/>
      </c>
      <c r="BE168" t="str">
        <f t="shared" si="234"/>
        <v/>
      </c>
      <c r="BF168" t="str">
        <f t="shared" si="235"/>
        <v/>
      </c>
      <c r="BG168" t="str">
        <f t="shared" si="236"/>
        <v/>
      </c>
      <c r="BH168" s="285" t="str">
        <f t="shared" ref="BH168:BH198" ca="1" si="244">IF(G168="", IF(B168="","","COALESCE(" &amp; B168 &amp; "," &amp; IF(C168="string","''",0 ) &amp; ") AS " &amp; A168),G168 &amp; " AS " &amp;A168 )</f>
        <v/>
      </c>
      <c r="BJ168" t="str">
        <f t="shared" si="237"/>
        <v/>
      </c>
      <c r="BM168" t="str">
        <f t="shared" ref="BM168:BM198" si="245">IF(A168="","",IF(I168="1","",IF(C168&lt;&gt;D168, IF(AND(D168="string",C168="timestamp"),"cast(from_iso8601_timestamp(" &amp; BO168 &amp; ") as timestamp) AS " &amp; A168, IF(AND(D168="string",C168="date"),"cast( from_iso8601_timestamp(" &amp; BO168 &amp;") as date) AS " &amp; A168,"")),BO168 &amp; " AS " &amp; A168)))</f>
        <v/>
      </c>
      <c r="BN168" t="str">
        <f t="shared" ref="BN168:BN198" si="246">IF(A168="","",IF(I168="1","",IF(C168&lt;&gt;D168, IF(AND(D168="string",C168="timestamp"),"cast(from_iso8601_timestamp(" &amp; BO168 &amp; ") as timestamp) AS " &amp; A168, IF(AND(D168="string",C168="date"),"cast( from_iso8601_timestamp(" &amp; BO168 &amp;") as date) AS " &amp; A168,"")),BO168 &amp; " AS " &amp; A168)))</f>
        <v/>
      </c>
      <c r="BO168" t="str">
        <f t="shared" ca="1" si="238"/>
        <v/>
      </c>
      <c r="BR168" t="str">
        <f t="shared" si="239"/>
        <v/>
      </c>
      <c r="BS168" t="str">
        <f t="shared" ca="1" si="240"/>
        <v/>
      </c>
      <c r="BT168" t="str">
        <f t="shared" ref="BT168:BT198" si="247">IF(N168="","", SUBSTITUTE(BR168,"[:date_yyyy_mm_dd]", N168))</f>
        <v/>
      </c>
      <c r="BU168" t="str">
        <f t="shared" si="241"/>
        <v/>
      </c>
      <c r="BV168">
        <f t="shared" si="242"/>
        <v>0</v>
      </c>
    </row>
    <row r="169" spans="6:74">
      <c r="F169" s="164">
        <f t="shared" ca="1" si="221"/>
        <v>0</v>
      </c>
      <c r="G169" s="164" t="str">
        <f t="array" aca="1" ref="G169" ca="1">IF(TRIM(INDIRECT("Columns!D2"))="","",TRIM(INDIRECT("Columns!D2")))</f>
        <v/>
      </c>
      <c r="S169" t="str">
        <f t="shared" si="222"/>
        <v/>
      </c>
      <c r="V169" t="str">
        <f t="shared" si="223"/>
        <v/>
      </c>
      <c r="Y169" t="str">
        <f t="shared" ca="1" si="224"/>
        <v/>
      </c>
      <c r="Z169" t="str">
        <f t="shared" ca="1" si="225"/>
        <v/>
      </c>
      <c r="AA169" t="str">
        <f>IF( A169="","",IF(OR(F169="1",H169="1",I169="1"),"","COALESCE (CAST("&amp;A169&amp;" as varchar(" &amp; Options!$B$49&amp; ")),'')"))</f>
        <v/>
      </c>
      <c r="AB169" t="str">
        <f>IF(C169="string",  IF( A169="","",IF(OR(F169="1",H169="1",I169="1"),"","COALESCE (CAST(lower("&amp;A169&amp;") as varchar(" &amp;Options!$B$49 &amp; ")),'')")),AA169)</f>
        <v/>
      </c>
      <c r="AE169" t="str">
        <f t="shared" si="226"/>
        <v/>
      </c>
      <c r="AF169" t="str">
        <f>IF(AE169&lt;&gt;"", HELPER!$B$93 &amp;  "." &amp; AE169,"")</f>
        <v/>
      </c>
      <c r="AG169" t="str">
        <f>IF(AE169&lt;&gt;"", HELPER!$B$94 &amp; "." &amp; AE169,"")</f>
        <v/>
      </c>
      <c r="AH169" t="str">
        <f t="shared" si="227"/>
        <v/>
      </c>
      <c r="AN169" t="str">
        <f t="shared" si="228"/>
        <v/>
      </c>
      <c r="AO169" t="str">
        <f>IF(A169&lt;&gt;"", IF(OR(F169="1",H169="1",I169="1"),""," "&amp; HELPER!$B$94 &amp; "." &amp; A169),"")</f>
        <v/>
      </c>
      <c r="AP169" t="str">
        <f t="shared" si="229"/>
        <v/>
      </c>
      <c r="AS169" t="str">
        <f>IF(A169="","",  HELPER!$B$94 &amp;  "." &amp; A169)</f>
        <v/>
      </c>
      <c r="AT169" t="str">
        <f t="shared" si="230"/>
        <v/>
      </c>
      <c r="AU169" t="str">
        <f t="shared" si="231"/>
        <v/>
      </c>
      <c r="AX169" t="str">
        <f>IF(COLUMNS!J120="","","LEFT JOIN "&amp; Options!$B$23 &amp; "." &amp;  COLUMNS!J120 &amp; " ON ")</f>
        <v/>
      </c>
      <c r="AY169" t="str">
        <f t="shared" si="232"/>
        <v/>
      </c>
      <c r="BA169" t="str">
        <f>IF(AZ169="","", "CAST(" &amp; AZ169 &amp; " AS varchar(" &amp; Options!$B$49 &amp; "))")</f>
        <v/>
      </c>
      <c r="BB169" t="str">
        <f t="shared" ca="1" si="233"/>
        <v/>
      </c>
      <c r="BC169" t="str">
        <f t="shared" si="243"/>
        <v/>
      </c>
      <c r="BE169" t="str">
        <f t="shared" si="234"/>
        <v/>
      </c>
      <c r="BF169" t="str">
        <f t="shared" si="235"/>
        <v/>
      </c>
      <c r="BG169" t="str">
        <f t="shared" si="236"/>
        <v/>
      </c>
      <c r="BH169" s="285" t="str">
        <f t="shared" ca="1" si="244"/>
        <v/>
      </c>
      <c r="BJ169" t="str">
        <f t="shared" si="237"/>
        <v/>
      </c>
      <c r="BM169" t="str">
        <f t="shared" si="245"/>
        <v/>
      </c>
      <c r="BN169" t="str">
        <f t="shared" si="246"/>
        <v/>
      </c>
      <c r="BO169" t="str">
        <f t="shared" ca="1" si="238"/>
        <v/>
      </c>
      <c r="BR169" t="str">
        <f t="shared" si="239"/>
        <v/>
      </c>
      <c r="BS169" t="str">
        <f t="shared" ca="1" si="240"/>
        <v/>
      </c>
      <c r="BT169" t="str">
        <f t="shared" si="247"/>
        <v/>
      </c>
      <c r="BU169" t="str">
        <f t="shared" si="241"/>
        <v/>
      </c>
      <c r="BV169">
        <f t="shared" si="242"/>
        <v>0</v>
      </c>
    </row>
    <row r="170" spans="6:74">
      <c r="F170" s="164">
        <f t="shared" ca="1" si="221"/>
        <v>0</v>
      </c>
      <c r="G170" s="164" t="str">
        <f t="array" aca="1" ref="G170" ca="1">IF(TRIM(INDIRECT("Columns!D2"))="","",TRIM(INDIRECT("Columns!D2")))</f>
        <v/>
      </c>
      <c r="S170" t="str">
        <f t="shared" si="222"/>
        <v/>
      </c>
      <c r="V170" t="str">
        <f t="shared" si="223"/>
        <v/>
      </c>
      <c r="Y170" t="str">
        <f t="shared" ca="1" si="224"/>
        <v/>
      </c>
      <c r="Z170" t="str">
        <f t="shared" ca="1" si="225"/>
        <v/>
      </c>
      <c r="AA170" t="str">
        <f>IF( A170="","",IF(OR(F170="1",H170="1",I170="1"),"","COALESCE (CAST("&amp;A170&amp;" as varchar(" &amp; Options!$B$49&amp; ")),'')"))</f>
        <v/>
      </c>
      <c r="AB170" t="str">
        <f>IF(C170="string",  IF( A170="","",IF(OR(F170="1",H170="1",I170="1"),"","COALESCE (CAST(lower("&amp;A170&amp;") as varchar(" &amp;Options!$B$49 &amp; ")),'')")),AA170)</f>
        <v/>
      </c>
      <c r="AE170" t="str">
        <f t="shared" si="226"/>
        <v/>
      </c>
      <c r="AF170" t="str">
        <f>IF(AE170&lt;&gt;"", HELPER!$B$93 &amp;  "." &amp; AE170,"")</f>
        <v/>
      </c>
      <c r="AG170" t="str">
        <f>IF(AE170&lt;&gt;"", HELPER!$B$94 &amp; "." &amp; AE170,"")</f>
        <v/>
      </c>
      <c r="AH170" t="str">
        <f t="shared" si="227"/>
        <v/>
      </c>
      <c r="AN170" t="str">
        <f t="shared" si="228"/>
        <v/>
      </c>
      <c r="AO170" t="str">
        <f>IF(A170&lt;&gt;"", IF(OR(F170="1",H170="1",I170="1"),""," "&amp; HELPER!$B$94 &amp; "." &amp; A170),"")</f>
        <v/>
      </c>
      <c r="AP170" t="str">
        <f t="shared" si="229"/>
        <v/>
      </c>
      <c r="AS170" t="str">
        <f>IF(A170="","",  HELPER!$B$94 &amp;  "." &amp; A170)</f>
        <v/>
      </c>
      <c r="AT170" t="str">
        <f t="shared" si="230"/>
        <v/>
      </c>
      <c r="AU170" t="str">
        <f t="shared" si="231"/>
        <v/>
      </c>
      <c r="AX170" t="str">
        <f>IF(COLUMNS!J121="","","LEFT JOIN "&amp; Options!$B$23 &amp; "." &amp;  COLUMNS!J121 &amp; " ON ")</f>
        <v/>
      </c>
      <c r="AY170" t="str">
        <f t="shared" si="232"/>
        <v/>
      </c>
      <c r="BA170" t="str">
        <f>IF(AZ170="","", "CAST(" &amp; AZ170 &amp; " AS varchar(" &amp; Options!$B$49 &amp; "))")</f>
        <v/>
      </c>
      <c r="BB170" t="str">
        <f t="shared" ca="1" si="233"/>
        <v/>
      </c>
      <c r="BC170" t="str">
        <f t="shared" si="243"/>
        <v/>
      </c>
      <c r="BE170" t="str">
        <f t="shared" si="234"/>
        <v/>
      </c>
      <c r="BF170" t="str">
        <f t="shared" si="235"/>
        <v/>
      </c>
      <c r="BG170" t="str">
        <f t="shared" si="236"/>
        <v/>
      </c>
      <c r="BH170" s="285" t="str">
        <f t="shared" ca="1" si="244"/>
        <v/>
      </c>
      <c r="BJ170" t="str">
        <f t="shared" si="237"/>
        <v/>
      </c>
      <c r="BM170" t="str">
        <f t="shared" si="245"/>
        <v/>
      </c>
      <c r="BN170" t="str">
        <f t="shared" si="246"/>
        <v/>
      </c>
      <c r="BO170" t="str">
        <f t="shared" ca="1" si="238"/>
        <v/>
      </c>
      <c r="BR170" t="str">
        <f t="shared" si="239"/>
        <v/>
      </c>
      <c r="BS170" t="str">
        <f t="shared" ca="1" si="240"/>
        <v/>
      </c>
      <c r="BT170" t="str">
        <f t="shared" si="247"/>
        <v/>
      </c>
      <c r="BU170" t="str">
        <f t="shared" si="241"/>
        <v/>
      </c>
      <c r="BV170">
        <f t="shared" si="242"/>
        <v>0</v>
      </c>
    </row>
    <row r="171" spans="6:74">
      <c r="F171" s="164">
        <f t="shared" ca="1" si="221"/>
        <v>0</v>
      </c>
      <c r="G171" s="164" t="str">
        <f t="array" aca="1" ref="G171" ca="1">IF(TRIM(INDIRECT("Columns!D2"))="","",TRIM(INDIRECT("Columns!D2")))</f>
        <v/>
      </c>
      <c r="S171" t="str">
        <f t="shared" si="222"/>
        <v/>
      </c>
      <c r="V171" t="str">
        <f t="shared" si="223"/>
        <v/>
      </c>
      <c r="Y171" t="str">
        <f t="shared" ca="1" si="224"/>
        <v/>
      </c>
      <c r="Z171" t="str">
        <f t="shared" ca="1" si="225"/>
        <v/>
      </c>
      <c r="AA171" t="str">
        <f>IF( A171="","",IF(OR(F171="1",H171="1",I171="1"),"","COALESCE (CAST("&amp;A171&amp;" as varchar(" &amp; Options!$B$49&amp; ")),'')"))</f>
        <v/>
      </c>
      <c r="AB171" t="str">
        <f>IF(C171="string",  IF( A171="","",IF(OR(F171="1",H171="1",I171="1"),"","COALESCE (CAST(lower("&amp;A171&amp;") as varchar(" &amp;Options!$B$49 &amp; ")),'')")),AA171)</f>
        <v/>
      </c>
      <c r="AE171" t="str">
        <f t="shared" si="226"/>
        <v/>
      </c>
      <c r="AF171" t="str">
        <f>IF(AE171&lt;&gt;"", HELPER!$B$93 &amp;  "." &amp; AE171,"")</f>
        <v/>
      </c>
      <c r="AG171" t="str">
        <f>IF(AE171&lt;&gt;"", HELPER!$B$94 &amp; "." &amp; AE171,"")</f>
        <v/>
      </c>
      <c r="AH171" t="str">
        <f t="shared" si="227"/>
        <v/>
      </c>
      <c r="AN171" t="str">
        <f t="shared" si="228"/>
        <v/>
      </c>
      <c r="AO171" t="str">
        <f>IF(A171&lt;&gt;"", IF(OR(F171="1",H171="1",I171="1"),""," "&amp; HELPER!$B$94 &amp; "." &amp; A171),"")</f>
        <v/>
      </c>
      <c r="AP171" t="str">
        <f t="shared" si="229"/>
        <v/>
      </c>
      <c r="AS171" t="str">
        <f>IF(A171="","",  HELPER!$B$94 &amp;  "." &amp; A171)</f>
        <v/>
      </c>
      <c r="AT171" t="str">
        <f t="shared" si="230"/>
        <v/>
      </c>
      <c r="AU171" t="str">
        <f t="shared" si="231"/>
        <v/>
      </c>
      <c r="AX171" t="str">
        <f>IF(COLUMNS!J122="","","LEFT JOIN "&amp; Options!$B$23 &amp; "." &amp;  COLUMNS!J122 &amp; " ON ")</f>
        <v/>
      </c>
      <c r="AY171" t="str">
        <f t="shared" si="232"/>
        <v/>
      </c>
      <c r="BA171" t="str">
        <f>IF(AZ171="","", "CAST(" &amp; AZ171 &amp; " AS varchar(" &amp; Options!$B$49 &amp; "))")</f>
        <v/>
      </c>
      <c r="BB171" t="str">
        <f t="shared" ca="1" si="233"/>
        <v/>
      </c>
      <c r="BC171" t="str">
        <f t="shared" si="243"/>
        <v/>
      </c>
      <c r="BE171" t="str">
        <f t="shared" si="234"/>
        <v/>
      </c>
      <c r="BF171" t="str">
        <f t="shared" si="235"/>
        <v/>
      </c>
      <c r="BG171" t="str">
        <f t="shared" si="236"/>
        <v/>
      </c>
      <c r="BH171" s="285" t="str">
        <f t="shared" ca="1" si="244"/>
        <v/>
      </c>
      <c r="BJ171" t="str">
        <f t="shared" si="237"/>
        <v/>
      </c>
      <c r="BM171" t="str">
        <f t="shared" si="245"/>
        <v/>
      </c>
      <c r="BN171" t="str">
        <f t="shared" si="246"/>
        <v/>
      </c>
      <c r="BO171" t="str">
        <f t="shared" ca="1" si="238"/>
        <v/>
      </c>
      <c r="BR171" t="str">
        <f t="shared" si="239"/>
        <v/>
      </c>
      <c r="BS171" t="str">
        <f t="shared" ca="1" si="240"/>
        <v/>
      </c>
      <c r="BT171" t="str">
        <f t="shared" si="247"/>
        <v/>
      </c>
      <c r="BU171" t="str">
        <f t="shared" si="241"/>
        <v/>
      </c>
      <c r="BV171">
        <f t="shared" si="242"/>
        <v>0</v>
      </c>
    </row>
    <row r="172" spans="6:74">
      <c r="F172" s="164">
        <f t="shared" ca="1" si="221"/>
        <v>0</v>
      </c>
      <c r="G172" s="164" t="str">
        <f t="array" aca="1" ref="G172" ca="1">IF(TRIM(INDIRECT("Columns!D2"))="","",TRIM(INDIRECT("Columns!D2")))</f>
        <v/>
      </c>
      <c r="S172" t="str">
        <f t="shared" si="222"/>
        <v/>
      </c>
      <c r="V172" t="str">
        <f t="shared" si="223"/>
        <v/>
      </c>
      <c r="Y172" t="str">
        <f t="shared" ca="1" si="224"/>
        <v/>
      </c>
      <c r="Z172" t="str">
        <f t="shared" ca="1" si="225"/>
        <v/>
      </c>
      <c r="AA172" t="str">
        <f>IF( A172="","",IF(OR(F172="1",H172="1",I172="1"),"","COALESCE (CAST("&amp;A172&amp;" as varchar(" &amp; Options!$B$49&amp; ")),'')"))</f>
        <v/>
      </c>
      <c r="AB172" t="str">
        <f>IF(C172="string",  IF( A172="","",IF(OR(F172="1",H172="1",I172="1"),"","COALESCE (CAST(lower("&amp;A172&amp;") as varchar(" &amp;Options!$B$49 &amp; ")),'')")),AA172)</f>
        <v/>
      </c>
      <c r="AE172" t="str">
        <f t="shared" si="226"/>
        <v/>
      </c>
      <c r="AF172" t="str">
        <f>IF(AE172&lt;&gt;"", HELPER!$B$93 &amp;  "." &amp; AE172,"")</f>
        <v/>
      </c>
      <c r="AG172" t="str">
        <f>IF(AE172&lt;&gt;"", HELPER!$B$94 &amp; "." &amp; AE172,"")</f>
        <v/>
      </c>
      <c r="AH172" t="str">
        <f t="shared" si="227"/>
        <v/>
      </c>
      <c r="AN172" t="str">
        <f t="shared" si="228"/>
        <v/>
      </c>
      <c r="AO172" t="str">
        <f>IF(A172&lt;&gt;"", IF(OR(F172="1",H172="1",I172="1"),""," "&amp; HELPER!$B$94 &amp; "." &amp; A172),"")</f>
        <v/>
      </c>
      <c r="AP172" t="str">
        <f t="shared" si="229"/>
        <v/>
      </c>
      <c r="AS172" t="str">
        <f>IF(A172="","",  HELPER!$B$94 &amp;  "." &amp; A172)</f>
        <v/>
      </c>
      <c r="AT172" t="str">
        <f t="shared" si="230"/>
        <v/>
      </c>
      <c r="AU172" t="str">
        <f t="shared" si="231"/>
        <v/>
      </c>
      <c r="AX172" t="str">
        <f>IF(COLUMNS!J123="","","LEFT JOIN "&amp; Options!$B$23 &amp; "." &amp;  COLUMNS!J123 &amp; " ON ")</f>
        <v/>
      </c>
      <c r="AY172" t="str">
        <f t="shared" si="232"/>
        <v/>
      </c>
      <c r="BA172" t="str">
        <f>IF(AZ172="","", "CAST(" &amp; AZ172 &amp; " AS varchar(" &amp; Options!$B$49 &amp; "))")</f>
        <v/>
      </c>
      <c r="BB172" t="str">
        <f t="shared" ca="1" si="233"/>
        <v/>
      </c>
      <c r="BC172" t="str">
        <f t="shared" si="243"/>
        <v/>
      </c>
      <c r="BE172" t="str">
        <f t="shared" si="234"/>
        <v/>
      </c>
      <c r="BF172" t="str">
        <f t="shared" si="235"/>
        <v/>
      </c>
      <c r="BG172" t="str">
        <f t="shared" si="236"/>
        <v/>
      </c>
      <c r="BH172" s="285" t="str">
        <f t="shared" ca="1" si="244"/>
        <v/>
      </c>
      <c r="BJ172" t="str">
        <f t="shared" si="237"/>
        <v/>
      </c>
      <c r="BM172" t="str">
        <f t="shared" si="245"/>
        <v/>
      </c>
      <c r="BN172" t="str">
        <f t="shared" si="246"/>
        <v/>
      </c>
      <c r="BO172" t="str">
        <f t="shared" ca="1" si="238"/>
        <v/>
      </c>
      <c r="BR172" t="str">
        <f t="shared" si="239"/>
        <v/>
      </c>
      <c r="BS172" t="str">
        <f t="shared" ca="1" si="240"/>
        <v/>
      </c>
      <c r="BT172" t="str">
        <f t="shared" si="247"/>
        <v/>
      </c>
      <c r="BU172" t="str">
        <f t="shared" si="241"/>
        <v/>
      </c>
      <c r="BV172">
        <f t="shared" si="242"/>
        <v>0</v>
      </c>
    </row>
    <row r="173" spans="6:74">
      <c r="F173" s="164">
        <f t="shared" ca="1" si="221"/>
        <v>0</v>
      </c>
      <c r="G173" s="164" t="str">
        <f t="array" aca="1" ref="G173" ca="1">IF(TRIM(INDIRECT("Columns!D2"))="","",TRIM(INDIRECT("Columns!D2")))</f>
        <v/>
      </c>
      <c r="S173" t="str">
        <f t="shared" si="222"/>
        <v/>
      </c>
      <c r="V173" t="str">
        <f t="shared" si="223"/>
        <v/>
      </c>
      <c r="Y173" t="str">
        <f t="shared" ca="1" si="224"/>
        <v/>
      </c>
      <c r="Z173" t="str">
        <f t="shared" ca="1" si="225"/>
        <v/>
      </c>
      <c r="AA173" t="str">
        <f>IF( A173="","",IF(OR(F173="1",H173="1",I173="1"),"","COALESCE (CAST("&amp;A173&amp;" as varchar(" &amp; Options!$B$49&amp; ")),'')"))</f>
        <v/>
      </c>
      <c r="AB173" t="str">
        <f>IF(C173="string",  IF( A173="","",IF(OR(F173="1",H173="1",I173="1"),"","COALESCE (CAST(lower("&amp;A173&amp;") as varchar(" &amp;Options!$B$49 &amp; ")),'')")),AA173)</f>
        <v/>
      </c>
      <c r="AE173" t="str">
        <f t="shared" si="226"/>
        <v/>
      </c>
      <c r="AF173" t="str">
        <f>IF(AE173&lt;&gt;"", HELPER!$B$93 &amp;  "." &amp; AE173,"")</f>
        <v/>
      </c>
      <c r="AG173" t="str">
        <f>IF(AE173&lt;&gt;"", HELPER!$B$94 &amp; "." &amp; AE173,"")</f>
        <v/>
      </c>
      <c r="AH173" t="str">
        <f t="shared" si="227"/>
        <v/>
      </c>
      <c r="AN173" t="str">
        <f t="shared" si="228"/>
        <v/>
      </c>
      <c r="AO173" t="str">
        <f>IF(A173&lt;&gt;"", IF(OR(F173="1",H173="1",I173="1"),""," "&amp; HELPER!$B$94 &amp; "." &amp; A173),"")</f>
        <v/>
      </c>
      <c r="AP173" t="str">
        <f t="shared" si="229"/>
        <v/>
      </c>
      <c r="AS173" t="str">
        <f>IF(A173="","",  HELPER!$B$94 &amp;  "." &amp; A173)</f>
        <v/>
      </c>
      <c r="AT173" t="str">
        <f t="shared" si="230"/>
        <v/>
      </c>
      <c r="AU173" t="str">
        <f t="shared" si="231"/>
        <v/>
      </c>
      <c r="AX173" t="str">
        <f>IF(COLUMNS!J124="","","LEFT JOIN "&amp; Options!$B$23 &amp; "." &amp;  COLUMNS!J124 &amp; " ON ")</f>
        <v/>
      </c>
      <c r="AY173" t="str">
        <f t="shared" si="232"/>
        <v/>
      </c>
      <c r="BA173" t="str">
        <f>IF(AZ173="","", "CAST(" &amp; AZ173 &amp; " AS varchar(" &amp; Options!$B$49 &amp; "))")</f>
        <v/>
      </c>
      <c r="BB173" t="str">
        <f t="shared" ca="1" si="233"/>
        <v/>
      </c>
      <c r="BC173" t="str">
        <f t="shared" si="243"/>
        <v/>
      </c>
      <c r="BE173" t="str">
        <f t="shared" si="234"/>
        <v/>
      </c>
      <c r="BF173" t="str">
        <f t="shared" si="235"/>
        <v/>
      </c>
      <c r="BG173" t="str">
        <f t="shared" si="236"/>
        <v/>
      </c>
      <c r="BH173" s="285" t="str">
        <f t="shared" ca="1" si="244"/>
        <v/>
      </c>
      <c r="BJ173" t="str">
        <f t="shared" si="237"/>
        <v/>
      </c>
      <c r="BM173" t="str">
        <f t="shared" si="245"/>
        <v/>
      </c>
      <c r="BN173" t="str">
        <f t="shared" si="246"/>
        <v/>
      </c>
      <c r="BO173" t="str">
        <f t="shared" ca="1" si="238"/>
        <v/>
      </c>
      <c r="BR173" t="str">
        <f t="shared" si="239"/>
        <v/>
      </c>
      <c r="BS173" t="str">
        <f t="shared" ca="1" si="240"/>
        <v/>
      </c>
      <c r="BT173" t="str">
        <f t="shared" si="247"/>
        <v/>
      </c>
      <c r="BU173" t="str">
        <f t="shared" si="241"/>
        <v/>
      </c>
      <c r="BV173">
        <f t="shared" si="242"/>
        <v>0</v>
      </c>
    </row>
    <row r="174" spans="6:74">
      <c r="F174" s="164">
        <f t="shared" ca="1" si="221"/>
        <v>0</v>
      </c>
      <c r="G174" s="164" t="str">
        <f t="array" aca="1" ref="G174" ca="1">IF(TRIM(INDIRECT("Columns!D2"))="","",TRIM(INDIRECT("Columns!D2")))</f>
        <v/>
      </c>
      <c r="S174" t="str">
        <f t="shared" si="222"/>
        <v/>
      </c>
      <c r="V174" t="str">
        <f t="shared" si="223"/>
        <v/>
      </c>
      <c r="Y174" t="str">
        <f t="shared" ca="1" si="224"/>
        <v/>
      </c>
      <c r="Z174" t="str">
        <f t="shared" ca="1" si="225"/>
        <v/>
      </c>
      <c r="AA174" t="str">
        <f>IF( A174="","",IF(OR(F174="1",H174="1",I174="1"),"","COALESCE (CAST("&amp;A174&amp;" as varchar(" &amp; Options!$B$49&amp; ")),'')"))</f>
        <v/>
      </c>
      <c r="AB174" t="str">
        <f>IF(C174="string",  IF( A174="","",IF(OR(F174="1",H174="1",I174="1"),"","COALESCE (CAST(lower("&amp;A174&amp;") as varchar(" &amp;Options!$B$49 &amp; ")),'')")),AA174)</f>
        <v/>
      </c>
      <c r="AE174" t="str">
        <f t="shared" si="226"/>
        <v/>
      </c>
      <c r="AF174" t="str">
        <f>IF(AE174&lt;&gt;"", HELPER!$B$93 &amp;  "." &amp; AE174,"")</f>
        <v/>
      </c>
      <c r="AG174" t="str">
        <f>IF(AE174&lt;&gt;"", HELPER!$B$94 &amp; "." &amp; AE174,"")</f>
        <v/>
      </c>
      <c r="AH174" t="str">
        <f t="shared" si="227"/>
        <v/>
      </c>
      <c r="AN174" t="str">
        <f t="shared" si="228"/>
        <v/>
      </c>
      <c r="AO174" t="str">
        <f>IF(A174&lt;&gt;"", IF(OR(F174="1",H174="1",I174="1"),""," "&amp; HELPER!$B$94 &amp; "." &amp; A174),"")</f>
        <v/>
      </c>
      <c r="AP174" t="str">
        <f t="shared" si="229"/>
        <v/>
      </c>
      <c r="AS174" t="str">
        <f>IF(A174="","",  HELPER!$B$94 &amp;  "." &amp; A174)</f>
        <v/>
      </c>
      <c r="AT174" t="str">
        <f t="shared" si="230"/>
        <v/>
      </c>
      <c r="AU174" t="str">
        <f t="shared" si="231"/>
        <v/>
      </c>
      <c r="AX174" t="str">
        <f>IF(COLUMNS!J125="","","LEFT JOIN "&amp; Options!$B$23 &amp; "." &amp;  COLUMNS!J125 &amp; " ON ")</f>
        <v/>
      </c>
      <c r="AY174" t="str">
        <f t="shared" si="232"/>
        <v/>
      </c>
      <c r="BA174" t="str">
        <f>IF(AZ174="","", "CAST(" &amp; AZ174 &amp; " AS varchar(" &amp; Options!$B$49 &amp; "))")</f>
        <v/>
      </c>
      <c r="BB174" t="str">
        <f t="shared" ca="1" si="233"/>
        <v/>
      </c>
      <c r="BC174" t="str">
        <f t="shared" si="243"/>
        <v/>
      </c>
      <c r="BE174" t="str">
        <f t="shared" si="234"/>
        <v/>
      </c>
      <c r="BF174" t="str">
        <f t="shared" si="235"/>
        <v/>
      </c>
      <c r="BG174" t="str">
        <f t="shared" si="236"/>
        <v/>
      </c>
      <c r="BH174" s="285" t="str">
        <f t="shared" ca="1" si="244"/>
        <v/>
      </c>
      <c r="BJ174" t="str">
        <f t="shared" si="237"/>
        <v/>
      </c>
      <c r="BM174" t="str">
        <f t="shared" si="245"/>
        <v/>
      </c>
      <c r="BN174" t="str">
        <f t="shared" si="246"/>
        <v/>
      </c>
      <c r="BO174" t="str">
        <f t="shared" ca="1" si="238"/>
        <v/>
      </c>
      <c r="BR174" t="str">
        <f t="shared" si="239"/>
        <v/>
      </c>
      <c r="BS174" t="str">
        <f t="shared" ca="1" si="240"/>
        <v/>
      </c>
      <c r="BT174" t="str">
        <f t="shared" si="247"/>
        <v/>
      </c>
      <c r="BU174" t="str">
        <f t="shared" si="241"/>
        <v/>
      </c>
      <c r="BV174">
        <f t="shared" si="242"/>
        <v>0</v>
      </c>
    </row>
    <row r="175" spans="6:74">
      <c r="F175" s="164">
        <f t="shared" ca="1" si="221"/>
        <v>0</v>
      </c>
      <c r="G175" s="164" t="str">
        <f t="array" aca="1" ref="G175" ca="1">IF(TRIM(INDIRECT("Columns!D2"))="","",TRIM(INDIRECT("Columns!D2")))</f>
        <v/>
      </c>
      <c r="S175" t="str">
        <f t="shared" si="222"/>
        <v/>
      </c>
      <c r="V175" t="str">
        <f t="shared" si="223"/>
        <v/>
      </c>
      <c r="Y175" t="str">
        <f t="shared" ca="1" si="224"/>
        <v/>
      </c>
      <c r="Z175" t="str">
        <f t="shared" ca="1" si="225"/>
        <v/>
      </c>
      <c r="AA175" t="str">
        <f>IF( A175="","",IF(OR(F175="1",H175="1",I175="1"),"","COALESCE (CAST("&amp;A175&amp;" as varchar(" &amp; Options!$B$49&amp; ")),'')"))</f>
        <v/>
      </c>
      <c r="AB175" t="str">
        <f>IF(C175="string",  IF( A175="","",IF(OR(F175="1",H175="1",I175="1"),"","COALESCE (CAST(lower("&amp;A175&amp;") as varchar(" &amp;Options!$B$49 &amp; ")),'')")),AA175)</f>
        <v/>
      </c>
      <c r="AE175" t="str">
        <f t="shared" si="226"/>
        <v/>
      </c>
      <c r="AF175" t="str">
        <f>IF(AE175&lt;&gt;"", HELPER!$B$93 &amp;  "." &amp; AE175,"")</f>
        <v/>
      </c>
      <c r="AG175" t="str">
        <f>IF(AE175&lt;&gt;"", HELPER!$B$94 &amp; "." &amp; AE175,"")</f>
        <v/>
      </c>
      <c r="AH175" t="str">
        <f t="shared" si="227"/>
        <v/>
      </c>
      <c r="AN175" t="str">
        <f t="shared" si="228"/>
        <v/>
      </c>
      <c r="AO175" t="str">
        <f>IF(A175&lt;&gt;"", IF(OR(F175="1",H175="1",I175="1"),""," "&amp; HELPER!$B$94 &amp; "." &amp; A175),"")</f>
        <v/>
      </c>
      <c r="AP175" t="str">
        <f t="shared" si="229"/>
        <v/>
      </c>
      <c r="AS175" t="str">
        <f>IF(A175="","",  HELPER!$B$94 &amp;  "." &amp; A175)</f>
        <v/>
      </c>
      <c r="AT175" t="str">
        <f t="shared" si="230"/>
        <v/>
      </c>
      <c r="AU175" t="str">
        <f t="shared" si="231"/>
        <v/>
      </c>
      <c r="AX175" t="str">
        <f>IF(COLUMNS!J126="","","LEFT JOIN "&amp; Options!$B$23 &amp; "." &amp;  COLUMNS!J126 &amp; " ON ")</f>
        <v/>
      </c>
      <c r="AY175" t="str">
        <f t="shared" si="232"/>
        <v/>
      </c>
      <c r="BA175" t="str">
        <f>IF(AZ175="","", "CAST(" &amp; AZ175 &amp; " AS varchar(" &amp; Options!$B$49 &amp; "))")</f>
        <v/>
      </c>
      <c r="BB175" t="str">
        <f t="shared" ca="1" si="233"/>
        <v/>
      </c>
      <c r="BC175" t="str">
        <f t="shared" si="243"/>
        <v/>
      </c>
      <c r="BE175" t="str">
        <f t="shared" si="234"/>
        <v/>
      </c>
      <c r="BF175" t="str">
        <f t="shared" si="235"/>
        <v/>
      </c>
      <c r="BG175" t="str">
        <f t="shared" si="236"/>
        <v/>
      </c>
      <c r="BH175" s="285" t="str">
        <f t="shared" ca="1" si="244"/>
        <v/>
      </c>
      <c r="BJ175" t="str">
        <f t="shared" si="237"/>
        <v/>
      </c>
      <c r="BM175" t="str">
        <f t="shared" si="245"/>
        <v/>
      </c>
      <c r="BN175" t="str">
        <f t="shared" si="246"/>
        <v/>
      </c>
      <c r="BO175" t="str">
        <f t="shared" ca="1" si="238"/>
        <v/>
      </c>
      <c r="BR175" t="str">
        <f t="shared" si="239"/>
        <v/>
      </c>
      <c r="BS175" t="str">
        <f t="shared" ca="1" si="240"/>
        <v/>
      </c>
      <c r="BT175" t="str">
        <f t="shared" si="247"/>
        <v/>
      </c>
      <c r="BU175" t="str">
        <f t="shared" si="241"/>
        <v/>
      </c>
      <c r="BV175">
        <f t="shared" si="242"/>
        <v>0</v>
      </c>
    </row>
    <row r="176" spans="6:74">
      <c r="F176" s="164">
        <f t="shared" ca="1" si="221"/>
        <v>0</v>
      </c>
      <c r="G176" s="164" t="str">
        <f t="array" aca="1" ref="G176" ca="1">IF(TRIM(INDIRECT("Columns!D2"))="","",TRIM(INDIRECT("Columns!D2")))</f>
        <v/>
      </c>
      <c r="S176" t="str">
        <f t="shared" si="222"/>
        <v/>
      </c>
      <c r="V176" t="str">
        <f t="shared" si="223"/>
        <v/>
      </c>
      <c r="Y176" t="str">
        <f t="shared" ca="1" si="224"/>
        <v/>
      </c>
      <c r="Z176" t="str">
        <f t="shared" ca="1" si="225"/>
        <v/>
      </c>
      <c r="AA176" t="str">
        <f>IF( A176="","",IF(OR(F176="1",H176="1",I176="1"),"","COALESCE (CAST("&amp;A176&amp;" as varchar(" &amp; Options!$B$49&amp; ")),'')"))</f>
        <v/>
      </c>
      <c r="AB176" t="str">
        <f>IF(C176="string",  IF( A176="","",IF(OR(F176="1",H176="1",I176="1"),"","COALESCE (CAST(lower("&amp;A176&amp;") as varchar(" &amp;Options!$B$49 &amp; ")),'')")),AA176)</f>
        <v/>
      </c>
      <c r="AE176" t="str">
        <f t="shared" si="226"/>
        <v/>
      </c>
      <c r="AF176" t="str">
        <f>IF(AE176&lt;&gt;"", HELPER!$B$93 &amp;  "." &amp; AE176,"")</f>
        <v/>
      </c>
      <c r="AG176" t="str">
        <f>IF(AE176&lt;&gt;"", HELPER!$B$94 &amp; "." &amp; AE176,"")</f>
        <v/>
      </c>
      <c r="AH176" t="str">
        <f t="shared" si="227"/>
        <v/>
      </c>
      <c r="AN176" t="str">
        <f t="shared" si="228"/>
        <v/>
      </c>
      <c r="AO176" t="str">
        <f>IF(A176&lt;&gt;"", IF(OR(F176="1",H176="1",I176="1"),""," "&amp; HELPER!$B$94 &amp; "." &amp; A176),"")</f>
        <v/>
      </c>
      <c r="AP176" t="str">
        <f t="shared" si="229"/>
        <v/>
      </c>
      <c r="AS176" t="str">
        <f>IF(A176="","",  HELPER!$B$94 &amp;  "." &amp; A176)</f>
        <v/>
      </c>
      <c r="AT176" t="str">
        <f t="shared" si="230"/>
        <v/>
      </c>
      <c r="AU176" t="str">
        <f t="shared" si="231"/>
        <v/>
      </c>
      <c r="AX176" t="str">
        <f>IF(COLUMNS!J127="","","LEFT JOIN "&amp; Options!$B$23 &amp; "." &amp;  COLUMNS!J127 &amp; " ON ")</f>
        <v/>
      </c>
      <c r="AY176" t="str">
        <f t="shared" si="232"/>
        <v/>
      </c>
      <c r="BA176" t="str">
        <f>IF(AZ176="","", "CAST(" &amp; AZ176 &amp; " AS varchar(" &amp; Options!$B$49 &amp; "))")</f>
        <v/>
      </c>
      <c r="BB176" t="str">
        <f t="shared" ca="1" si="233"/>
        <v/>
      </c>
      <c r="BC176" t="str">
        <f t="shared" si="243"/>
        <v/>
      </c>
      <c r="BE176" t="str">
        <f t="shared" si="234"/>
        <v/>
      </c>
      <c r="BF176" t="str">
        <f t="shared" si="235"/>
        <v/>
      </c>
      <c r="BG176" t="str">
        <f t="shared" si="236"/>
        <v/>
      </c>
      <c r="BH176" s="285" t="str">
        <f t="shared" ca="1" si="244"/>
        <v/>
      </c>
      <c r="BJ176" t="str">
        <f t="shared" si="237"/>
        <v/>
      </c>
      <c r="BM176" t="str">
        <f t="shared" si="245"/>
        <v/>
      </c>
      <c r="BN176" t="str">
        <f t="shared" si="246"/>
        <v/>
      </c>
      <c r="BO176" t="str">
        <f t="shared" ca="1" si="238"/>
        <v/>
      </c>
      <c r="BR176" t="str">
        <f t="shared" si="239"/>
        <v/>
      </c>
      <c r="BS176" t="str">
        <f t="shared" ca="1" si="240"/>
        <v/>
      </c>
      <c r="BT176" t="str">
        <f t="shared" si="247"/>
        <v/>
      </c>
      <c r="BU176" t="str">
        <f t="shared" si="241"/>
        <v/>
      </c>
      <c r="BV176">
        <f t="shared" si="242"/>
        <v>0</v>
      </c>
    </row>
    <row r="177" spans="6:74">
      <c r="F177" s="164">
        <f t="shared" ca="1" si="221"/>
        <v>0</v>
      </c>
      <c r="G177" s="164" t="str">
        <f t="array" aca="1" ref="G177" ca="1">IF(TRIM(INDIRECT("Columns!D2"))="","",TRIM(INDIRECT("Columns!D2")))</f>
        <v/>
      </c>
      <c r="S177" t="str">
        <f t="shared" si="222"/>
        <v/>
      </c>
      <c r="V177" t="str">
        <f t="shared" si="223"/>
        <v/>
      </c>
      <c r="Y177" t="str">
        <f t="shared" ca="1" si="224"/>
        <v/>
      </c>
      <c r="Z177" t="str">
        <f t="shared" ca="1" si="225"/>
        <v/>
      </c>
      <c r="AA177" t="str">
        <f>IF( A177="","",IF(OR(F177="1",H177="1",I177="1"),"","COALESCE (CAST("&amp;A177&amp;" as varchar(" &amp; Options!$B$49&amp; ")),'')"))</f>
        <v/>
      </c>
      <c r="AB177" t="str">
        <f>IF(C177="string",  IF( A177="","",IF(OR(F177="1",H177="1",I177="1"),"","COALESCE (CAST(lower("&amp;A177&amp;") as varchar(" &amp;Options!$B$49 &amp; ")),'')")),AA177)</f>
        <v/>
      </c>
      <c r="AE177" t="str">
        <f t="shared" si="226"/>
        <v/>
      </c>
      <c r="AF177" t="str">
        <f>IF(AE177&lt;&gt;"", HELPER!$B$93 &amp;  "." &amp; AE177,"")</f>
        <v/>
      </c>
      <c r="AG177" t="str">
        <f>IF(AE177&lt;&gt;"", HELPER!$B$94 &amp; "." &amp; AE177,"")</f>
        <v/>
      </c>
      <c r="AH177" t="str">
        <f t="shared" si="227"/>
        <v/>
      </c>
      <c r="AN177" t="str">
        <f t="shared" si="228"/>
        <v/>
      </c>
      <c r="AO177" t="str">
        <f>IF(A177&lt;&gt;"", IF(OR(F177="1",H177="1",I177="1"),""," "&amp; HELPER!$B$94 &amp; "." &amp; A177),"")</f>
        <v/>
      </c>
      <c r="AP177" t="str">
        <f t="shared" si="229"/>
        <v/>
      </c>
      <c r="AS177" t="str">
        <f>IF(A177="","",  HELPER!$B$94 &amp;  "." &amp; A177)</f>
        <v/>
      </c>
      <c r="AT177" t="str">
        <f t="shared" si="230"/>
        <v/>
      </c>
      <c r="AU177" t="str">
        <f t="shared" si="231"/>
        <v/>
      </c>
      <c r="AX177" t="str">
        <f>IF(COLUMNS!J128="","","LEFT JOIN "&amp; Options!$B$23 &amp; "." &amp;  COLUMNS!J128 &amp; " ON ")</f>
        <v/>
      </c>
      <c r="AY177" t="str">
        <f t="shared" si="232"/>
        <v/>
      </c>
      <c r="BA177" t="str">
        <f>IF(AZ177="","", "CAST(" &amp; AZ177 &amp; " AS varchar(" &amp; Options!$B$49 &amp; "))")</f>
        <v/>
      </c>
      <c r="BB177" t="str">
        <f t="shared" ca="1" si="233"/>
        <v/>
      </c>
      <c r="BC177" t="str">
        <f t="shared" si="243"/>
        <v/>
      </c>
      <c r="BE177" t="str">
        <f t="shared" si="234"/>
        <v/>
      </c>
      <c r="BF177" t="str">
        <f t="shared" si="235"/>
        <v/>
      </c>
      <c r="BG177" t="str">
        <f t="shared" si="236"/>
        <v/>
      </c>
      <c r="BH177" s="285" t="str">
        <f t="shared" ca="1" si="244"/>
        <v/>
      </c>
      <c r="BJ177" t="str">
        <f t="shared" si="237"/>
        <v/>
      </c>
      <c r="BM177" t="str">
        <f t="shared" si="245"/>
        <v/>
      </c>
      <c r="BN177" t="str">
        <f t="shared" si="246"/>
        <v/>
      </c>
      <c r="BO177" t="str">
        <f t="shared" ca="1" si="238"/>
        <v/>
      </c>
      <c r="BR177" t="str">
        <f t="shared" si="239"/>
        <v/>
      </c>
      <c r="BS177" t="str">
        <f t="shared" ca="1" si="240"/>
        <v/>
      </c>
      <c r="BT177" t="str">
        <f t="shared" si="247"/>
        <v/>
      </c>
      <c r="BU177" t="str">
        <f t="shared" si="241"/>
        <v/>
      </c>
      <c r="BV177">
        <f t="shared" si="242"/>
        <v>0</v>
      </c>
    </row>
    <row r="178" spans="6:74">
      <c r="F178" s="164">
        <f t="shared" ca="1" si="221"/>
        <v>0</v>
      </c>
      <c r="G178" s="164" t="str">
        <f t="array" aca="1" ref="G178" ca="1">IF(TRIM(INDIRECT("Columns!D2"))="","",TRIM(INDIRECT("Columns!D2")))</f>
        <v/>
      </c>
      <c r="S178" t="str">
        <f t="shared" si="222"/>
        <v/>
      </c>
      <c r="V178" t="str">
        <f t="shared" si="223"/>
        <v/>
      </c>
      <c r="Y178" t="str">
        <f t="shared" ca="1" si="224"/>
        <v/>
      </c>
      <c r="Z178" t="str">
        <f t="shared" ca="1" si="225"/>
        <v/>
      </c>
      <c r="AA178" t="str">
        <f>IF( A178="","",IF(OR(F178="1",H178="1",I178="1"),"","COALESCE (CAST("&amp;A178&amp;" as varchar(" &amp; Options!$B$49&amp; ")),'')"))</f>
        <v/>
      </c>
      <c r="AB178" t="str">
        <f>IF(C178="string",  IF( A178="","",IF(OR(F178="1",H178="1",I178="1"),"","COALESCE (CAST(lower("&amp;A178&amp;") as varchar(" &amp;Options!$B$49 &amp; ")),'')")),AA178)</f>
        <v/>
      </c>
      <c r="AE178" t="str">
        <f t="shared" si="226"/>
        <v/>
      </c>
      <c r="AF178" t="str">
        <f>IF(AE178&lt;&gt;"", HELPER!$B$93 &amp;  "." &amp; AE178,"")</f>
        <v/>
      </c>
      <c r="AG178" t="str">
        <f>IF(AE178&lt;&gt;"", HELPER!$B$94 &amp; "." &amp; AE178,"")</f>
        <v/>
      </c>
      <c r="AH178" t="str">
        <f t="shared" si="227"/>
        <v/>
      </c>
      <c r="AN178" t="str">
        <f t="shared" si="228"/>
        <v/>
      </c>
      <c r="AO178" t="str">
        <f>IF(A178&lt;&gt;"", IF(OR(F178="1",H178="1",I178="1"),""," "&amp; HELPER!$B$94 &amp; "." &amp; A178),"")</f>
        <v/>
      </c>
      <c r="AP178" t="str">
        <f t="shared" si="229"/>
        <v/>
      </c>
      <c r="AS178" t="str">
        <f>IF(A178="","",  HELPER!$B$94 &amp;  "." &amp; A178)</f>
        <v/>
      </c>
      <c r="AT178" t="str">
        <f t="shared" si="230"/>
        <v/>
      </c>
      <c r="AU178" t="str">
        <f t="shared" si="231"/>
        <v/>
      </c>
      <c r="AX178" t="str">
        <f>IF(COLUMNS!J129="","","LEFT JOIN "&amp; Options!$B$23 &amp; "." &amp;  COLUMNS!J129 &amp; " ON ")</f>
        <v/>
      </c>
      <c r="AY178" t="str">
        <f t="shared" si="232"/>
        <v/>
      </c>
      <c r="BA178" t="str">
        <f>IF(AZ178="","", "CAST(" &amp; AZ178 &amp; " AS varchar(" &amp; Options!$B$49 &amp; "))")</f>
        <v/>
      </c>
      <c r="BB178" t="str">
        <f t="shared" ca="1" si="233"/>
        <v/>
      </c>
      <c r="BC178" t="str">
        <f t="shared" si="243"/>
        <v/>
      </c>
      <c r="BE178" t="str">
        <f t="shared" si="234"/>
        <v/>
      </c>
      <c r="BF178" t="str">
        <f t="shared" si="235"/>
        <v/>
      </c>
      <c r="BG178" t="str">
        <f t="shared" si="236"/>
        <v/>
      </c>
      <c r="BH178" s="285" t="str">
        <f t="shared" ca="1" si="244"/>
        <v/>
      </c>
      <c r="BJ178" t="str">
        <f t="shared" si="237"/>
        <v/>
      </c>
      <c r="BM178" t="str">
        <f t="shared" si="245"/>
        <v/>
      </c>
      <c r="BN178" t="str">
        <f t="shared" si="246"/>
        <v/>
      </c>
      <c r="BO178" t="str">
        <f t="shared" ca="1" si="238"/>
        <v/>
      </c>
      <c r="BR178" t="str">
        <f t="shared" si="239"/>
        <v/>
      </c>
      <c r="BS178" t="str">
        <f t="shared" ca="1" si="240"/>
        <v/>
      </c>
      <c r="BT178" t="str">
        <f t="shared" si="247"/>
        <v/>
      </c>
      <c r="BU178" t="str">
        <f t="shared" si="241"/>
        <v/>
      </c>
      <c r="BV178">
        <f t="shared" si="242"/>
        <v>0</v>
      </c>
    </row>
    <row r="179" spans="6:74">
      <c r="F179" s="164">
        <f t="shared" ca="1" si="221"/>
        <v>0</v>
      </c>
      <c r="G179" s="164" t="str">
        <f t="array" aca="1" ref="G179" ca="1">IF(TRIM(INDIRECT("Columns!D2"))="","",TRIM(INDIRECT("Columns!D2")))</f>
        <v/>
      </c>
      <c r="S179" t="str">
        <f t="shared" si="222"/>
        <v/>
      </c>
      <c r="V179" t="str">
        <f t="shared" si="223"/>
        <v/>
      </c>
      <c r="Y179" t="str">
        <f t="shared" ca="1" si="224"/>
        <v/>
      </c>
      <c r="Z179" t="str">
        <f t="shared" ca="1" si="225"/>
        <v/>
      </c>
      <c r="AA179" t="str">
        <f>IF( A179="","",IF(OR(F179="1",H179="1",I179="1"),"","COALESCE (CAST("&amp;A179&amp;" as varchar(" &amp; Options!$B$49&amp; ")),'')"))</f>
        <v/>
      </c>
      <c r="AB179" t="str">
        <f>IF(C179="string",  IF( A179="","",IF(OR(F179="1",H179="1",I179="1"),"","COALESCE (CAST(lower("&amp;A179&amp;") as varchar(" &amp;Options!$B$49 &amp; ")),'')")),AA179)</f>
        <v/>
      </c>
      <c r="AE179" t="str">
        <f t="shared" si="226"/>
        <v/>
      </c>
      <c r="AF179" t="str">
        <f>IF(AE179&lt;&gt;"", HELPER!$B$93 &amp;  "." &amp; AE179,"")</f>
        <v/>
      </c>
      <c r="AG179" t="str">
        <f>IF(AE179&lt;&gt;"", HELPER!$B$94 &amp; "." &amp; AE179,"")</f>
        <v/>
      </c>
      <c r="AH179" t="str">
        <f t="shared" si="227"/>
        <v/>
      </c>
      <c r="AN179" t="str">
        <f t="shared" si="228"/>
        <v/>
      </c>
      <c r="AO179" t="str">
        <f>IF(A179&lt;&gt;"", IF(OR(F179="1",H179="1",I179="1"),""," "&amp; HELPER!$B$94 &amp; "." &amp; A179),"")</f>
        <v/>
      </c>
      <c r="AP179" t="str">
        <f t="shared" si="229"/>
        <v/>
      </c>
      <c r="AS179" t="str">
        <f>IF(A179="","",  HELPER!$B$94 &amp;  "." &amp; A179)</f>
        <v/>
      </c>
      <c r="AT179" t="str">
        <f t="shared" si="230"/>
        <v/>
      </c>
      <c r="AU179" t="str">
        <f t="shared" si="231"/>
        <v/>
      </c>
      <c r="AX179" t="str">
        <f>IF(COLUMNS!J130="","","LEFT JOIN "&amp; Options!$B$23 &amp; "." &amp;  COLUMNS!J130 &amp; " ON ")</f>
        <v/>
      </c>
      <c r="AY179" t="str">
        <f t="shared" si="232"/>
        <v/>
      </c>
      <c r="BA179" t="str">
        <f>IF(AZ179="","", "CAST(" &amp; AZ179 &amp; " AS varchar(" &amp; Options!$B$49 &amp; "))")</f>
        <v/>
      </c>
      <c r="BB179" t="str">
        <f t="shared" ca="1" si="233"/>
        <v/>
      </c>
      <c r="BC179" t="str">
        <f t="shared" si="243"/>
        <v/>
      </c>
      <c r="BE179" t="str">
        <f t="shared" si="234"/>
        <v/>
      </c>
      <c r="BF179" t="str">
        <f t="shared" si="235"/>
        <v/>
      </c>
      <c r="BG179" t="str">
        <f t="shared" si="236"/>
        <v/>
      </c>
      <c r="BH179" s="285" t="str">
        <f t="shared" ca="1" si="244"/>
        <v/>
      </c>
      <c r="BJ179" t="str">
        <f t="shared" si="237"/>
        <v/>
      </c>
      <c r="BM179" t="str">
        <f t="shared" si="245"/>
        <v/>
      </c>
      <c r="BN179" t="str">
        <f t="shared" si="246"/>
        <v/>
      </c>
      <c r="BO179" t="str">
        <f t="shared" ca="1" si="238"/>
        <v/>
      </c>
      <c r="BR179" t="str">
        <f t="shared" si="239"/>
        <v/>
      </c>
      <c r="BS179" t="str">
        <f t="shared" ca="1" si="240"/>
        <v/>
      </c>
      <c r="BT179" t="str">
        <f t="shared" si="247"/>
        <v/>
      </c>
      <c r="BU179" t="str">
        <f t="shared" si="241"/>
        <v/>
      </c>
      <c r="BV179">
        <f t="shared" si="242"/>
        <v>0</v>
      </c>
    </row>
    <row r="180" spans="6:74">
      <c r="F180" s="164">
        <f t="shared" ca="1" si="221"/>
        <v>0</v>
      </c>
      <c r="G180" s="164" t="str">
        <f t="array" aca="1" ref="G180" ca="1">IF(TRIM(INDIRECT("Columns!D2"))="","",TRIM(INDIRECT("Columns!D2")))</f>
        <v/>
      </c>
      <c r="S180" t="str">
        <f t="shared" si="222"/>
        <v/>
      </c>
      <c r="V180" t="str">
        <f t="shared" si="223"/>
        <v/>
      </c>
      <c r="Y180" t="str">
        <f t="shared" ca="1" si="224"/>
        <v/>
      </c>
      <c r="Z180" t="str">
        <f t="shared" ca="1" si="225"/>
        <v/>
      </c>
      <c r="AA180" t="str">
        <f>IF( A180="","",IF(OR(F180="1",H180="1",I180="1"),"","COALESCE (CAST("&amp;A180&amp;" as varchar(" &amp; Options!$B$49&amp; ")),'')"))</f>
        <v/>
      </c>
      <c r="AB180" t="str">
        <f>IF(C180="string",  IF( A180="","",IF(OR(F180="1",H180="1",I180="1"),"","COALESCE (CAST(lower("&amp;A180&amp;") as varchar(" &amp;Options!$B$49 &amp; ")),'')")),AA180)</f>
        <v/>
      </c>
      <c r="AE180" t="str">
        <f t="shared" si="226"/>
        <v/>
      </c>
      <c r="AF180" t="str">
        <f>IF(AE180&lt;&gt;"", HELPER!$B$93 &amp;  "." &amp; AE180,"")</f>
        <v/>
      </c>
      <c r="AG180" t="str">
        <f>IF(AE180&lt;&gt;"", HELPER!$B$94 &amp; "." &amp; AE180,"")</f>
        <v/>
      </c>
      <c r="AH180" t="str">
        <f t="shared" si="227"/>
        <v/>
      </c>
      <c r="AN180" t="str">
        <f t="shared" si="228"/>
        <v/>
      </c>
      <c r="AO180" t="str">
        <f>IF(A180&lt;&gt;"", IF(OR(F180="1",H180="1",I180="1"),""," "&amp; HELPER!$B$94 &amp; "." &amp; A180),"")</f>
        <v/>
      </c>
      <c r="AP180" t="str">
        <f t="shared" si="229"/>
        <v/>
      </c>
      <c r="AS180" t="str">
        <f>IF(A180="","",  HELPER!$B$94 &amp;  "." &amp; A180)</f>
        <v/>
      </c>
      <c r="AT180" t="str">
        <f t="shared" si="230"/>
        <v/>
      </c>
      <c r="AU180" t="str">
        <f t="shared" si="231"/>
        <v/>
      </c>
      <c r="AX180" t="str">
        <f>IF(COLUMNS!J131="","","LEFT JOIN "&amp; Options!$B$23 &amp; "." &amp;  COLUMNS!J131 &amp; " ON ")</f>
        <v/>
      </c>
      <c r="AY180" t="str">
        <f t="shared" si="232"/>
        <v/>
      </c>
      <c r="BA180" t="str">
        <f>IF(AZ180="","", "CAST(" &amp; AZ180 &amp; " AS varchar(" &amp; Options!$B$49 &amp; "))")</f>
        <v/>
      </c>
      <c r="BB180" t="str">
        <f t="shared" ca="1" si="233"/>
        <v/>
      </c>
      <c r="BC180" t="str">
        <f t="shared" si="243"/>
        <v/>
      </c>
      <c r="BE180" t="str">
        <f t="shared" si="234"/>
        <v/>
      </c>
      <c r="BF180" t="str">
        <f t="shared" si="235"/>
        <v/>
      </c>
      <c r="BG180" t="str">
        <f t="shared" si="236"/>
        <v/>
      </c>
      <c r="BH180" s="285" t="str">
        <f t="shared" ca="1" si="244"/>
        <v/>
      </c>
      <c r="BJ180" t="str">
        <f t="shared" si="237"/>
        <v/>
      </c>
      <c r="BM180" t="str">
        <f t="shared" si="245"/>
        <v/>
      </c>
      <c r="BN180" t="str">
        <f t="shared" si="246"/>
        <v/>
      </c>
      <c r="BO180" t="str">
        <f t="shared" ca="1" si="238"/>
        <v/>
      </c>
      <c r="BR180" t="str">
        <f t="shared" si="239"/>
        <v/>
      </c>
      <c r="BS180" t="str">
        <f t="shared" ca="1" si="240"/>
        <v/>
      </c>
      <c r="BT180" t="str">
        <f t="shared" si="247"/>
        <v/>
      </c>
      <c r="BU180" t="str">
        <f t="shared" si="241"/>
        <v/>
      </c>
      <c r="BV180">
        <f t="shared" si="242"/>
        <v>0</v>
      </c>
    </row>
    <row r="181" spans="6:74">
      <c r="F181" s="164">
        <f t="shared" ca="1" si="221"/>
        <v>0</v>
      </c>
      <c r="G181" s="164" t="str">
        <f t="array" aca="1" ref="G181" ca="1">IF(TRIM(INDIRECT("Columns!D2"))="","",TRIM(INDIRECT("Columns!D2")))</f>
        <v/>
      </c>
      <c r="S181" t="str">
        <f t="shared" si="222"/>
        <v/>
      </c>
      <c r="V181" t="str">
        <f t="shared" si="223"/>
        <v/>
      </c>
      <c r="Y181" t="str">
        <f t="shared" ca="1" si="224"/>
        <v/>
      </c>
      <c r="Z181" t="str">
        <f t="shared" ca="1" si="225"/>
        <v/>
      </c>
      <c r="AA181" t="str">
        <f>IF( A181="","",IF(OR(F181="1",H181="1",I181="1"),"","COALESCE (CAST("&amp;A181&amp;" as varchar(" &amp; Options!$B$49&amp; ")),'')"))</f>
        <v/>
      </c>
      <c r="AB181" t="str">
        <f>IF(C181="string",  IF( A181="","",IF(OR(F181="1",H181="1",I181="1"),"","COALESCE (CAST(lower("&amp;A181&amp;") as varchar(" &amp;Options!$B$49 &amp; ")),'')")),AA181)</f>
        <v/>
      </c>
      <c r="AE181" t="str">
        <f t="shared" si="226"/>
        <v/>
      </c>
      <c r="AF181" t="str">
        <f>IF(AE181&lt;&gt;"", HELPER!$B$93 &amp;  "." &amp; AE181,"")</f>
        <v/>
      </c>
      <c r="AG181" t="str">
        <f>IF(AE181&lt;&gt;"", HELPER!$B$94 &amp; "." &amp; AE181,"")</f>
        <v/>
      </c>
      <c r="AH181" t="str">
        <f t="shared" si="227"/>
        <v/>
      </c>
      <c r="AN181" t="str">
        <f t="shared" si="228"/>
        <v/>
      </c>
      <c r="AO181" t="str">
        <f>IF(A181&lt;&gt;"", IF(OR(F181="1",H181="1",I181="1"),""," "&amp; HELPER!$B$94 &amp; "." &amp; A181),"")</f>
        <v/>
      </c>
      <c r="AP181" t="str">
        <f t="shared" si="229"/>
        <v/>
      </c>
      <c r="AS181" t="str">
        <f>IF(A181="","",  HELPER!$B$94 &amp;  "." &amp; A181)</f>
        <v/>
      </c>
      <c r="AT181" t="str">
        <f t="shared" si="230"/>
        <v/>
      </c>
      <c r="AU181" t="str">
        <f t="shared" si="231"/>
        <v/>
      </c>
      <c r="AX181" t="str">
        <f>IF(COLUMNS!J132="","","LEFT JOIN "&amp; Options!$B$23 &amp; "." &amp;  COLUMNS!J132 &amp; " ON ")</f>
        <v/>
      </c>
      <c r="AY181" t="str">
        <f t="shared" si="232"/>
        <v/>
      </c>
      <c r="BA181" t="str">
        <f>IF(AZ181="","", "CAST(" &amp; AZ181 &amp; " AS varchar(" &amp; Options!$B$49 &amp; "))")</f>
        <v/>
      </c>
      <c r="BB181" t="str">
        <f t="shared" ca="1" si="233"/>
        <v/>
      </c>
      <c r="BC181" t="str">
        <f t="shared" si="243"/>
        <v/>
      </c>
      <c r="BE181" t="str">
        <f t="shared" si="234"/>
        <v/>
      </c>
      <c r="BF181" t="str">
        <f t="shared" si="235"/>
        <v/>
      </c>
      <c r="BG181" t="str">
        <f t="shared" si="236"/>
        <v/>
      </c>
      <c r="BH181" s="285" t="str">
        <f t="shared" ca="1" si="244"/>
        <v/>
      </c>
      <c r="BJ181" t="str">
        <f t="shared" si="237"/>
        <v/>
      </c>
      <c r="BM181" t="str">
        <f t="shared" si="245"/>
        <v/>
      </c>
      <c r="BN181" t="str">
        <f t="shared" si="246"/>
        <v/>
      </c>
      <c r="BO181" t="str">
        <f t="shared" ca="1" si="238"/>
        <v/>
      </c>
      <c r="BR181" t="str">
        <f t="shared" si="239"/>
        <v/>
      </c>
      <c r="BS181" t="str">
        <f t="shared" ca="1" si="240"/>
        <v/>
      </c>
      <c r="BT181" t="str">
        <f t="shared" si="247"/>
        <v/>
      </c>
      <c r="BU181" t="str">
        <f t="shared" si="241"/>
        <v/>
      </c>
      <c r="BV181">
        <f t="shared" si="242"/>
        <v>0</v>
      </c>
    </row>
    <row r="182" spans="6:74">
      <c r="F182" s="164">
        <f t="shared" ca="1" si="221"/>
        <v>0</v>
      </c>
      <c r="G182" s="164" t="str">
        <f t="array" aca="1" ref="G182" ca="1">IF(TRIM(INDIRECT("Columns!D2"))="","",TRIM(INDIRECT("Columns!D2")))</f>
        <v/>
      </c>
      <c r="S182" t="str">
        <f t="shared" si="222"/>
        <v/>
      </c>
      <c r="V182" t="str">
        <f t="shared" si="223"/>
        <v/>
      </c>
      <c r="Y182" t="str">
        <f t="shared" ca="1" si="224"/>
        <v/>
      </c>
      <c r="Z182" t="str">
        <f t="shared" ca="1" si="225"/>
        <v/>
      </c>
      <c r="AA182" t="str">
        <f>IF( A182="","",IF(OR(F182="1",H182="1",I182="1"),"","COALESCE (CAST("&amp;A182&amp;" as varchar(" &amp; Options!$B$49&amp; ")),'')"))</f>
        <v/>
      </c>
      <c r="AB182" t="str">
        <f>IF(C182="string",  IF( A182="","",IF(OR(F182="1",H182="1",I182="1"),"","COALESCE (CAST(lower("&amp;A182&amp;") as varchar(" &amp;Options!$B$49 &amp; ")),'')")),AA182)</f>
        <v/>
      </c>
      <c r="AE182" t="str">
        <f t="shared" si="226"/>
        <v/>
      </c>
      <c r="AF182" t="str">
        <f>IF(AE182&lt;&gt;"", HELPER!$B$93 &amp;  "." &amp; AE182,"")</f>
        <v/>
      </c>
      <c r="AG182" t="str">
        <f>IF(AE182&lt;&gt;"", HELPER!$B$94 &amp; "." &amp; AE182,"")</f>
        <v/>
      </c>
      <c r="AH182" t="str">
        <f t="shared" si="227"/>
        <v/>
      </c>
      <c r="AN182" t="str">
        <f t="shared" si="228"/>
        <v/>
      </c>
      <c r="AO182" t="str">
        <f>IF(A182&lt;&gt;"", IF(OR(F182="1",H182="1",I182="1"),""," "&amp; HELPER!$B$94 &amp; "." &amp; A182),"")</f>
        <v/>
      </c>
      <c r="AP182" t="str">
        <f t="shared" si="229"/>
        <v/>
      </c>
      <c r="AS182" t="str">
        <f>IF(A182="","",  HELPER!$B$94 &amp;  "." &amp; A182)</f>
        <v/>
      </c>
      <c r="AT182" t="str">
        <f t="shared" si="230"/>
        <v/>
      </c>
      <c r="AU182" t="str">
        <f t="shared" si="231"/>
        <v/>
      </c>
      <c r="AX182" t="str">
        <f>IF(COLUMNS!J133="","","LEFT JOIN "&amp; Options!$B$23 &amp; "." &amp;  COLUMNS!J133 &amp; " ON ")</f>
        <v/>
      </c>
      <c r="AY182" t="str">
        <f t="shared" si="232"/>
        <v/>
      </c>
      <c r="BA182" t="str">
        <f>IF(AZ182="","", "CAST(" &amp; AZ182 &amp; " AS varchar(" &amp; Options!$B$49 &amp; "))")</f>
        <v/>
      </c>
      <c r="BB182" t="str">
        <f t="shared" ca="1" si="233"/>
        <v/>
      </c>
      <c r="BC182" t="str">
        <f t="shared" si="243"/>
        <v/>
      </c>
      <c r="BE182" t="str">
        <f t="shared" si="234"/>
        <v/>
      </c>
      <c r="BF182" t="str">
        <f t="shared" si="235"/>
        <v/>
      </c>
      <c r="BG182" t="str">
        <f t="shared" si="236"/>
        <v/>
      </c>
      <c r="BH182" s="285" t="str">
        <f t="shared" ca="1" si="244"/>
        <v/>
      </c>
      <c r="BJ182" t="str">
        <f t="shared" si="237"/>
        <v/>
      </c>
      <c r="BM182" t="str">
        <f t="shared" si="245"/>
        <v/>
      </c>
      <c r="BN182" t="str">
        <f t="shared" si="246"/>
        <v/>
      </c>
      <c r="BO182" t="str">
        <f t="shared" ca="1" si="238"/>
        <v/>
      </c>
      <c r="BR182" t="str">
        <f t="shared" si="239"/>
        <v/>
      </c>
      <c r="BS182" t="str">
        <f t="shared" ca="1" si="240"/>
        <v/>
      </c>
      <c r="BT182" t="str">
        <f t="shared" si="247"/>
        <v/>
      </c>
      <c r="BU182" t="str">
        <f t="shared" si="241"/>
        <v/>
      </c>
      <c r="BV182">
        <f t="shared" si="242"/>
        <v>0</v>
      </c>
    </row>
    <row r="183" spans="6:74">
      <c r="F183" s="164">
        <f t="shared" ca="1" si="221"/>
        <v>0</v>
      </c>
      <c r="G183" s="164" t="str">
        <f t="array" aca="1" ref="G183" ca="1">IF(TRIM(INDIRECT("Columns!D2"))="","",TRIM(INDIRECT("Columns!D2")))</f>
        <v/>
      </c>
      <c r="S183" t="str">
        <f t="shared" si="222"/>
        <v/>
      </c>
      <c r="V183" t="str">
        <f t="shared" si="223"/>
        <v/>
      </c>
      <c r="Y183" t="str">
        <f t="shared" ca="1" si="224"/>
        <v/>
      </c>
      <c r="Z183" t="str">
        <f t="shared" ca="1" si="225"/>
        <v/>
      </c>
      <c r="AA183" t="str">
        <f>IF( A183="","",IF(OR(F183="1",H183="1",I183="1"),"","COALESCE (CAST("&amp;A183&amp;" as varchar(" &amp; Options!$B$49&amp; ")),'')"))</f>
        <v/>
      </c>
      <c r="AB183" t="str">
        <f>IF(C183="string",  IF( A183="","",IF(OR(F183="1",H183="1",I183="1"),"","COALESCE (CAST(lower("&amp;A183&amp;") as varchar(" &amp;Options!$B$49 &amp; ")),'')")),AA183)</f>
        <v/>
      </c>
      <c r="AE183" t="str">
        <f t="shared" si="226"/>
        <v/>
      </c>
      <c r="AF183" t="str">
        <f>IF(AE183&lt;&gt;"", HELPER!$B$93 &amp;  "." &amp; AE183,"")</f>
        <v/>
      </c>
      <c r="AG183" t="str">
        <f>IF(AE183&lt;&gt;"", HELPER!$B$94 &amp; "." &amp; AE183,"")</f>
        <v/>
      </c>
      <c r="AH183" t="str">
        <f t="shared" si="227"/>
        <v/>
      </c>
      <c r="AN183" t="str">
        <f t="shared" si="228"/>
        <v/>
      </c>
      <c r="AO183" t="str">
        <f>IF(A183&lt;&gt;"", IF(OR(F183="1",H183="1",I183="1"),""," "&amp; HELPER!$B$94 &amp; "." &amp; A183),"")</f>
        <v/>
      </c>
      <c r="AP183" t="str">
        <f t="shared" si="229"/>
        <v/>
      </c>
      <c r="AS183" t="str">
        <f>IF(A183="","",  HELPER!$B$94 &amp;  "." &amp; A183)</f>
        <v/>
      </c>
      <c r="AT183" t="str">
        <f t="shared" si="230"/>
        <v/>
      </c>
      <c r="AU183" t="str">
        <f t="shared" si="231"/>
        <v/>
      </c>
      <c r="AX183" t="str">
        <f>IF(COLUMNS!J134="","","LEFT JOIN "&amp; Options!$B$23 &amp; "." &amp;  COLUMNS!J134 &amp; " ON ")</f>
        <v/>
      </c>
      <c r="AY183" t="str">
        <f t="shared" si="232"/>
        <v/>
      </c>
      <c r="BA183" t="str">
        <f>IF(AZ183="","", "CAST(" &amp; AZ183 &amp; " AS varchar(" &amp; Options!$B$49 &amp; "))")</f>
        <v/>
      </c>
      <c r="BB183" t="str">
        <f t="shared" ca="1" si="233"/>
        <v/>
      </c>
      <c r="BC183" t="str">
        <f t="shared" si="243"/>
        <v/>
      </c>
      <c r="BE183" t="str">
        <f t="shared" si="234"/>
        <v/>
      </c>
      <c r="BF183" t="str">
        <f t="shared" si="235"/>
        <v/>
      </c>
      <c r="BG183" t="str">
        <f t="shared" si="236"/>
        <v/>
      </c>
      <c r="BH183" s="285" t="str">
        <f t="shared" ca="1" si="244"/>
        <v/>
      </c>
      <c r="BJ183" t="str">
        <f t="shared" si="237"/>
        <v/>
      </c>
      <c r="BM183" t="str">
        <f t="shared" si="245"/>
        <v/>
      </c>
      <c r="BN183" t="str">
        <f t="shared" si="246"/>
        <v/>
      </c>
      <c r="BO183" t="str">
        <f t="shared" ca="1" si="238"/>
        <v/>
      </c>
      <c r="BR183" t="str">
        <f t="shared" si="239"/>
        <v/>
      </c>
      <c r="BS183" t="str">
        <f t="shared" ca="1" si="240"/>
        <v/>
      </c>
      <c r="BT183" t="str">
        <f t="shared" si="247"/>
        <v/>
      </c>
      <c r="BU183" t="str">
        <f t="shared" si="241"/>
        <v/>
      </c>
      <c r="BV183">
        <f t="shared" si="242"/>
        <v>0</v>
      </c>
    </row>
    <row r="184" spans="6:74">
      <c r="F184" s="164">
        <f t="shared" ca="1" si="221"/>
        <v>0</v>
      </c>
      <c r="G184" s="164" t="str">
        <f t="array" aca="1" ref="G184" ca="1">IF(TRIM(INDIRECT("Columns!D2"))="","",TRIM(INDIRECT("Columns!D2")))</f>
        <v/>
      </c>
      <c r="S184" t="str">
        <f t="shared" si="222"/>
        <v/>
      </c>
      <c r="V184" t="str">
        <f t="shared" si="223"/>
        <v/>
      </c>
      <c r="Y184" t="str">
        <f t="shared" ca="1" si="224"/>
        <v/>
      </c>
      <c r="Z184" t="str">
        <f t="shared" ca="1" si="225"/>
        <v/>
      </c>
      <c r="AA184" t="str">
        <f>IF( A184="","",IF(OR(F184="1",H184="1",I184="1"),"","COALESCE (CAST("&amp;A184&amp;" as varchar(" &amp; Options!$B$49&amp; ")),'')"))</f>
        <v/>
      </c>
      <c r="AB184" t="str">
        <f>IF(C184="string",  IF( A184="","",IF(OR(F184="1",H184="1",I184="1"),"","COALESCE (CAST(lower("&amp;A184&amp;") as varchar(" &amp;Options!$B$49 &amp; ")),'')")),AA184)</f>
        <v/>
      </c>
      <c r="AE184" t="str">
        <f t="shared" si="226"/>
        <v/>
      </c>
      <c r="AF184" t="str">
        <f>IF(AE184&lt;&gt;"", HELPER!$B$93 &amp;  "." &amp; AE184,"")</f>
        <v/>
      </c>
      <c r="AG184" t="str">
        <f>IF(AE184&lt;&gt;"", HELPER!$B$94 &amp; "." &amp; AE184,"")</f>
        <v/>
      </c>
      <c r="AH184" t="str">
        <f t="shared" si="227"/>
        <v/>
      </c>
      <c r="AN184" t="str">
        <f t="shared" si="228"/>
        <v/>
      </c>
      <c r="AO184" t="str">
        <f>IF(A184&lt;&gt;"", IF(OR(F184="1",H184="1",I184="1"),""," "&amp; HELPER!$B$94 &amp; "." &amp; A184),"")</f>
        <v/>
      </c>
      <c r="AP184" t="str">
        <f t="shared" si="229"/>
        <v/>
      </c>
      <c r="AS184" t="str">
        <f>IF(A184="","",  HELPER!$B$94 &amp;  "." &amp; A184)</f>
        <v/>
      </c>
      <c r="AT184" t="str">
        <f t="shared" si="230"/>
        <v/>
      </c>
      <c r="AU184" t="str">
        <f t="shared" si="231"/>
        <v/>
      </c>
      <c r="AX184" t="str">
        <f>IF(COLUMNS!J135="","","LEFT JOIN "&amp; Options!$B$23 &amp; "." &amp;  COLUMNS!J135 &amp; " ON ")</f>
        <v/>
      </c>
      <c r="AY184" t="str">
        <f t="shared" si="232"/>
        <v/>
      </c>
      <c r="BA184" t="str">
        <f>IF(AZ184="","", "CAST(" &amp; AZ184 &amp; " AS varchar(" &amp; Options!$B$49 &amp; "))")</f>
        <v/>
      </c>
      <c r="BB184" t="str">
        <f t="shared" ca="1" si="233"/>
        <v/>
      </c>
      <c r="BC184" t="str">
        <f t="shared" si="243"/>
        <v/>
      </c>
      <c r="BE184" t="str">
        <f t="shared" si="234"/>
        <v/>
      </c>
      <c r="BF184" t="str">
        <f t="shared" si="235"/>
        <v/>
      </c>
      <c r="BG184" t="str">
        <f t="shared" si="236"/>
        <v/>
      </c>
      <c r="BH184" s="285" t="str">
        <f t="shared" ca="1" si="244"/>
        <v/>
      </c>
      <c r="BJ184" t="str">
        <f t="shared" si="237"/>
        <v/>
      </c>
      <c r="BM184" t="str">
        <f t="shared" si="245"/>
        <v/>
      </c>
      <c r="BN184" t="str">
        <f t="shared" si="246"/>
        <v/>
      </c>
      <c r="BO184" t="str">
        <f t="shared" ca="1" si="238"/>
        <v/>
      </c>
      <c r="BR184" t="str">
        <f t="shared" si="239"/>
        <v/>
      </c>
      <c r="BS184" t="str">
        <f t="shared" ca="1" si="240"/>
        <v/>
      </c>
      <c r="BT184" t="str">
        <f t="shared" si="247"/>
        <v/>
      </c>
      <c r="BU184" t="str">
        <f t="shared" si="241"/>
        <v/>
      </c>
      <c r="BV184">
        <f t="shared" si="242"/>
        <v>0</v>
      </c>
    </row>
    <row r="185" spans="6:74">
      <c r="F185" s="164">
        <f t="shared" ca="1" si="221"/>
        <v>0</v>
      </c>
      <c r="G185" s="164" t="str">
        <f t="array" aca="1" ref="G185" ca="1">IF(TRIM(INDIRECT("Columns!D2"))="","",TRIM(INDIRECT("Columns!D2")))</f>
        <v/>
      </c>
      <c r="S185" t="str">
        <f t="shared" si="222"/>
        <v/>
      </c>
      <c r="V185" t="str">
        <f t="shared" si="223"/>
        <v/>
      </c>
      <c r="Y185" t="str">
        <f t="shared" ca="1" si="224"/>
        <v/>
      </c>
      <c r="Z185" t="str">
        <f t="shared" ca="1" si="225"/>
        <v/>
      </c>
      <c r="AA185" t="str">
        <f>IF( A185="","",IF(OR(F185="1",H185="1",I185="1"),"","COALESCE (CAST("&amp;A185&amp;" as varchar(" &amp; Options!$B$49&amp; ")),'')"))</f>
        <v/>
      </c>
      <c r="AB185" t="str">
        <f>IF(C185="string",  IF( A185="","",IF(OR(F185="1",H185="1",I185="1"),"","COALESCE (CAST(lower("&amp;A185&amp;") as varchar(" &amp;Options!$B$49 &amp; ")),'')")),AA185)</f>
        <v/>
      </c>
      <c r="AE185" t="str">
        <f t="shared" si="226"/>
        <v/>
      </c>
      <c r="AF185" t="str">
        <f>IF(AE185&lt;&gt;"", HELPER!$B$93 &amp;  "." &amp; AE185,"")</f>
        <v/>
      </c>
      <c r="AG185" t="str">
        <f>IF(AE185&lt;&gt;"", HELPER!$B$94 &amp; "." &amp; AE185,"")</f>
        <v/>
      </c>
      <c r="AH185" t="str">
        <f t="shared" si="227"/>
        <v/>
      </c>
      <c r="AN185" t="str">
        <f t="shared" si="228"/>
        <v/>
      </c>
      <c r="AO185" t="str">
        <f>IF(A185&lt;&gt;"", IF(OR(F185="1",H185="1",I185="1"),""," "&amp; HELPER!$B$94 &amp; "." &amp; A185),"")</f>
        <v/>
      </c>
      <c r="AP185" t="str">
        <f t="shared" si="229"/>
        <v/>
      </c>
      <c r="AS185" t="str">
        <f>IF(A185="","",  HELPER!$B$94 &amp;  "." &amp; A185)</f>
        <v/>
      </c>
      <c r="AT185" t="str">
        <f t="shared" si="230"/>
        <v/>
      </c>
      <c r="AU185" t="str">
        <f t="shared" si="231"/>
        <v/>
      </c>
      <c r="AX185" t="str">
        <f>IF(COLUMNS!J136="","","LEFT JOIN "&amp; Options!$B$23 &amp; "." &amp;  COLUMNS!J136 &amp; " ON ")</f>
        <v/>
      </c>
      <c r="AY185" t="str">
        <f t="shared" si="232"/>
        <v/>
      </c>
      <c r="BA185" t="str">
        <f>IF(AZ185="","", "CAST(" &amp; AZ185 &amp; " AS varchar(" &amp; Options!$B$49 &amp; "))")</f>
        <v/>
      </c>
      <c r="BB185" t="str">
        <f t="shared" ca="1" si="233"/>
        <v/>
      </c>
      <c r="BC185" t="str">
        <f t="shared" si="243"/>
        <v/>
      </c>
      <c r="BE185" t="str">
        <f t="shared" si="234"/>
        <v/>
      </c>
      <c r="BF185" t="str">
        <f t="shared" si="235"/>
        <v/>
      </c>
      <c r="BG185" t="str">
        <f t="shared" si="236"/>
        <v/>
      </c>
      <c r="BH185" s="285" t="str">
        <f t="shared" ca="1" si="244"/>
        <v/>
      </c>
      <c r="BJ185" t="str">
        <f t="shared" si="237"/>
        <v/>
      </c>
      <c r="BM185" t="str">
        <f t="shared" si="245"/>
        <v/>
      </c>
      <c r="BN185" t="str">
        <f t="shared" si="246"/>
        <v/>
      </c>
      <c r="BO185" t="str">
        <f t="shared" ca="1" si="238"/>
        <v/>
      </c>
      <c r="BR185" t="str">
        <f t="shared" si="239"/>
        <v/>
      </c>
      <c r="BS185" t="str">
        <f t="shared" ca="1" si="240"/>
        <v/>
      </c>
      <c r="BT185" t="str">
        <f t="shared" si="247"/>
        <v/>
      </c>
      <c r="BU185" t="str">
        <f t="shared" si="241"/>
        <v/>
      </c>
      <c r="BV185">
        <f t="shared" si="242"/>
        <v>0</v>
      </c>
    </row>
    <row r="186" spans="6:74">
      <c r="F186" s="164">
        <f t="shared" ca="1" si="221"/>
        <v>0</v>
      </c>
      <c r="G186" s="164" t="str">
        <f t="array" aca="1" ref="G186" ca="1">IF(TRIM(INDIRECT("Columns!D2"))="","",TRIM(INDIRECT("Columns!D2")))</f>
        <v/>
      </c>
      <c r="S186" t="str">
        <f t="shared" si="222"/>
        <v/>
      </c>
      <c r="V186" t="str">
        <f t="shared" si="223"/>
        <v/>
      </c>
      <c r="Y186" t="str">
        <f t="shared" ca="1" si="224"/>
        <v/>
      </c>
      <c r="Z186" t="str">
        <f t="shared" ca="1" si="225"/>
        <v/>
      </c>
      <c r="AA186" t="str">
        <f>IF( A186="","",IF(OR(F186="1",H186="1",I186="1"),"","COALESCE (CAST("&amp;A186&amp;" as varchar(" &amp; Options!$B$49&amp; ")),'')"))</f>
        <v/>
      </c>
      <c r="AB186" t="str">
        <f>IF(C186="string",  IF( A186="","",IF(OR(F186="1",H186="1",I186="1"),"","COALESCE (CAST(lower("&amp;A186&amp;") as varchar(" &amp;Options!$B$49 &amp; ")),'')")),AA186)</f>
        <v/>
      </c>
      <c r="AE186" t="str">
        <f t="shared" si="226"/>
        <v/>
      </c>
      <c r="AF186" t="str">
        <f>IF(AE186&lt;&gt;"", HELPER!$B$93 &amp;  "." &amp; AE186,"")</f>
        <v/>
      </c>
      <c r="AG186" t="str">
        <f>IF(AE186&lt;&gt;"", HELPER!$B$94 &amp; "." &amp; AE186,"")</f>
        <v/>
      </c>
      <c r="AH186" t="str">
        <f t="shared" si="227"/>
        <v/>
      </c>
      <c r="AN186" t="str">
        <f t="shared" si="228"/>
        <v/>
      </c>
      <c r="AO186" t="str">
        <f>IF(A186&lt;&gt;"", IF(OR(F186="1",H186="1",I186="1"),""," "&amp; HELPER!$B$94 &amp; "." &amp; A186),"")</f>
        <v/>
      </c>
      <c r="AP186" t="str">
        <f t="shared" si="229"/>
        <v/>
      </c>
      <c r="AS186" t="str">
        <f>IF(A186="","",  HELPER!$B$94 &amp;  "." &amp; A186)</f>
        <v/>
      </c>
      <c r="AT186" t="str">
        <f t="shared" si="230"/>
        <v/>
      </c>
      <c r="AU186" t="str">
        <f t="shared" si="231"/>
        <v/>
      </c>
      <c r="AX186" t="str">
        <f>IF(COLUMNS!J137="","","LEFT JOIN "&amp; Options!$B$23 &amp; "." &amp;  COLUMNS!J137 &amp; " ON ")</f>
        <v/>
      </c>
      <c r="AY186" t="str">
        <f t="shared" si="232"/>
        <v/>
      </c>
      <c r="BA186" t="str">
        <f>IF(AZ186="","", "CAST(" &amp; AZ186 &amp; " AS varchar(" &amp; Options!$B$49 &amp; "))")</f>
        <v/>
      </c>
      <c r="BB186" t="str">
        <f t="shared" ca="1" si="233"/>
        <v/>
      </c>
      <c r="BC186" t="str">
        <f t="shared" si="243"/>
        <v/>
      </c>
      <c r="BE186" t="str">
        <f t="shared" si="234"/>
        <v/>
      </c>
      <c r="BF186" t="str">
        <f t="shared" si="235"/>
        <v/>
      </c>
      <c r="BG186" t="str">
        <f t="shared" si="236"/>
        <v/>
      </c>
      <c r="BH186" s="285" t="str">
        <f t="shared" ca="1" si="244"/>
        <v/>
      </c>
      <c r="BJ186" t="str">
        <f t="shared" si="237"/>
        <v/>
      </c>
      <c r="BM186" t="str">
        <f t="shared" si="245"/>
        <v/>
      </c>
      <c r="BN186" t="str">
        <f t="shared" si="246"/>
        <v/>
      </c>
      <c r="BO186" t="str">
        <f t="shared" ca="1" si="238"/>
        <v/>
      </c>
      <c r="BR186" t="str">
        <f t="shared" si="239"/>
        <v/>
      </c>
      <c r="BS186" t="str">
        <f t="shared" ca="1" si="240"/>
        <v/>
      </c>
      <c r="BT186" t="str">
        <f t="shared" si="247"/>
        <v/>
      </c>
      <c r="BU186" t="str">
        <f t="shared" si="241"/>
        <v/>
      </c>
      <c r="BV186">
        <f t="shared" si="242"/>
        <v>0</v>
      </c>
    </row>
    <row r="187" spans="6:74">
      <c r="F187" s="164">
        <f t="shared" ca="1" si="221"/>
        <v>0</v>
      </c>
      <c r="G187" s="164" t="str">
        <f t="array" aca="1" ref="G187" ca="1">IF(TRIM(INDIRECT("Columns!D2"))="","",TRIM(INDIRECT("Columns!D2")))</f>
        <v/>
      </c>
      <c r="S187" t="str">
        <f t="shared" si="222"/>
        <v/>
      </c>
      <c r="V187" t="str">
        <f t="shared" si="223"/>
        <v/>
      </c>
      <c r="Y187" t="str">
        <f t="shared" ca="1" si="224"/>
        <v/>
      </c>
      <c r="Z187" t="str">
        <f t="shared" ca="1" si="225"/>
        <v/>
      </c>
      <c r="AA187" t="str">
        <f>IF( A187="","",IF(OR(F187="1",H187="1",I187="1"),"","COALESCE (CAST("&amp;A187&amp;" as varchar(" &amp; Options!$B$49&amp; ")),'')"))</f>
        <v/>
      </c>
      <c r="AB187" t="str">
        <f>IF(C187="string",  IF( A187="","",IF(OR(F187="1",H187="1",I187="1"),"","COALESCE (CAST(lower("&amp;A187&amp;") as varchar(" &amp;Options!$B$49 &amp; ")),'')")),AA187)</f>
        <v/>
      </c>
      <c r="AE187" t="str">
        <f t="shared" si="226"/>
        <v/>
      </c>
      <c r="AF187" t="str">
        <f>IF(AE187&lt;&gt;"", HELPER!$B$93 &amp;  "." &amp; AE187,"")</f>
        <v/>
      </c>
      <c r="AG187" t="str">
        <f>IF(AE187&lt;&gt;"", HELPER!$B$94 &amp; "." &amp; AE187,"")</f>
        <v/>
      </c>
      <c r="AH187" t="str">
        <f t="shared" si="227"/>
        <v/>
      </c>
      <c r="AN187" t="str">
        <f t="shared" si="228"/>
        <v/>
      </c>
      <c r="AO187" t="str">
        <f>IF(A187&lt;&gt;"", IF(OR(F187="1",H187="1",I187="1"),""," "&amp; HELPER!$B$94 &amp; "." &amp; A187),"")</f>
        <v/>
      </c>
      <c r="AP187" t="str">
        <f t="shared" si="229"/>
        <v/>
      </c>
      <c r="AS187" t="str">
        <f>IF(A187="","",  HELPER!$B$94 &amp;  "." &amp; A187)</f>
        <v/>
      </c>
      <c r="AT187" t="str">
        <f t="shared" si="230"/>
        <v/>
      </c>
      <c r="AU187" t="str">
        <f t="shared" si="231"/>
        <v/>
      </c>
      <c r="AX187" t="str">
        <f>IF(COLUMNS!J138="","","LEFT JOIN "&amp; Options!$B$23 &amp; "." &amp;  COLUMNS!J138 &amp; " ON ")</f>
        <v/>
      </c>
      <c r="AY187" t="str">
        <f t="shared" si="232"/>
        <v/>
      </c>
      <c r="BA187" t="str">
        <f>IF(AZ187="","", "CAST(" &amp; AZ187 &amp; " AS varchar(" &amp; Options!$B$49 &amp; "))")</f>
        <v/>
      </c>
      <c r="BB187" t="str">
        <f t="shared" ca="1" si="233"/>
        <v/>
      </c>
      <c r="BC187" t="str">
        <f t="shared" si="243"/>
        <v/>
      </c>
      <c r="BE187" t="str">
        <f t="shared" si="234"/>
        <v/>
      </c>
      <c r="BF187" t="str">
        <f t="shared" si="235"/>
        <v/>
      </c>
      <c r="BG187" t="str">
        <f t="shared" si="236"/>
        <v/>
      </c>
      <c r="BH187" s="285" t="str">
        <f t="shared" ca="1" si="244"/>
        <v/>
      </c>
      <c r="BJ187" t="str">
        <f t="shared" si="237"/>
        <v/>
      </c>
      <c r="BM187" t="str">
        <f t="shared" si="245"/>
        <v/>
      </c>
      <c r="BN187" t="str">
        <f t="shared" si="246"/>
        <v/>
      </c>
      <c r="BO187" t="str">
        <f t="shared" ca="1" si="238"/>
        <v/>
      </c>
      <c r="BR187" t="str">
        <f t="shared" si="239"/>
        <v/>
      </c>
      <c r="BS187" t="str">
        <f t="shared" ca="1" si="240"/>
        <v/>
      </c>
      <c r="BT187" t="str">
        <f t="shared" si="247"/>
        <v/>
      </c>
      <c r="BU187" t="str">
        <f t="shared" si="241"/>
        <v/>
      </c>
      <c r="BV187">
        <f t="shared" si="242"/>
        <v>0</v>
      </c>
    </row>
    <row r="188" spans="6:74">
      <c r="F188" s="164">
        <f t="shared" ca="1" si="221"/>
        <v>0</v>
      </c>
      <c r="G188" s="164" t="str">
        <f t="array" aca="1" ref="G188" ca="1">IF(TRIM(INDIRECT("Columns!D2"))="","",TRIM(INDIRECT("Columns!D2")))</f>
        <v/>
      </c>
      <c r="S188" t="str">
        <f t="shared" si="222"/>
        <v/>
      </c>
      <c r="V188" t="str">
        <f t="shared" si="223"/>
        <v/>
      </c>
      <c r="Y188" t="str">
        <f t="shared" ca="1" si="224"/>
        <v/>
      </c>
      <c r="Z188" t="str">
        <f t="shared" ca="1" si="225"/>
        <v/>
      </c>
      <c r="AA188" t="str">
        <f>IF( A188="","",IF(OR(F188="1",H188="1",I188="1"),"","COALESCE (CAST("&amp;A188&amp;" as varchar(" &amp; Options!$B$49&amp; ")),'')"))</f>
        <v/>
      </c>
      <c r="AB188" t="str">
        <f>IF(C188="string",  IF( A188="","",IF(OR(F188="1",H188="1",I188="1"),"","COALESCE (CAST(lower("&amp;A188&amp;") as varchar(" &amp;Options!$B$49 &amp; ")),'')")),AA188)</f>
        <v/>
      </c>
      <c r="AE188" t="str">
        <f t="shared" si="226"/>
        <v/>
      </c>
      <c r="AF188" t="str">
        <f>IF(AE188&lt;&gt;"", HELPER!$B$93 &amp;  "." &amp; AE188,"")</f>
        <v/>
      </c>
      <c r="AG188" t="str">
        <f>IF(AE188&lt;&gt;"", HELPER!$B$94 &amp; "." &amp; AE188,"")</f>
        <v/>
      </c>
      <c r="AH188" t="str">
        <f t="shared" si="227"/>
        <v/>
      </c>
      <c r="AN188" t="str">
        <f t="shared" si="228"/>
        <v/>
      </c>
      <c r="AO188" t="str">
        <f>IF(A188&lt;&gt;"", IF(OR(F188="1",H188="1",I188="1"),""," "&amp; HELPER!$B$94 &amp; "." &amp; A188),"")</f>
        <v/>
      </c>
      <c r="AP188" t="str">
        <f t="shared" si="229"/>
        <v/>
      </c>
      <c r="AS188" t="str">
        <f>IF(A188="","",  HELPER!$B$94 &amp;  "." &amp; A188)</f>
        <v/>
      </c>
      <c r="AT188" t="str">
        <f t="shared" si="230"/>
        <v/>
      </c>
      <c r="AU188" t="str">
        <f t="shared" si="231"/>
        <v/>
      </c>
      <c r="AX188" t="str">
        <f>IF(COLUMNS!J139="","","LEFT JOIN "&amp; Options!$B$23 &amp; "." &amp;  COLUMNS!J139 &amp; " ON ")</f>
        <v/>
      </c>
      <c r="AY188" t="str">
        <f t="shared" si="232"/>
        <v/>
      </c>
      <c r="BA188" t="str">
        <f>IF(AZ188="","", "CAST(" &amp; AZ188 &amp; " AS varchar(" &amp; Options!$B$49 &amp; "))")</f>
        <v/>
      </c>
      <c r="BB188" t="str">
        <f t="shared" ca="1" si="233"/>
        <v/>
      </c>
      <c r="BC188" t="str">
        <f t="shared" si="243"/>
        <v/>
      </c>
      <c r="BE188" t="str">
        <f t="shared" si="234"/>
        <v/>
      </c>
      <c r="BF188" t="str">
        <f t="shared" si="235"/>
        <v/>
      </c>
      <c r="BG188" t="str">
        <f t="shared" si="236"/>
        <v/>
      </c>
      <c r="BH188" s="285" t="str">
        <f t="shared" ca="1" si="244"/>
        <v/>
      </c>
      <c r="BJ188" t="str">
        <f t="shared" si="237"/>
        <v/>
      </c>
      <c r="BM188" t="str">
        <f t="shared" si="245"/>
        <v/>
      </c>
      <c r="BN188" t="str">
        <f t="shared" si="246"/>
        <v/>
      </c>
      <c r="BO188" t="str">
        <f t="shared" ca="1" si="238"/>
        <v/>
      </c>
      <c r="BR188" t="str">
        <f t="shared" si="239"/>
        <v/>
      </c>
      <c r="BS188" t="str">
        <f t="shared" ca="1" si="240"/>
        <v/>
      </c>
      <c r="BT188" t="str">
        <f t="shared" si="247"/>
        <v/>
      </c>
      <c r="BU188" t="str">
        <f t="shared" si="241"/>
        <v/>
      </c>
      <c r="BV188">
        <f t="shared" si="242"/>
        <v>0</v>
      </c>
    </row>
    <row r="189" spans="6:74">
      <c r="F189" s="164">
        <f t="shared" ca="1" si="221"/>
        <v>0</v>
      </c>
      <c r="G189" s="164" t="str">
        <f t="array" aca="1" ref="G189" ca="1">IF(TRIM(INDIRECT("Columns!D2"))="","",TRIM(INDIRECT("Columns!D2")))</f>
        <v/>
      </c>
      <c r="S189" t="str">
        <f t="shared" si="222"/>
        <v/>
      </c>
      <c r="V189" t="str">
        <f t="shared" si="223"/>
        <v/>
      </c>
      <c r="Y189" t="str">
        <f t="shared" ca="1" si="224"/>
        <v/>
      </c>
      <c r="Z189" t="str">
        <f t="shared" ca="1" si="225"/>
        <v/>
      </c>
      <c r="AA189" t="str">
        <f>IF( A189="","",IF(OR(F189="1",H189="1",I189="1"),"","COALESCE (CAST("&amp;A189&amp;" as varchar(" &amp; Options!$B$49&amp; ")),'')"))</f>
        <v/>
      </c>
      <c r="AB189" t="str">
        <f>IF(C189="string",  IF( A189="","",IF(OR(F189="1",H189="1",I189="1"),"","COALESCE (CAST(lower("&amp;A189&amp;") as varchar(" &amp;Options!$B$49 &amp; ")),'')")),AA189)</f>
        <v/>
      </c>
      <c r="AE189" t="str">
        <f t="shared" si="226"/>
        <v/>
      </c>
      <c r="AF189" t="str">
        <f>IF(AE189&lt;&gt;"", HELPER!$B$93 &amp;  "." &amp; AE189,"")</f>
        <v/>
      </c>
      <c r="AG189" t="str">
        <f>IF(AE189&lt;&gt;"", HELPER!$B$94 &amp; "." &amp; AE189,"")</f>
        <v/>
      </c>
      <c r="AH189" t="str">
        <f t="shared" si="227"/>
        <v/>
      </c>
      <c r="AN189" t="str">
        <f t="shared" si="228"/>
        <v/>
      </c>
      <c r="AO189" t="str">
        <f>IF(A189&lt;&gt;"", IF(OR(F189="1",H189="1",I189="1"),""," "&amp; HELPER!$B$94 &amp; "." &amp; A189),"")</f>
        <v/>
      </c>
      <c r="AP189" t="str">
        <f t="shared" si="229"/>
        <v/>
      </c>
      <c r="AS189" t="str">
        <f>IF(A189="","",  HELPER!$B$94 &amp;  "." &amp; A189)</f>
        <v/>
      </c>
      <c r="AT189" t="str">
        <f t="shared" si="230"/>
        <v/>
      </c>
      <c r="AU189" t="str">
        <f t="shared" si="231"/>
        <v/>
      </c>
      <c r="AX189" t="str">
        <f>IF(COLUMNS!J140="","","LEFT JOIN "&amp; Options!$B$23 &amp; "." &amp;  COLUMNS!J140 &amp; " ON ")</f>
        <v/>
      </c>
      <c r="AY189" t="str">
        <f t="shared" si="232"/>
        <v/>
      </c>
      <c r="BA189" t="str">
        <f>IF(AZ189="","", "CAST(" &amp; AZ189 &amp; " AS varchar(" &amp; Options!$B$49 &amp; "))")</f>
        <v/>
      </c>
      <c r="BB189" t="str">
        <f t="shared" ca="1" si="233"/>
        <v/>
      </c>
      <c r="BC189" t="str">
        <f t="shared" si="243"/>
        <v/>
      </c>
      <c r="BE189" t="str">
        <f t="shared" si="234"/>
        <v/>
      </c>
      <c r="BF189" t="str">
        <f t="shared" si="235"/>
        <v/>
      </c>
      <c r="BG189" t="str">
        <f t="shared" si="236"/>
        <v/>
      </c>
      <c r="BH189" s="285" t="str">
        <f t="shared" ca="1" si="244"/>
        <v/>
      </c>
      <c r="BJ189" t="str">
        <f t="shared" si="237"/>
        <v/>
      </c>
      <c r="BM189" t="str">
        <f t="shared" si="245"/>
        <v/>
      </c>
      <c r="BN189" t="str">
        <f t="shared" si="246"/>
        <v/>
      </c>
      <c r="BO189" t="str">
        <f t="shared" ca="1" si="238"/>
        <v/>
      </c>
      <c r="BR189" t="str">
        <f t="shared" si="239"/>
        <v/>
      </c>
      <c r="BS189" t="str">
        <f t="shared" ca="1" si="240"/>
        <v/>
      </c>
      <c r="BT189" t="str">
        <f t="shared" si="247"/>
        <v/>
      </c>
      <c r="BU189" t="str">
        <f t="shared" si="241"/>
        <v/>
      </c>
      <c r="BV189">
        <f t="shared" si="242"/>
        <v>0</v>
      </c>
    </row>
    <row r="190" spans="6:74">
      <c r="F190" s="164">
        <f t="shared" ca="1" si="221"/>
        <v>0</v>
      </c>
      <c r="G190" s="164" t="str">
        <f t="array" aca="1" ref="G190" ca="1">IF(TRIM(INDIRECT("Columns!D2"))="","",TRIM(INDIRECT("Columns!D2")))</f>
        <v/>
      </c>
      <c r="S190" t="str">
        <f t="shared" si="222"/>
        <v/>
      </c>
      <c r="V190" t="str">
        <f t="shared" si="223"/>
        <v/>
      </c>
      <c r="Y190" t="str">
        <f t="shared" ca="1" si="224"/>
        <v/>
      </c>
      <c r="Z190" t="str">
        <f t="shared" ca="1" si="225"/>
        <v/>
      </c>
      <c r="AA190" t="str">
        <f>IF( A190="","",IF(OR(F190="1",H190="1",I190="1"),"","COALESCE (CAST("&amp;A190&amp;" as varchar(" &amp; Options!$B$49&amp; ")),'')"))</f>
        <v/>
      </c>
      <c r="AB190" t="str">
        <f>IF(C190="string",  IF( A190="","",IF(OR(F190="1",H190="1",I190="1"),"","COALESCE (CAST(lower("&amp;A190&amp;") as varchar(" &amp;Options!$B$49 &amp; ")),'')")),AA190)</f>
        <v/>
      </c>
      <c r="AE190" t="str">
        <f t="shared" si="226"/>
        <v/>
      </c>
      <c r="AF190" t="str">
        <f>IF(AE190&lt;&gt;"", HELPER!$B$93 &amp;  "." &amp; AE190,"")</f>
        <v/>
      </c>
      <c r="AG190" t="str">
        <f>IF(AE190&lt;&gt;"", HELPER!$B$94 &amp; "." &amp; AE190,"")</f>
        <v/>
      </c>
      <c r="AH190" t="str">
        <f t="shared" si="227"/>
        <v/>
      </c>
      <c r="AN190" t="str">
        <f t="shared" si="228"/>
        <v/>
      </c>
      <c r="AO190" t="str">
        <f>IF(A190&lt;&gt;"", IF(OR(F190="1",H190="1",I190="1"),""," "&amp; HELPER!$B$94 &amp; "." &amp; A190),"")</f>
        <v/>
      </c>
      <c r="AP190" t="str">
        <f t="shared" si="229"/>
        <v/>
      </c>
      <c r="AS190" t="str">
        <f>IF(A190="","",  HELPER!$B$94 &amp;  "." &amp; A190)</f>
        <v/>
      </c>
      <c r="AT190" t="str">
        <f t="shared" si="230"/>
        <v/>
      </c>
      <c r="AU190" t="str">
        <f t="shared" si="231"/>
        <v/>
      </c>
      <c r="AX190" t="str">
        <f>IF(COLUMNS!J141="","","LEFT JOIN "&amp; Options!$B$23 &amp; "." &amp;  COLUMNS!J141 &amp; " ON ")</f>
        <v/>
      </c>
      <c r="AY190" t="str">
        <f t="shared" si="232"/>
        <v/>
      </c>
      <c r="BA190" t="str">
        <f>IF(AZ190="","", "CAST(" &amp; AZ190 &amp; " AS varchar(" &amp; Options!$B$49 &amp; "))")</f>
        <v/>
      </c>
      <c r="BB190" t="str">
        <f t="shared" ca="1" si="233"/>
        <v/>
      </c>
      <c r="BC190" t="str">
        <f t="shared" si="243"/>
        <v/>
      </c>
      <c r="BE190" t="str">
        <f t="shared" si="234"/>
        <v/>
      </c>
      <c r="BF190" t="str">
        <f t="shared" si="235"/>
        <v/>
      </c>
      <c r="BG190" t="str">
        <f t="shared" si="236"/>
        <v/>
      </c>
      <c r="BH190" s="285" t="str">
        <f t="shared" ca="1" si="244"/>
        <v/>
      </c>
      <c r="BJ190" t="str">
        <f t="shared" si="237"/>
        <v/>
      </c>
      <c r="BM190" t="str">
        <f t="shared" si="245"/>
        <v/>
      </c>
      <c r="BN190" t="str">
        <f t="shared" si="246"/>
        <v/>
      </c>
      <c r="BO190" t="str">
        <f t="shared" ca="1" si="238"/>
        <v/>
      </c>
      <c r="BR190" t="str">
        <f t="shared" si="239"/>
        <v/>
      </c>
      <c r="BS190" t="str">
        <f t="shared" ca="1" si="240"/>
        <v/>
      </c>
      <c r="BT190" t="str">
        <f t="shared" si="247"/>
        <v/>
      </c>
      <c r="BU190" t="str">
        <f t="shared" si="241"/>
        <v/>
      </c>
      <c r="BV190">
        <f t="shared" si="242"/>
        <v>0</v>
      </c>
    </row>
    <row r="191" spans="6:74">
      <c r="F191" s="164">
        <f t="shared" ca="1" si="221"/>
        <v>0</v>
      </c>
      <c r="G191" s="164" t="str">
        <f t="array" aca="1" ref="G191" ca="1">IF(TRIM(INDIRECT("Columns!D2"))="","",TRIM(INDIRECT("Columns!D2")))</f>
        <v/>
      </c>
      <c r="S191" t="str">
        <f t="shared" si="222"/>
        <v/>
      </c>
      <c r="V191" t="str">
        <f t="shared" si="223"/>
        <v/>
      </c>
      <c r="Y191" t="str">
        <f t="shared" ca="1" si="224"/>
        <v/>
      </c>
      <c r="Z191" t="str">
        <f t="shared" ca="1" si="225"/>
        <v/>
      </c>
      <c r="AA191" t="str">
        <f>IF( A191="","",IF(OR(F191="1",H191="1",I191="1"),"","COALESCE (CAST("&amp;A191&amp;" as varchar(" &amp; Options!$B$49&amp; ")),'')"))</f>
        <v/>
      </c>
      <c r="AB191" t="str">
        <f>IF(C191="string",  IF( A191="","",IF(OR(F191="1",H191="1",I191="1"),"","COALESCE (CAST(lower("&amp;A191&amp;") as varchar(" &amp;Options!$B$49 &amp; ")),'')")),AA191)</f>
        <v/>
      </c>
      <c r="AE191" t="str">
        <f t="shared" si="226"/>
        <v/>
      </c>
      <c r="AF191" t="str">
        <f>IF(AE191&lt;&gt;"", HELPER!$B$93 &amp;  "." &amp; AE191,"")</f>
        <v/>
      </c>
      <c r="AG191" t="str">
        <f>IF(AE191&lt;&gt;"", HELPER!$B$94 &amp; "." &amp; AE191,"")</f>
        <v/>
      </c>
      <c r="AH191" t="str">
        <f t="shared" si="227"/>
        <v/>
      </c>
      <c r="AN191" t="str">
        <f t="shared" si="228"/>
        <v/>
      </c>
      <c r="AO191" t="str">
        <f>IF(A191&lt;&gt;"", IF(OR(F191="1",H191="1",I191="1"),""," "&amp; HELPER!$B$94 &amp; "." &amp; A191),"")</f>
        <v/>
      </c>
      <c r="AP191" t="str">
        <f t="shared" si="229"/>
        <v/>
      </c>
      <c r="AS191" t="str">
        <f>IF(A191="","",  HELPER!$B$94 &amp;  "." &amp; A191)</f>
        <v/>
      </c>
      <c r="AT191" t="str">
        <f t="shared" si="230"/>
        <v/>
      </c>
      <c r="AU191" t="str">
        <f t="shared" si="231"/>
        <v/>
      </c>
      <c r="AX191" t="str">
        <f>IF(COLUMNS!J142="","","LEFT JOIN "&amp; Options!$B$23 &amp; "." &amp;  COLUMNS!J142 &amp; " ON ")</f>
        <v/>
      </c>
      <c r="AY191" t="str">
        <f t="shared" si="232"/>
        <v/>
      </c>
      <c r="BA191" t="str">
        <f>IF(AZ191="","", "CAST(" &amp; AZ191 &amp; " AS varchar(" &amp; Options!$B$49 &amp; "))")</f>
        <v/>
      </c>
      <c r="BB191" t="str">
        <f t="shared" ca="1" si="233"/>
        <v/>
      </c>
      <c r="BC191" t="str">
        <f t="shared" si="243"/>
        <v/>
      </c>
      <c r="BE191" t="str">
        <f t="shared" si="234"/>
        <v/>
      </c>
      <c r="BF191" t="str">
        <f t="shared" si="235"/>
        <v/>
      </c>
      <c r="BG191" t="str">
        <f t="shared" si="236"/>
        <v/>
      </c>
      <c r="BH191" s="285" t="str">
        <f t="shared" ca="1" si="244"/>
        <v/>
      </c>
      <c r="BJ191" t="str">
        <f t="shared" si="237"/>
        <v/>
      </c>
      <c r="BM191" t="str">
        <f t="shared" si="245"/>
        <v/>
      </c>
      <c r="BN191" t="str">
        <f t="shared" si="246"/>
        <v/>
      </c>
      <c r="BO191" t="str">
        <f t="shared" ca="1" si="238"/>
        <v/>
      </c>
      <c r="BR191" t="str">
        <f t="shared" si="239"/>
        <v/>
      </c>
      <c r="BS191" t="str">
        <f t="shared" ca="1" si="240"/>
        <v/>
      </c>
      <c r="BT191" t="str">
        <f t="shared" si="247"/>
        <v/>
      </c>
      <c r="BU191" t="str">
        <f t="shared" si="241"/>
        <v/>
      </c>
      <c r="BV191">
        <f t="shared" si="242"/>
        <v>0</v>
      </c>
    </row>
    <row r="192" spans="6:74">
      <c r="F192" s="164">
        <f t="shared" ca="1" si="221"/>
        <v>0</v>
      </c>
      <c r="G192" s="164" t="str">
        <f t="array" aca="1" ref="G192" ca="1">IF(TRIM(INDIRECT("Columns!D2"))="","",TRIM(INDIRECT("Columns!D2")))</f>
        <v/>
      </c>
      <c r="S192" t="str">
        <f t="shared" si="222"/>
        <v/>
      </c>
      <c r="V192" t="str">
        <f t="shared" si="223"/>
        <v/>
      </c>
      <c r="Y192" t="str">
        <f t="shared" ca="1" si="224"/>
        <v/>
      </c>
      <c r="Z192" t="str">
        <f t="shared" ca="1" si="225"/>
        <v/>
      </c>
      <c r="AA192" t="str">
        <f>IF( A192="","",IF(OR(F192="1",H192="1",I192="1"),"","COALESCE (CAST("&amp;A192&amp;" as varchar(" &amp; Options!$B$49&amp; ")),'')"))</f>
        <v/>
      </c>
      <c r="AB192" t="str">
        <f>IF(C192="string",  IF( A192="","",IF(OR(F192="1",H192="1",I192="1"),"","COALESCE (CAST(lower("&amp;A192&amp;") as varchar(" &amp;Options!$B$49 &amp; ")),'')")),AA192)</f>
        <v/>
      </c>
      <c r="AE192" t="str">
        <f t="shared" si="226"/>
        <v/>
      </c>
      <c r="AF192" t="str">
        <f>IF(AE192&lt;&gt;"", HELPER!$B$93 &amp;  "." &amp; AE192,"")</f>
        <v/>
      </c>
      <c r="AG192" t="str">
        <f>IF(AE192&lt;&gt;"", HELPER!$B$94 &amp; "." &amp; AE192,"")</f>
        <v/>
      </c>
      <c r="AH192" t="str">
        <f t="shared" si="227"/>
        <v/>
      </c>
      <c r="AN192" t="str">
        <f t="shared" si="228"/>
        <v/>
      </c>
      <c r="AO192" t="str">
        <f>IF(A192&lt;&gt;"", IF(OR(F192="1",H192="1",I192="1"),""," "&amp; HELPER!$B$94 &amp; "." &amp; A192),"")</f>
        <v/>
      </c>
      <c r="AP192" t="str">
        <f t="shared" si="229"/>
        <v/>
      </c>
      <c r="AS192" t="str">
        <f>IF(A192="","",  HELPER!$B$94 &amp;  "." &amp; A192)</f>
        <v/>
      </c>
      <c r="AT192" t="str">
        <f t="shared" si="230"/>
        <v/>
      </c>
      <c r="AU192" t="str">
        <f t="shared" si="231"/>
        <v/>
      </c>
      <c r="AX192" t="str">
        <f>IF(COLUMNS!J143="","","LEFT JOIN "&amp; Options!$B$23 &amp; "." &amp;  COLUMNS!J143 &amp; " ON ")</f>
        <v/>
      </c>
      <c r="AY192" t="str">
        <f t="shared" si="232"/>
        <v/>
      </c>
      <c r="BA192" t="str">
        <f>IF(AZ192="","", "CAST(" &amp; AZ192 &amp; " AS varchar(" &amp; Options!$B$49 &amp; "))")</f>
        <v/>
      </c>
      <c r="BB192" t="str">
        <f t="shared" ca="1" si="233"/>
        <v/>
      </c>
      <c r="BC192" t="str">
        <f t="shared" si="243"/>
        <v/>
      </c>
      <c r="BE192" t="str">
        <f t="shared" si="234"/>
        <v/>
      </c>
      <c r="BF192" t="str">
        <f t="shared" si="235"/>
        <v/>
      </c>
      <c r="BG192" t="str">
        <f t="shared" si="236"/>
        <v/>
      </c>
      <c r="BH192" s="285" t="str">
        <f t="shared" ca="1" si="244"/>
        <v/>
      </c>
      <c r="BJ192" t="str">
        <f t="shared" si="237"/>
        <v/>
      </c>
      <c r="BM192" t="str">
        <f t="shared" si="245"/>
        <v/>
      </c>
      <c r="BN192" t="str">
        <f t="shared" si="246"/>
        <v/>
      </c>
      <c r="BO192" t="str">
        <f t="shared" ca="1" si="238"/>
        <v/>
      </c>
      <c r="BR192" t="str">
        <f t="shared" si="239"/>
        <v/>
      </c>
      <c r="BS192" t="str">
        <f t="shared" ca="1" si="240"/>
        <v/>
      </c>
      <c r="BT192" t="str">
        <f t="shared" si="247"/>
        <v/>
      </c>
      <c r="BU192" t="str">
        <f t="shared" si="241"/>
        <v/>
      </c>
      <c r="BV192">
        <f t="shared" si="242"/>
        <v>0</v>
      </c>
    </row>
    <row r="193" spans="6:74">
      <c r="F193" s="164">
        <f t="shared" ca="1" si="221"/>
        <v>0</v>
      </c>
      <c r="G193" s="164" t="str">
        <f t="array" aca="1" ref="G193" ca="1">IF(TRIM(INDIRECT("Columns!D2"))="","",TRIM(INDIRECT("Columns!D2")))</f>
        <v/>
      </c>
      <c r="S193" t="str">
        <f t="shared" si="222"/>
        <v/>
      </c>
      <c r="V193" t="str">
        <f t="shared" si="223"/>
        <v/>
      </c>
      <c r="Y193" t="str">
        <f t="shared" ca="1" si="224"/>
        <v/>
      </c>
      <c r="Z193" t="str">
        <f t="shared" ca="1" si="225"/>
        <v/>
      </c>
      <c r="AA193" t="str">
        <f>IF( A193="","",IF(OR(F193="1",H193="1",I193="1"),"","COALESCE (CAST("&amp;A193&amp;" as varchar(" &amp; Options!$B$49&amp; ")),'')"))</f>
        <v/>
      </c>
      <c r="AB193" t="str">
        <f>IF(C193="string",  IF( A193="","",IF(OR(F193="1",H193="1",I193="1"),"","COALESCE (CAST(lower("&amp;A193&amp;") as varchar(" &amp;Options!$B$49 &amp; ")),'')")),AA193)</f>
        <v/>
      </c>
      <c r="AE193" t="str">
        <f t="shared" si="226"/>
        <v/>
      </c>
      <c r="AF193" t="str">
        <f>IF(AE193&lt;&gt;"", HELPER!$B$93 &amp;  "." &amp; AE193,"")</f>
        <v/>
      </c>
      <c r="AG193" t="str">
        <f>IF(AE193&lt;&gt;"", HELPER!$B$94 &amp; "." &amp; AE193,"")</f>
        <v/>
      </c>
      <c r="AH193" t="str">
        <f t="shared" si="227"/>
        <v/>
      </c>
      <c r="AN193" t="str">
        <f t="shared" si="228"/>
        <v/>
      </c>
      <c r="AO193" t="str">
        <f>IF(A193&lt;&gt;"", IF(OR(F193="1",H193="1",I193="1"),""," "&amp; HELPER!$B$94 &amp; "." &amp; A193),"")</f>
        <v/>
      </c>
      <c r="AP193" t="str">
        <f t="shared" si="229"/>
        <v/>
      </c>
      <c r="AS193" t="str">
        <f>IF(A193="","",  HELPER!$B$94 &amp;  "." &amp; A193)</f>
        <v/>
      </c>
      <c r="AT193" t="str">
        <f t="shared" si="230"/>
        <v/>
      </c>
      <c r="AU193" t="str">
        <f t="shared" si="231"/>
        <v/>
      </c>
      <c r="AX193" t="str">
        <f>IF(COLUMNS!J144="","","LEFT JOIN "&amp; Options!$B$23 &amp; "." &amp;  COLUMNS!J144 &amp; " ON ")</f>
        <v/>
      </c>
      <c r="AY193" t="str">
        <f t="shared" si="232"/>
        <v/>
      </c>
      <c r="BA193" t="str">
        <f>IF(AZ193="","", "CAST(" &amp; AZ193 &amp; " AS varchar(" &amp; Options!$B$49 &amp; "))")</f>
        <v/>
      </c>
      <c r="BB193" t="str">
        <f t="shared" ca="1" si="233"/>
        <v/>
      </c>
      <c r="BC193" t="str">
        <f t="shared" si="243"/>
        <v/>
      </c>
      <c r="BE193" t="str">
        <f t="shared" si="234"/>
        <v/>
      </c>
      <c r="BF193" t="str">
        <f t="shared" si="235"/>
        <v/>
      </c>
      <c r="BG193" t="str">
        <f t="shared" si="236"/>
        <v/>
      </c>
      <c r="BH193" s="285" t="str">
        <f t="shared" ca="1" si="244"/>
        <v/>
      </c>
      <c r="BJ193" t="str">
        <f t="shared" si="237"/>
        <v/>
      </c>
      <c r="BM193" t="str">
        <f t="shared" si="245"/>
        <v/>
      </c>
      <c r="BN193" t="str">
        <f t="shared" si="246"/>
        <v/>
      </c>
      <c r="BO193" t="str">
        <f t="shared" ca="1" si="238"/>
        <v/>
      </c>
      <c r="BR193" t="str">
        <f t="shared" si="239"/>
        <v/>
      </c>
      <c r="BS193" t="str">
        <f t="shared" ca="1" si="240"/>
        <v/>
      </c>
      <c r="BT193" t="str">
        <f t="shared" si="247"/>
        <v/>
      </c>
      <c r="BU193" t="str">
        <f t="shared" si="241"/>
        <v/>
      </c>
      <c r="BV193">
        <f t="shared" si="242"/>
        <v>0</v>
      </c>
    </row>
    <row r="194" spans="6:74">
      <c r="F194" s="164">
        <f t="shared" ca="1" si="221"/>
        <v>0</v>
      </c>
      <c r="G194" s="164" t="str">
        <f t="array" aca="1" ref="G194" ca="1">IF(TRIM(INDIRECT("Columns!D2"))="","",TRIM(INDIRECT("Columns!D2")))</f>
        <v/>
      </c>
      <c r="S194" t="str">
        <f t="shared" si="222"/>
        <v/>
      </c>
      <c r="V194" t="str">
        <f t="shared" si="223"/>
        <v/>
      </c>
      <c r="Y194" t="str">
        <f t="shared" ca="1" si="224"/>
        <v/>
      </c>
      <c r="Z194" t="str">
        <f t="shared" ca="1" si="225"/>
        <v/>
      </c>
      <c r="AA194" t="str">
        <f>IF( A194="","",IF(OR(F194="1",H194="1",I194="1"),"","COALESCE (CAST("&amp;A194&amp;" as varchar(" &amp; Options!$B$49&amp; ")),'')"))</f>
        <v/>
      </c>
      <c r="AB194" t="str">
        <f>IF(C194="string",  IF( A194="","",IF(OR(F194="1",H194="1",I194="1"),"","COALESCE (CAST(lower("&amp;A194&amp;") as varchar(" &amp;Options!$B$49 &amp; ")),'')")),AA194)</f>
        <v/>
      </c>
      <c r="AE194" t="str">
        <f t="shared" si="226"/>
        <v/>
      </c>
      <c r="AF194" t="str">
        <f>IF(AE194&lt;&gt;"", HELPER!$B$93 &amp;  "." &amp; AE194,"")</f>
        <v/>
      </c>
      <c r="AG194" t="str">
        <f>IF(AE194&lt;&gt;"", HELPER!$B$94 &amp; "." &amp; AE194,"")</f>
        <v/>
      </c>
      <c r="AH194" t="str">
        <f t="shared" si="227"/>
        <v/>
      </c>
      <c r="AN194" t="str">
        <f t="shared" si="228"/>
        <v/>
      </c>
      <c r="AO194" t="str">
        <f>IF(A194&lt;&gt;"", IF(OR(F194="1",H194="1",I194="1"),""," "&amp; HELPER!$B$94 &amp; "." &amp; A194),"")</f>
        <v/>
      </c>
      <c r="AP194" t="str">
        <f t="shared" si="229"/>
        <v/>
      </c>
      <c r="AS194" t="str">
        <f>IF(A194="","",  HELPER!$B$94 &amp;  "." &amp; A194)</f>
        <v/>
      </c>
      <c r="AT194" t="str">
        <f t="shared" si="230"/>
        <v/>
      </c>
      <c r="AU194" t="str">
        <f t="shared" si="231"/>
        <v/>
      </c>
      <c r="AX194" t="str">
        <f>IF(COLUMNS!J145="","","LEFT JOIN "&amp; Options!$B$23 &amp; "." &amp;  COLUMNS!J145 &amp; " ON ")</f>
        <v/>
      </c>
      <c r="AY194" t="str">
        <f t="shared" si="232"/>
        <v/>
      </c>
      <c r="BA194" t="str">
        <f>IF(AZ194="","", "CAST(" &amp; AZ194 &amp; " AS varchar(" &amp; Options!$B$49 &amp; "))")</f>
        <v/>
      </c>
      <c r="BB194" t="str">
        <f t="shared" ca="1" si="233"/>
        <v/>
      </c>
      <c r="BC194" t="str">
        <f t="shared" si="243"/>
        <v/>
      </c>
      <c r="BE194" t="str">
        <f t="shared" si="234"/>
        <v/>
      </c>
      <c r="BF194" t="str">
        <f t="shared" si="235"/>
        <v/>
      </c>
      <c r="BG194" t="str">
        <f t="shared" si="236"/>
        <v/>
      </c>
      <c r="BH194" s="285" t="str">
        <f t="shared" ca="1" si="244"/>
        <v/>
      </c>
      <c r="BJ194" t="str">
        <f t="shared" si="237"/>
        <v/>
      </c>
      <c r="BM194" t="str">
        <f t="shared" si="245"/>
        <v/>
      </c>
      <c r="BN194" t="str">
        <f t="shared" si="246"/>
        <v/>
      </c>
      <c r="BO194" t="str">
        <f t="shared" ca="1" si="238"/>
        <v/>
      </c>
      <c r="BR194" t="str">
        <f t="shared" si="239"/>
        <v/>
      </c>
      <c r="BS194" t="str">
        <f t="shared" ca="1" si="240"/>
        <v/>
      </c>
      <c r="BT194" t="str">
        <f t="shared" si="247"/>
        <v/>
      </c>
      <c r="BU194" t="str">
        <f t="shared" si="241"/>
        <v/>
      </c>
      <c r="BV194">
        <f t="shared" si="242"/>
        <v>0</v>
      </c>
    </row>
    <row r="195" spans="6:74">
      <c r="F195" s="164">
        <f t="shared" ca="1" si="221"/>
        <v>0</v>
      </c>
      <c r="G195" s="164" t="str">
        <f t="array" aca="1" ref="G195" ca="1">IF(TRIM(INDIRECT("Columns!D2"))="","",TRIM(INDIRECT("Columns!D2")))</f>
        <v/>
      </c>
      <c r="S195" t="str">
        <f t="shared" si="222"/>
        <v/>
      </c>
      <c r="V195" t="str">
        <f t="shared" si="223"/>
        <v/>
      </c>
      <c r="Y195" t="str">
        <f t="shared" ca="1" si="224"/>
        <v/>
      </c>
      <c r="Z195" t="str">
        <f t="shared" ca="1" si="225"/>
        <v/>
      </c>
      <c r="AA195" t="str">
        <f>IF( A195="","",IF(OR(F195="1",H195="1",I195="1"),"","COALESCE (CAST("&amp;A195&amp;" as varchar(" &amp; Options!$B$49&amp; ")),'')"))</f>
        <v/>
      </c>
      <c r="AB195" t="str">
        <f>IF(C195="string",  IF( A195="","",IF(OR(F195="1",H195="1",I195="1"),"","COALESCE (CAST(lower("&amp;A195&amp;") as varchar(" &amp;Options!$B$49 &amp; ")),'')")),AA195)</f>
        <v/>
      </c>
      <c r="AE195" t="str">
        <f t="shared" si="226"/>
        <v/>
      </c>
      <c r="AF195" t="str">
        <f>IF(AE195&lt;&gt;"", HELPER!$B$93 &amp;  "." &amp; AE195,"")</f>
        <v/>
      </c>
      <c r="AG195" t="str">
        <f>IF(AE195&lt;&gt;"", HELPER!$B$94 &amp; "." &amp; AE195,"")</f>
        <v/>
      </c>
      <c r="AH195" t="str">
        <f t="shared" si="227"/>
        <v/>
      </c>
      <c r="AN195" t="str">
        <f t="shared" si="228"/>
        <v/>
      </c>
      <c r="AO195" t="str">
        <f>IF(A195&lt;&gt;"", IF(OR(F195="1",H195="1",I195="1"),""," "&amp; HELPER!$B$94 &amp; "." &amp; A195),"")</f>
        <v/>
      </c>
      <c r="AP195" t="str">
        <f t="shared" si="229"/>
        <v/>
      </c>
      <c r="AS195" t="str">
        <f>IF(A195="","",  HELPER!$B$94 &amp;  "." &amp; A195)</f>
        <v/>
      </c>
      <c r="AT195" t="str">
        <f t="shared" si="230"/>
        <v/>
      </c>
      <c r="AU195" t="str">
        <f t="shared" si="231"/>
        <v/>
      </c>
      <c r="AX195" t="str">
        <f>IF(COLUMNS!J146="","","LEFT JOIN "&amp; Options!$B$23 &amp; "." &amp;  COLUMNS!J146 &amp; " ON ")</f>
        <v/>
      </c>
      <c r="AY195" t="str">
        <f t="shared" si="232"/>
        <v/>
      </c>
      <c r="BA195" t="str">
        <f>IF(AZ195="","", "CAST(" &amp; AZ195 &amp; " AS varchar(" &amp; Options!$B$49 &amp; "))")</f>
        <v/>
      </c>
      <c r="BB195" t="str">
        <f t="shared" ca="1" si="233"/>
        <v/>
      </c>
      <c r="BC195" t="str">
        <f t="shared" si="243"/>
        <v/>
      </c>
      <c r="BE195" t="str">
        <f t="shared" si="234"/>
        <v/>
      </c>
      <c r="BF195" t="str">
        <f t="shared" si="235"/>
        <v/>
      </c>
      <c r="BG195" t="str">
        <f t="shared" si="236"/>
        <v/>
      </c>
      <c r="BH195" s="285" t="str">
        <f t="shared" ca="1" si="244"/>
        <v/>
      </c>
      <c r="BJ195" t="str">
        <f t="shared" si="237"/>
        <v/>
      </c>
      <c r="BM195" t="str">
        <f t="shared" si="245"/>
        <v/>
      </c>
      <c r="BN195" t="str">
        <f t="shared" si="246"/>
        <v/>
      </c>
      <c r="BO195" t="str">
        <f t="shared" ca="1" si="238"/>
        <v/>
      </c>
      <c r="BR195" t="str">
        <f t="shared" si="239"/>
        <v/>
      </c>
      <c r="BS195" t="str">
        <f t="shared" ca="1" si="240"/>
        <v/>
      </c>
      <c r="BT195" t="str">
        <f t="shared" si="247"/>
        <v/>
      </c>
      <c r="BU195" t="str">
        <f t="shared" si="241"/>
        <v/>
      </c>
      <c r="BV195">
        <f t="shared" si="242"/>
        <v>0</v>
      </c>
    </row>
    <row r="196" spans="6:74">
      <c r="F196" s="164">
        <f t="shared" ca="1" si="221"/>
        <v>0</v>
      </c>
      <c r="G196" s="164" t="str">
        <f t="array" aca="1" ref="G196" ca="1">IF(TRIM(INDIRECT("Columns!D2"))="","",TRIM(INDIRECT("Columns!D2")))</f>
        <v/>
      </c>
      <c r="S196" t="str">
        <f t="shared" si="222"/>
        <v/>
      </c>
      <c r="V196" t="str">
        <f t="shared" si="223"/>
        <v/>
      </c>
      <c r="Y196" t="str">
        <f t="shared" ca="1" si="224"/>
        <v/>
      </c>
      <c r="Z196" t="str">
        <f t="shared" ca="1" si="225"/>
        <v/>
      </c>
      <c r="AA196" t="str">
        <f>IF( A196="","",IF(OR(F196="1",H196="1",I196="1"),"","COALESCE (CAST("&amp;A196&amp;" as varchar(" &amp; Options!$B$49&amp; ")),'')"))</f>
        <v/>
      </c>
      <c r="AB196" t="str">
        <f>IF(C196="string",  IF( A196="","",IF(OR(F196="1",H196="1",I196="1"),"","COALESCE (CAST(lower("&amp;A196&amp;") as varchar(" &amp;Options!$B$49 &amp; ")),'')")),AA196)</f>
        <v/>
      </c>
      <c r="AE196" t="str">
        <f t="shared" si="226"/>
        <v/>
      </c>
      <c r="AF196" t="str">
        <f>IF(AE196&lt;&gt;"", HELPER!$B$93 &amp;  "." &amp; AE196,"")</f>
        <v/>
      </c>
      <c r="AG196" t="str">
        <f>IF(AE196&lt;&gt;"", HELPER!$B$94 &amp; "." &amp; AE196,"")</f>
        <v/>
      </c>
      <c r="AH196" t="str">
        <f t="shared" si="227"/>
        <v/>
      </c>
      <c r="AN196" t="str">
        <f t="shared" si="228"/>
        <v/>
      </c>
      <c r="AO196" t="str">
        <f>IF(A196&lt;&gt;"", IF(OR(F196="1",H196="1",I196="1"),""," "&amp; HELPER!$B$94 &amp; "." &amp; A196),"")</f>
        <v/>
      </c>
      <c r="AP196" t="str">
        <f t="shared" si="229"/>
        <v/>
      </c>
      <c r="AS196" t="str">
        <f>IF(A196="","",  HELPER!$B$94 &amp;  "." &amp; A196)</f>
        <v/>
      </c>
      <c r="AT196" t="str">
        <f t="shared" si="230"/>
        <v/>
      </c>
      <c r="AU196" t="str">
        <f t="shared" si="231"/>
        <v/>
      </c>
      <c r="AX196" t="str">
        <f>IF(COLUMNS!J147="","","LEFT JOIN "&amp; Options!$B$23 &amp; "." &amp;  COLUMNS!J147 &amp; " ON ")</f>
        <v/>
      </c>
      <c r="AY196" t="str">
        <f t="shared" si="232"/>
        <v/>
      </c>
      <c r="BA196" t="str">
        <f>IF(AZ196="","", "CAST(" &amp; AZ196 &amp; " AS varchar(" &amp; Options!$B$49 &amp; "))")</f>
        <v/>
      </c>
      <c r="BB196" t="str">
        <f t="shared" ca="1" si="233"/>
        <v/>
      </c>
      <c r="BC196" t="str">
        <f t="shared" si="243"/>
        <v/>
      </c>
      <c r="BE196" t="str">
        <f t="shared" si="234"/>
        <v/>
      </c>
      <c r="BF196" t="str">
        <f t="shared" si="235"/>
        <v/>
      </c>
      <c r="BG196" t="str">
        <f t="shared" si="236"/>
        <v/>
      </c>
      <c r="BH196" s="285" t="str">
        <f t="shared" ca="1" si="244"/>
        <v/>
      </c>
      <c r="BJ196" t="str">
        <f t="shared" si="237"/>
        <v/>
      </c>
      <c r="BM196" t="str">
        <f t="shared" si="245"/>
        <v/>
      </c>
      <c r="BN196" t="str">
        <f t="shared" si="246"/>
        <v/>
      </c>
      <c r="BO196" t="str">
        <f t="shared" ca="1" si="238"/>
        <v/>
      </c>
      <c r="BR196" t="str">
        <f t="shared" si="239"/>
        <v/>
      </c>
      <c r="BS196" t="str">
        <f t="shared" ca="1" si="240"/>
        <v/>
      </c>
      <c r="BT196" t="str">
        <f t="shared" si="247"/>
        <v/>
      </c>
      <c r="BU196" t="str">
        <f t="shared" si="241"/>
        <v/>
      </c>
      <c r="BV196">
        <f t="shared" si="242"/>
        <v>0</v>
      </c>
    </row>
    <row r="197" spans="6:74">
      <c r="F197" s="164">
        <f t="shared" ca="1" si="221"/>
        <v>0</v>
      </c>
      <c r="G197" s="164" t="str">
        <f t="array" aca="1" ref="G197" ca="1">IF(TRIM(INDIRECT("Columns!D2"))="","",TRIM(INDIRECT("Columns!D2")))</f>
        <v/>
      </c>
      <c r="S197" t="str">
        <f t="shared" si="222"/>
        <v/>
      </c>
      <c r="V197" t="str">
        <f t="shared" si="223"/>
        <v/>
      </c>
      <c r="Y197" t="str">
        <f t="shared" ca="1" si="224"/>
        <v/>
      </c>
      <c r="Z197" t="str">
        <f t="shared" ca="1" si="225"/>
        <v/>
      </c>
      <c r="AA197" t="str">
        <f>IF( A197="","",IF(OR(F197="1",H197="1",I197="1"),"","COALESCE (CAST("&amp;A197&amp;" as varchar(" &amp; Options!$B$49&amp; ")),'')"))</f>
        <v/>
      </c>
      <c r="AB197" t="str">
        <f>IF(C197="string",  IF( A197="","",IF(OR(F197="1",H197="1",I197="1"),"","COALESCE (CAST(lower("&amp;A197&amp;") as varchar(" &amp;Options!$B$49 &amp; ")),'')")),AA197)</f>
        <v/>
      </c>
      <c r="AE197" t="str">
        <f t="shared" si="226"/>
        <v/>
      </c>
      <c r="AF197" t="str">
        <f>IF(AE197&lt;&gt;"", HELPER!$B$93 &amp;  "." &amp; AE197,"")</f>
        <v/>
      </c>
      <c r="AG197" t="str">
        <f>IF(AE197&lt;&gt;"", HELPER!$B$94 &amp; "." &amp; AE197,"")</f>
        <v/>
      </c>
      <c r="AH197" t="str">
        <f t="shared" si="227"/>
        <v/>
      </c>
      <c r="AN197" t="str">
        <f t="shared" si="228"/>
        <v/>
      </c>
      <c r="AO197" t="str">
        <f>IF(A197&lt;&gt;"", IF(OR(F197="1",H197="1",I197="1"),""," "&amp; HELPER!$B$94 &amp; "." &amp; A197),"")</f>
        <v/>
      </c>
      <c r="AP197" t="str">
        <f t="shared" si="229"/>
        <v/>
      </c>
      <c r="AS197" t="str">
        <f>IF(A197="","",  HELPER!$B$94 &amp;  "." &amp; A197)</f>
        <v/>
      </c>
      <c r="AT197" t="str">
        <f t="shared" si="230"/>
        <v/>
      </c>
      <c r="AU197" t="str">
        <f t="shared" si="231"/>
        <v/>
      </c>
      <c r="AX197" t="str">
        <f>IF(COLUMNS!J148="","","LEFT JOIN "&amp; Options!$B$23 &amp; "." &amp;  COLUMNS!J148 &amp; " ON ")</f>
        <v/>
      </c>
      <c r="AY197" t="str">
        <f t="shared" si="232"/>
        <v/>
      </c>
      <c r="BA197" t="str">
        <f>IF(AZ197="","", "CAST(" &amp; AZ197 &amp; " AS varchar(" &amp; Options!$B$49 &amp; "))")</f>
        <v/>
      </c>
      <c r="BB197" t="str">
        <f t="shared" ca="1" si="233"/>
        <v/>
      </c>
      <c r="BC197" t="str">
        <f t="shared" si="243"/>
        <v/>
      </c>
      <c r="BE197" t="str">
        <f t="shared" si="234"/>
        <v/>
      </c>
      <c r="BF197" t="str">
        <f t="shared" si="235"/>
        <v/>
      </c>
      <c r="BG197" t="str">
        <f t="shared" si="236"/>
        <v/>
      </c>
      <c r="BH197" s="285" t="str">
        <f t="shared" ca="1" si="244"/>
        <v/>
      </c>
      <c r="BJ197" t="str">
        <f t="shared" si="237"/>
        <v/>
      </c>
      <c r="BM197" t="str">
        <f t="shared" si="245"/>
        <v/>
      </c>
      <c r="BN197" t="str">
        <f t="shared" si="246"/>
        <v/>
      </c>
      <c r="BO197" t="str">
        <f t="shared" ca="1" si="238"/>
        <v/>
      </c>
      <c r="BR197" t="str">
        <f t="shared" si="239"/>
        <v/>
      </c>
      <c r="BS197" t="str">
        <f t="shared" ca="1" si="240"/>
        <v/>
      </c>
      <c r="BT197" t="str">
        <f t="shared" si="247"/>
        <v/>
      </c>
      <c r="BU197" t="str">
        <f t="shared" si="241"/>
        <v/>
      </c>
      <c r="BV197">
        <f t="shared" si="242"/>
        <v>0</v>
      </c>
    </row>
    <row r="198" spans="6:74">
      <c r="F198" s="164">
        <f t="shared" ca="1" si="221"/>
        <v>0</v>
      </c>
      <c r="G198" s="164" t="str">
        <f t="array" aca="1" ref="G198" ca="1">IF(TRIM(INDIRECT("Columns!D2"))="","",TRIM(INDIRECT("Columns!D2")))</f>
        <v/>
      </c>
      <c r="S198" t="str">
        <f t="shared" si="222"/>
        <v/>
      </c>
      <c r="V198" t="str">
        <f t="shared" si="223"/>
        <v/>
      </c>
      <c r="Y198" t="str">
        <f t="shared" ca="1" si="224"/>
        <v/>
      </c>
      <c r="Z198" t="str">
        <f t="shared" ca="1" si="225"/>
        <v/>
      </c>
      <c r="AA198" t="str">
        <f>IF( A198="","",IF(OR(F198="1",H198="1",I198="1"),"","COALESCE (CAST("&amp;A198&amp;" as varchar(" &amp; Options!$B$49&amp; ")),'')"))</f>
        <v/>
      </c>
      <c r="AB198" t="str">
        <f>IF(C198="string",  IF( A198="","",IF(OR(F198="1",H198="1",I198="1"),"","COALESCE (CAST(lower("&amp;A198&amp;") as varchar(" &amp;Options!$B$49 &amp; ")),'')")),AA198)</f>
        <v/>
      </c>
      <c r="AE198" t="str">
        <f t="shared" si="226"/>
        <v/>
      </c>
      <c r="AF198" t="str">
        <f>IF(AE198&lt;&gt;"", HELPER!$B$93 &amp;  "." &amp; AE198,"")</f>
        <v/>
      </c>
      <c r="AG198" t="str">
        <f>IF(AE198&lt;&gt;"", HELPER!$B$94 &amp; "." &amp; AE198,"")</f>
        <v/>
      </c>
      <c r="AH198" t="str">
        <f t="shared" si="227"/>
        <v/>
      </c>
      <c r="AN198" t="str">
        <f t="shared" si="228"/>
        <v/>
      </c>
      <c r="AO198" t="str">
        <f>IF(A198&lt;&gt;"", IF(OR(F198="1",H198="1",I198="1"),""," "&amp; HELPER!$B$94 &amp; "." &amp; A198),"")</f>
        <v/>
      </c>
      <c r="AP198" t="str">
        <f t="shared" si="229"/>
        <v/>
      </c>
      <c r="AS198" t="str">
        <f>IF(A198="","",  HELPER!$B$94 &amp;  "." &amp; A198)</f>
        <v/>
      </c>
      <c r="AT198" t="str">
        <f t="shared" si="230"/>
        <v/>
      </c>
      <c r="AU198" t="str">
        <f t="shared" si="231"/>
        <v/>
      </c>
      <c r="AX198" t="str">
        <f>IF(COLUMNS!J149="","","LEFT JOIN "&amp; Options!$B$23 &amp; "." &amp;  COLUMNS!J149 &amp; " ON ")</f>
        <v/>
      </c>
      <c r="AY198" t="str">
        <f t="shared" si="232"/>
        <v/>
      </c>
      <c r="BA198" t="str">
        <f>IF(AZ198="","", "CAST(" &amp; AZ198 &amp; " AS varchar(" &amp; Options!$B$49 &amp; "))")</f>
        <v/>
      </c>
      <c r="BB198" t="str">
        <f t="shared" ca="1" si="233"/>
        <v/>
      </c>
      <c r="BC198" t="str">
        <f t="shared" si="243"/>
        <v/>
      </c>
      <c r="BE198" t="str">
        <f t="shared" si="234"/>
        <v/>
      </c>
      <c r="BF198" t="str">
        <f t="shared" si="235"/>
        <v/>
      </c>
      <c r="BG198" t="str">
        <f t="shared" si="236"/>
        <v/>
      </c>
      <c r="BH198" s="285" t="str">
        <f t="shared" ca="1" si="244"/>
        <v/>
      </c>
      <c r="BJ198" t="str">
        <f t="shared" si="237"/>
        <v/>
      </c>
      <c r="BM198" t="str">
        <f t="shared" si="245"/>
        <v/>
      </c>
      <c r="BN198" t="str">
        <f t="shared" si="246"/>
        <v/>
      </c>
      <c r="BO198" t="str">
        <f t="shared" ca="1" si="238"/>
        <v/>
      </c>
      <c r="BR198" t="str">
        <f t="shared" si="239"/>
        <v/>
      </c>
      <c r="BS198" t="str">
        <f t="shared" ca="1" si="240"/>
        <v/>
      </c>
      <c r="BT198" t="str">
        <f t="shared" si="247"/>
        <v/>
      </c>
      <c r="BU198" t="str">
        <f t="shared" si="241"/>
        <v/>
      </c>
      <c r="BV198">
        <f t="shared" si="242"/>
        <v>0</v>
      </c>
    </row>
    <row r="199" spans="6:74">
      <c r="F199" s="164">
        <f t="shared" ca="1" si="221"/>
        <v>0</v>
      </c>
      <c r="G199" s="164" t="str">
        <f t="array" aca="1" ref="G199" ca="1">IF(TRIM(INDIRECT("Columns!D2"))="","",TRIM(INDIRECT("Columns!D2")))</f>
        <v/>
      </c>
      <c r="S199" t="str">
        <f t="shared" ref="S199:S230" si="248">IF(A199="","",A199 &amp; " " &amp; IF(C199="array&lt;varchar&gt;","array&lt;string&gt;",C199))</f>
        <v/>
      </c>
      <c r="V199" t="str">
        <f t="shared" ref="V199:V230" si="249">IF(A199="","",IF(F199&lt;&gt;"1",S199,""))</f>
        <v/>
      </c>
      <c r="Y199" t="str">
        <f t="shared" ref="Y199:Y230" ca="1" si="250">IF(F199="1",A199 &amp; " " &amp; C199,"" )</f>
        <v/>
      </c>
      <c r="Z199" t="str">
        <f t="shared" ref="Z199:Z230" ca="1" si="251">IF(F199="1",A199,"")</f>
        <v/>
      </c>
      <c r="AA199" t="str">
        <f>IF( A199="","",IF(OR(F199="1",H199="1",I199="1"),"","COALESCE (CAST("&amp;A199&amp;" as varchar(" &amp; Options!$B$49&amp; ")),'')"))</f>
        <v/>
      </c>
      <c r="AB199" t="str">
        <f>IF(C199="string",  IF( A199="","",IF(OR(F199="1",H199="1",I199="1"),"","COALESCE (CAST(lower("&amp;A199&amp;") as varchar(" &amp;Options!$B$49 &amp; ")),'')")),AA199)</f>
        <v/>
      </c>
      <c r="AE199" t="str">
        <f t="shared" ref="AE199:AE230" si="252">IF(H199="1",A199,"")</f>
        <v/>
      </c>
      <c r="AF199" t="str">
        <f>IF(AE199&lt;&gt;"", HELPER!$B$93 &amp;  "." &amp; AE199,"")</f>
        <v/>
      </c>
      <c r="AG199" t="str">
        <f>IF(AE199&lt;&gt;"", HELPER!$B$94 &amp; "." &amp; AE199,"")</f>
        <v/>
      </c>
      <c r="AH199" t="str">
        <f t="shared" ref="AH199:AH230" si="253">IF(AE199&lt;&gt;"",AF199&amp;" = "&amp;AU199,"")</f>
        <v/>
      </c>
      <c r="AN199" t="str">
        <f t="shared" ref="AN199:AN230" si="254">IF(A199="","", IF(OR(F199="1",H199="1",I199="1"),"", A199))</f>
        <v/>
      </c>
      <c r="AO199" t="str">
        <f>IF(A199&lt;&gt;"", IF(OR(F199="1",H199="1",I199="1"),""," "&amp; HELPER!$B$94 &amp; "." &amp; A199),"")</f>
        <v/>
      </c>
      <c r="AP199" t="str">
        <f t="shared" ref="AP199:AP230" si="255">IF(A199="","", IF(AN199="","",AN199 &amp; " = " &amp; AO199))</f>
        <v/>
      </c>
      <c r="AS199" t="str">
        <f>IF(A199="","",  HELPER!$B$94 &amp;  "." &amp; A199)</f>
        <v/>
      </c>
      <c r="AT199" t="str">
        <f t="shared" ref="AT199:AT230" si="256">IF(I199="1",A199,"")</f>
        <v/>
      </c>
      <c r="AU199" t="str">
        <f t="shared" ref="AU199:AU230" si="257">IF(C199="string","COALESCE(" &amp; AS199 &amp; ",'')",AS199)</f>
        <v/>
      </c>
      <c r="AX199" t="str">
        <f>IF(COLUMNS!J150="","","LEFT JOIN "&amp; Options!$B$23 &amp; "." &amp;  COLUMNS!J150 &amp; " ON ")</f>
        <v/>
      </c>
      <c r="AY199" t="str">
        <f t="shared" ref="AY199:AY230" si="258">IF(A199="","",IF(I199="1","", IF(B199="",A199, B199) &amp;" AS "&amp;A199))</f>
        <v/>
      </c>
      <c r="BA199" t="str">
        <f>IF(AZ199="","", "CAST(" &amp; AZ199 &amp; " AS varchar(" &amp; Options!$B$49 &amp; "))")</f>
        <v/>
      </c>
      <c r="BB199" t="str">
        <f t="shared" ref="BB199:BB230" ca="1" si="259">IF(F199="1",IF(B199="",A199,B199),"")</f>
        <v/>
      </c>
      <c r="BC199" t="str">
        <f>IF(AZ199="","","COALESCE(" &amp;  AZ199 &amp; "," &amp; IF(C199="string","''",0  ) &amp; ") AS " &amp; A199)</f>
        <v/>
      </c>
      <c r="BE199" t="str">
        <f t="shared" si="234"/>
        <v/>
      </c>
      <c r="BF199" t="str">
        <f t="shared" ref="BF199:BF230" si="260">IF(A199="","",IF(I199="1","",B199&amp;" AS "&amp;A199))</f>
        <v/>
      </c>
      <c r="BG199" t="str">
        <f t="shared" ref="BG199:BG230" si="261">IF(AT199="","",AT199 &amp; "=-1")</f>
        <v/>
      </c>
      <c r="BH199" s="285" t="str">
        <f ca="1">IF(G199="",   IF(B199="","","COALESCE(" &amp;  B199 &amp; "," &amp; IF(C199="string","''",0  ) &amp; ") AS " &amp; A199),G199 &amp; " AS " &amp;A199 )</f>
        <v/>
      </c>
      <c r="BJ199" t="str">
        <f t="shared" ref="BJ199:BJ230" si="262">IF(A199="","",IF(I199="1","-1",IF(C199="string","'missing'","0")))</f>
        <v/>
      </c>
      <c r="BM199" t="str">
        <f>IF(A199="","",IF(I199="1","",IF(C199&lt;&gt;D199,  IF(AND(D199="string",C199="timestamp"),"cast(from_iso8601_timestamp(" &amp; BO199 &amp; ") as timestamp) AS " &amp; A199, IF(AND(D199="string",C199="date"),"cast( from_iso8601_timestamp(" &amp; BO199 &amp;") as date) AS " &amp; A199,"")),BO199 &amp; " AS " &amp; A199)))</f>
        <v/>
      </c>
      <c r="BN199" t="str">
        <f>IF(A199="","",IF(I199="1","",IF(C199&lt;&gt;D199,  IF(AND(D199="string",C199="timestamp"),"cast(from_iso8601_timestamp(" &amp; BO199 &amp; ") as timestamp) AS " &amp; A199, IF(AND(D199="string",C199="date"),"cast( from_iso8601_timestamp(" &amp; BO199 &amp;") as date) AS " &amp; A199,"")),BO199 &amp; " AS " &amp; A199)))</f>
        <v/>
      </c>
      <c r="BO199" t="str">
        <f t="shared" ref="BO199:BO230" ca="1" si="263">IF(G199="", IF(B199="","","f." &amp; B199),G199)</f>
        <v/>
      </c>
      <c r="BR199" t="str">
        <f t="shared" ref="BR199:BR230" si="264">IF(M199&lt;&gt;"",A199 &amp; M199,"")</f>
        <v/>
      </c>
      <c r="BS199" t="str">
        <f t="shared" ref="BS199:BS230" ca="1" si="265">IF(F199="1",SUBSTITUTE(BR199,"'",""),"")</f>
        <v/>
      </c>
      <c r="BT199" t="str">
        <f>IF(N199="","", SUBSTITUTE(BR199,"[:date_yyyy_mm_dd]",  N199))</f>
        <v/>
      </c>
      <c r="BU199" t="str">
        <f t="shared" ref="BU199:BU230" si="266">IF(N199="","",SUBSTITUTE(BS199,"[:date_yyyy_mm_dd]",SUBSTITUTE(N199,"'","")))</f>
        <v/>
      </c>
      <c r="BV199">
        <f t="shared" ref="BV199:BV230" si="267">IF(A198="",0,1)</f>
        <v>0</v>
      </c>
    </row>
    <row r="200" spans="6:74">
      <c r="F200" s="164">
        <f t="shared" ca="1" si="221"/>
        <v>0</v>
      </c>
      <c r="G200" s="164" t="str">
        <f t="array" aca="1" ref="G200" ca="1">IF(TRIM(INDIRECT("Columns!D2"))="","",TRIM(INDIRECT("Columns!D2")))</f>
        <v/>
      </c>
      <c r="S200" t="str">
        <f t="shared" si="248"/>
        <v/>
      </c>
      <c r="V200" t="str">
        <f t="shared" si="249"/>
        <v/>
      </c>
      <c r="Y200" t="str">
        <f t="shared" ca="1" si="250"/>
        <v/>
      </c>
      <c r="Z200" t="str">
        <f t="shared" ca="1" si="251"/>
        <v/>
      </c>
      <c r="AA200" t="str">
        <f>IF( A200="","",IF(OR(F200="1",H200="1",I200="1"),"","COALESCE (CAST("&amp;A200&amp;" as varchar(" &amp; Options!$B$49&amp; ")),'')"))</f>
        <v/>
      </c>
      <c r="AB200" t="str">
        <f>IF(C200="string",  IF( A200="","",IF(OR(F200="1",H200="1",I200="1"),"","COALESCE (CAST(lower("&amp;A200&amp;") as varchar(" &amp;Options!$B$49 &amp; ")),'')")),AA200)</f>
        <v/>
      </c>
      <c r="AE200" t="str">
        <f t="shared" si="252"/>
        <v/>
      </c>
      <c r="AF200" t="str">
        <f>IF(AE200&lt;&gt;"", HELPER!$B$93 &amp;  "." &amp; AE200,"")</f>
        <v/>
      </c>
      <c r="AG200" t="str">
        <f>IF(AE200&lt;&gt;"", HELPER!$B$94 &amp; "." &amp; AE200,"")</f>
        <v/>
      </c>
      <c r="AH200" t="str">
        <f t="shared" si="253"/>
        <v/>
      </c>
      <c r="AN200" t="str">
        <f t="shared" si="254"/>
        <v/>
      </c>
      <c r="AO200" t="str">
        <f>IF(A200&lt;&gt;"", IF(OR(F200="1",H200="1",I200="1"),""," "&amp; HELPER!$B$94 &amp; "." &amp; A200),"")</f>
        <v/>
      </c>
      <c r="AP200" t="str">
        <f t="shared" si="255"/>
        <v/>
      </c>
      <c r="AS200" t="str">
        <f>IF(A200="","",  HELPER!$B$94 &amp;  "." &amp; A200)</f>
        <v/>
      </c>
      <c r="AT200" t="str">
        <f t="shared" si="256"/>
        <v/>
      </c>
      <c r="AU200" t="str">
        <f t="shared" si="257"/>
        <v/>
      </c>
      <c r="AX200" t="str">
        <f>IF(COLUMNS!J151="","","LEFT JOIN "&amp; Options!$B$23 &amp; "." &amp;  COLUMNS!J151 &amp; " ON ")</f>
        <v/>
      </c>
      <c r="AY200" t="str">
        <f t="shared" si="258"/>
        <v/>
      </c>
      <c r="BA200" t="str">
        <f>IF(AZ200="","", "CAST(" &amp; AZ200 &amp; " AS varchar(" &amp; Options!$B$49 &amp; "))")</f>
        <v/>
      </c>
      <c r="BB200" t="str">
        <f t="shared" ca="1" si="259"/>
        <v/>
      </c>
      <c r="BC200" t="str">
        <f t="shared" ref="BC200:BC230" si="268">IF(AZ200="","","COALESCE(" &amp; AZ200 &amp; "," &amp; IF(C200="string","''",0 ) &amp; ") AS " &amp; A200)</f>
        <v/>
      </c>
      <c r="BE200" t="str">
        <f t="shared" si="234"/>
        <v/>
      </c>
      <c r="BF200" t="str">
        <f t="shared" si="260"/>
        <v/>
      </c>
      <c r="BG200" t="str">
        <f t="shared" si="261"/>
        <v/>
      </c>
      <c r="BH200" s="285" t="str">
        <f t="shared" ref="BH200:BH230" ca="1" si="269">IF(G200="", IF(B200="","","COALESCE(" &amp; B200 &amp; "," &amp; IF(C200="string","''",0 ) &amp; ") AS " &amp; A200),G200 &amp; " AS " &amp;A200 )</f>
        <v/>
      </c>
      <c r="BJ200" t="str">
        <f t="shared" si="262"/>
        <v/>
      </c>
      <c r="BM200" t="str">
        <f t="shared" ref="BM200:BM230" si="270">IF(A200="","",IF(I200="1","",IF(C200&lt;&gt;D200, IF(AND(D200="string",C200="timestamp"),"cast(from_iso8601_timestamp(" &amp; BO200 &amp; ") as timestamp) AS " &amp; A200, IF(AND(D200="string",C200="date"),"cast( from_iso8601_timestamp(" &amp; BO200 &amp;") as date) AS " &amp; A200,"")),BO200 &amp; " AS " &amp; A200)))</f>
        <v/>
      </c>
      <c r="BN200" t="str">
        <f t="shared" ref="BN200:BN230" si="271">IF(A200="","",IF(I200="1","",IF(C200&lt;&gt;D200, IF(AND(D200="string",C200="timestamp"),"cast(from_iso8601_timestamp(" &amp; BO200 &amp; ") as timestamp) AS " &amp; A200, IF(AND(D200="string",C200="date"),"cast( from_iso8601_timestamp(" &amp; BO200 &amp;") as date) AS " &amp; A200,"")),BO200 &amp; " AS " &amp; A200)))</f>
        <v/>
      </c>
      <c r="BO200" t="str">
        <f t="shared" ca="1" si="263"/>
        <v/>
      </c>
      <c r="BR200" t="str">
        <f t="shared" si="264"/>
        <v/>
      </c>
      <c r="BS200" t="str">
        <f t="shared" ca="1" si="265"/>
        <v/>
      </c>
      <c r="BT200" t="str">
        <f t="shared" ref="BT200:BT230" si="272">IF(N200="","", SUBSTITUTE(BR200,"[:date_yyyy_mm_dd]", N200))</f>
        <v/>
      </c>
      <c r="BU200" t="str">
        <f t="shared" si="266"/>
        <v/>
      </c>
      <c r="BV200">
        <f t="shared" si="267"/>
        <v>0</v>
      </c>
    </row>
    <row r="201" spans="6:74">
      <c r="F201" s="164">
        <f t="shared" ca="1" si="221"/>
        <v>0</v>
      </c>
      <c r="G201" s="164" t="str">
        <f t="array" aca="1" ref="G201" ca="1">IF(TRIM(INDIRECT("Columns!D2"))="","",TRIM(INDIRECT("Columns!D2")))</f>
        <v/>
      </c>
      <c r="S201" t="str">
        <f t="shared" si="248"/>
        <v/>
      </c>
      <c r="V201" t="str">
        <f t="shared" si="249"/>
        <v/>
      </c>
      <c r="Y201" t="str">
        <f t="shared" ca="1" si="250"/>
        <v/>
      </c>
      <c r="Z201" t="str">
        <f t="shared" ca="1" si="251"/>
        <v/>
      </c>
      <c r="AA201" t="str">
        <f>IF( A201="","",IF(OR(F201="1",H201="1",I201="1"),"","COALESCE (CAST("&amp;A201&amp;" as varchar(" &amp; Options!$B$49&amp; ")),'')"))</f>
        <v/>
      </c>
      <c r="AB201" t="str">
        <f>IF(C201="string",  IF( A201="","",IF(OR(F201="1",H201="1",I201="1"),"","COALESCE (CAST(lower("&amp;A201&amp;") as varchar(" &amp;Options!$B$49 &amp; ")),'')")),AA201)</f>
        <v/>
      </c>
      <c r="AE201" t="str">
        <f t="shared" si="252"/>
        <v/>
      </c>
      <c r="AF201" t="str">
        <f>IF(AE201&lt;&gt;"", HELPER!$B$93 &amp;  "." &amp; AE201,"")</f>
        <v/>
      </c>
      <c r="AG201" t="str">
        <f>IF(AE201&lt;&gt;"", HELPER!$B$94 &amp; "." &amp; AE201,"")</f>
        <v/>
      </c>
      <c r="AH201" t="str">
        <f t="shared" si="253"/>
        <v/>
      </c>
      <c r="AN201" t="str">
        <f t="shared" si="254"/>
        <v/>
      </c>
      <c r="AO201" t="str">
        <f>IF(A201&lt;&gt;"", IF(OR(F201="1",H201="1",I201="1"),""," "&amp; HELPER!$B$94 &amp; "." &amp; A201),"")</f>
        <v/>
      </c>
      <c r="AP201" t="str">
        <f t="shared" si="255"/>
        <v/>
      </c>
      <c r="AS201" t="str">
        <f>IF(A201="","",  HELPER!$B$94 &amp;  "." &amp; A201)</f>
        <v/>
      </c>
      <c r="AT201" t="str">
        <f t="shared" si="256"/>
        <v/>
      </c>
      <c r="AU201" t="str">
        <f t="shared" si="257"/>
        <v/>
      </c>
      <c r="AX201" t="str">
        <f>IF(COLUMNS!J152="","","LEFT JOIN "&amp; Options!$B$23 &amp; "." &amp;  COLUMNS!J152 &amp; " ON ")</f>
        <v/>
      </c>
      <c r="AY201" t="str">
        <f t="shared" si="258"/>
        <v/>
      </c>
      <c r="BA201" t="str">
        <f>IF(AZ201="","", "CAST(" &amp; AZ201 &amp; " AS varchar(" &amp; Options!$B$49 &amp; "))")</f>
        <v/>
      </c>
      <c r="BB201" t="str">
        <f t="shared" ca="1" si="259"/>
        <v/>
      </c>
      <c r="BC201" t="str">
        <f t="shared" si="268"/>
        <v/>
      </c>
      <c r="BE201" t="str">
        <f t="shared" si="234"/>
        <v/>
      </c>
      <c r="BF201" t="str">
        <f t="shared" si="260"/>
        <v/>
      </c>
      <c r="BG201" t="str">
        <f t="shared" si="261"/>
        <v/>
      </c>
      <c r="BH201" s="285" t="str">
        <f t="shared" ca="1" si="269"/>
        <v/>
      </c>
      <c r="BJ201" t="str">
        <f t="shared" si="262"/>
        <v/>
      </c>
      <c r="BM201" t="str">
        <f t="shared" si="270"/>
        <v/>
      </c>
      <c r="BN201" t="str">
        <f t="shared" si="271"/>
        <v/>
      </c>
      <c r="BO201" t="str">
        <f t="shared" ca="1" si="263"/>
        <v/>
      </c>
      <c r="BR201" t="str">
        <f t="shared" si="264"/>
        <v/>
      </c>
      <c r="BS201" t="str">
        <f t="shared" ca="1" si="265"/>
        <v/>
      </c>
      <c r="BT201" t="str">
        <f t="shared" si="272"/>
        <v/>
      </c>
      <c r="BU201" t="str">
        <f t="shared" si="266"/>
        <v/>
      </c>
      <c r="BV201">
        <f t="shared" si="267"/>
        <v>0</v>
      </c>
    </row>
    <row r="202" spans="6:74">
      <c r="F202" s="164">
        <f t="shared" ca="1" si="221"/>
        <v>0</v>
      </c>
      <c r="G202" s="164" t="str">
        <f t="array" aca="1" ref="G202" ca="1">IF(TRIM(INDIRECT("Columns!D2"))="","",TRIM(INDIRECT("Columns!D2")))</f>
        <v/>
      </c>
      <c r="S202" t="str">
        <f t="shared" si="248"/>
        <v/>
      </c>
      <c r="V202" t="str">
        <f t="shared" si="249"/>
        <v/>
      </c>
      <c r="Y202" t="str">
        <f t="shared" ca="1" si="250"/>
        <v/>
      </c>
      <c r="Z202" t="str">
        <f t="shared" ca="1" si="251"/>
        <v/>
      </c>
      <c r="AA202" t="str">
        <f>IF( A202="","",IF(OR(F202="1",H202="1",I202="1"),"","COALESCE (CAST("&amp;A202&amp;" as varchar(" &amp; Options!$B$49&amp; ")),'')"))</f>
        <v/>
      </c>
      <c r="AB202" t="str">
        <f>IF(C202="string",  IF( A202="","",IF(OR(F202="1",H202="1",I202="1"),"","COALESCE (CAST(lower("&amp;A202&amp;") as varchar(" &amp;Options!$B$49 &amp; ")),'')")),AA202)</f>
        <v/>
      </c>
      <c r="AE202" t="str">
        <f t="shared" si="252"/>
        <v/>
      </c>
      <c r="AF202" t="str">
        <f>IF(AE202&lt;&gt;"", HELPER!$B$93 &amp;  "." &amp; AE202,"")</f>
        <v/>
      </c>
      <c r="AG202" t="str">
        <f>IF(AE202&lt;&gt;"", HELPER!$B$94 &amp; "." &amp; AE202,"")</f>
        <v/>
      </c>
      <c r="AH202" t="str">
        <f t="shared" si="253"/>
        <v/>
      </c>
      <c r="AN202" t="str">
        <f t="shared" si="254"/>
        <v/>
      </c>
      <c r="AO202" t="str">
        <f>IF(A202&lt;&gt;"", IF(OR(F202="1",H202="1",I202="1"),""," "&amp; HELPER!$B$94 &amp; "." &amp; A202),"")</f>
        <v/>
      </c>
      <c r="AP202" t="str">
        <f t="shared" si="255"/>
        <v/>
      </c>
      <c r="AS202" t="str">
        <f>IF(A202="","",  HELPER!$B$94 &amp;  "." &amp; A202)</f>
        <v/>
      </c>
      <c r="AT202" t="str">
        <f t="shared" si="256"/>
        <v/>
      </c>
      <c r="AU202" t="str">
        <f t="shared" si="257"/>
        <v/>
      </c>
      <c r="AX202" t="str">
        <f>IF(COLUMNS!J153="","","LEFT JOIN "&amp; Options!$B$23 &amp; "." &amp;  COLUMNS!J153 &amp; " ON ")</f>
        <v/>
      </c>
      <c r="AY202" t="str">
        <f t="shared" si="258"/>
        <v/>
      </c>
      <c r="BA202" t="str">
        <f>IF(AZ202="","", "CAST(" &amp; AZ202 &amp; " AS varchar(" &amp; Options!$B$49 &amp; "))")</f>
        <v/>
      </c>
      <c r="BB202" t="str">
        <f t="shared" ca="1" si="259"/>
        <v/>
      </c>
      <c r="BC202" t="str">
        <f t="shared" si="268"/>
        <v/>
      </c>
      <c r="BE202" t="str">
        <f t="shared" si="234"/>
        <v/>
      </c>
      <c r="BF202" t="str">
        <f t="shared" si="260"/>
        <v/>
      </c>
      <c r="BG202" t="str">
        <f t="shared" si="261"/>
        <v/>
      </c>
      <c r="BH202" s="285" t="str">
        <f t="shared" ca="1" si="269"/>
        <v/>
      </c>
      <c r="BJ202" t="str">
        <f t="shared" si="262"/>
        <v/>
      </c>
      <c r="BM202" t="str">
        <f t="shared" si="270"/>
        <v/>
      </c>
      <c r="BN202" t="str">
        <f t="shared" si="271"/>
        <v/>
      </c>
      <c r="BO202" t="str">
        <f t="shared" ca="1" si="263"/>
        <v/>
      </c>
      <c r="BR202" t="str">
        <f t="shared" si="264"/>
        <v/>
      </c>
      <c r="BS202" t="str">
        <f t="shared" ca="1" si="265"/>
        <v/>
      </c>
      <c r="BT202" t="str">
        <f t="shared" si="272"/>
        <v/>
      </c>
      <c r="BU202" t="str">
        <f t="shared" si="266"/>
        <v/>
      </c>
      <c r="BV202">
        <f t="shared" si="267"/>
        <v>0</v>
      </c>
    </row>
    <row r="203" spans="6:74">
      <c r="F203" s="164">
        <f t="shared" ca="1" si="221"/>
        <v>0</v>
      </c>
      <c r="G203" s="164" t="str">
        <f t="array" aca="1" ref="G203" ca="1">IF(TRIM(INDIRECT("Columns!D2"))="","",TRIM(INDIRECT("Columns!D2")))</f>
        <v/>
      </c>
      <c r="S203" t="str">
        <f t="shared" si="248"/>
        <v/>
      </c>
      <c r="V203" t="str">
        <f t="shared" si="249"/>
        <v/>
      </c>
      <c r="Y203" t="str">
        <f t="shared" ca="1" si="250"/>
        <v/>
      </c>
      <c r="Z203" t="str">
        <f t="shared" ca="1" si="251"/>
        <v/>
      </c>
      <c r="AA203" t="str">
        <f>IF( A203="","",IF(OR(F203="1",H203="1",I203="1"),"","COALESCE (CAST("&amp;A203&amp;" as varchar(" &amp; Options!$B$49&amp; ")),'')"))</f>
        <v/>
      </c>
      <c r="AB203" t="str">
        <f>IF(C203="string",  IF( A203="","",IF(OR(F203="1",H203="1",I203="1"),"","COALESCE (CAST(lower("&amp;A203&amp;") as varchar(" &amp;Options!$B$49 &amp; ")),'')")),AA203)</f>
        <v/>
      </c>
      <c r="AE203" t="str">
        <f t="shared" si="252"/>
        <v/>
      </c>
      <c r="AF203" t="str">
        <f>IF(AE203&lt;&gt;"", HELPER!$B$93 &amp;  "." &amp; AE203,"")</f>
        <v/>
      </c>
      <c r="AG203" t="str">
        <f>IF(AE203&lt;&gt;"", HELPER!$B$94 &amp; "." &amp; AE203,"")</f>
        <v/>
      </c>
      <c r="AH203" t="str">
        <f t="shared" si="253"/>
        <v/>
      </c>
      <c r="AN203" t="str">
        <f t="shared" si="254"/>
        <v/>
      </c>
      <c r="AO203" t="str">
        <f>IF(A203&lt;&gt;"", IF(OR(F203="1",H203="1",I203="1"),""," "&amp; HELPER!$B$94 &amp; "." &amp; A203),"")</f>
        <v/>
      </c>
      <c r="AP203" t="str">
        <f t="shared" si="255"/>
        <v/>
      </c>
      <c r="AS203" t="str">
        <f>IF(A203="","",  HELPER!$B$94 &amp;  "." &amp; A203)</f>
        <v/>
      </c>
      <c r="AT203" t="str">
        <f t="shared" si="256"/>
        <v/>
      </c>
      <c r="AU203" t="str">
        <f t="shared" si="257"/>
        <v/>
      </c>
      <c r="AX203" t="str">
        <f>IF(COLUMNS!J154="","","LEFT JOIN "&amp; Options!$B$23 &amp; "." &amp;  COLUMNS!J154 &amp; " ON ")</f>
        <v/>
      </c>
      <c r="AY203" t="str">
        <f t="shared" si="258"/>
        <v/>
      </c>
      <c r="BA203" t="str">
        <f>IF(AZ203="","", "CAST(" &amp; AZ203 &amp; " AS varchar(" &amp; Options!$B$49 &amp; "))")</f>
        <v/>
      </c>
      <c r="BB203" t="str">
        <f t="shared" ca="1" si="259"/>
        <v/>
      </c>
      <c r="BC203" t="str">
        <f t="shared" si="268"/>
        <v/>
      </c>
      <c r="BF203" t="str">
        <f t="shared" si="260"/>
        <v/>
      </c>
      <c r="BG203" t="str">
        <f t="shared" si="261"/>
        <v/>
      </c>
      <c r="BH203" s="285" t="str">
        <f t="shared" ca="1" si="269"/>
        <v/>
      </c>
      <c r="BJ203" t="str">
        <f t="shared" si="262"/>
        <v/>
      </c>
      <c r="BM203" t="str">
        <f t="shared" si="270"/>
        <v/>
      </c>
      <c r="BN203" t="str">
        <f t="shared" si="271"/>
        <v/>
      </c>
      <c r="BO203" t="str">
        <f t="shared" ca="1" si="263"/>
        <v/>
      </c>
      <c r="BR203" t="str">
        <f t="shared" si="264"/>
        <v/>
      </c>
      <c r="BS203" t="str">
        <f t="shared" ca="1" si="265"/>
        <v/>
      </c>
      <c r="BT203" t="str">
        <f t="shared" si="272"/>
        <v/>
      </c>
      <c r="BU203" t="str">
        <f t="shared" si="266"/>
        <v/>
      </c>
      <c r="BV203">
        <f t="shared" si="267"/>
        <v>0</v>
      </c>
    </row>
    <row r="204" spans="6:74">
      <c r="F204" s="164">
        <f t="shared" ca="1" si="221"/>
        <v>0</v>
      </c>
      <c r="G204" s="164" t="str">
        <f t="array" aca="1" ref="G204" ca="1">IF(TRIM(INDIRECT("Columns!D2"))="","",TRIM(INDIRECT("Columns!D2")))</f>
        <v/>
      </c>
      <c r="S204" t="str">
        <f t="shared" si="248"/>
        <v/>
      </c>
      <c r="V204" t="str">
        <f t="shared" si="249"/>
        <v/>
      </c>
      <c r="Y204" t="str">
        <f t="shared" ca="1" si="250"/>
        <v/>
      </c>
      <c r="Z204" t="str">
        <f t="shared" ca="1" si="251"/>
        <v/>
      </c>
      <c r="AA204" t="str">
        <f>IF( A204="","",IF(OR(F204="1",H204="1",I204="1"),"","COALESCE (CAST("&amp;A204&amp;" as varchar(" &amp; Options!$B$49&amp; ")),'')"))</f>
        <v/>
      </c>
      <c r="AB204" t="str">
        <f>IF(C204="string",  IF( A204="","",IF(OR(F204="1",H204="1",I204="1"),"","COALESCE (CAST(lower("&amp;A204&amp;") as varchar(" &amp;Options!$B$49 &amp; ")),'')")),AA204)</f>
        <v/>
      </c>
      <c r="AE204" t="str">
        <f t="shared" si="252"/>
        <v/>
      </c>
      <c r="AF204" t="str">
        <f>IF(AE204&lt;&gt;"", HELPER!$B$93 &amp;  "." &amp; AE204,"")</f>
        <v/>
      </c>
      <c r="AG204" t="str">
        <f>IF(AE204&lt;&gt;"", HELPER!$B$94 &amp; "." &amp; AE204,"")</f>
        <v/>
      </c>
      <c r="AH204" t="str">
        <f t="shared" si="253"/>
        <v/>
      </c>
      <c r="AN204" t="str">
        <f t="shared" si="254"/>
        <v/>
      </c>
      <c r="AO204" t="str">
        <f>IF(A204&lt;&gt;"", IF(OR(F204="1",H204="1",I204="1"),""," "&amp; HELPER!$B$94 &amp; "." &amp; A204),"")</f>
        <v/>
      </c>
      <c r="AP204" t="str">
        <f t="shared" si="255"/>
        <v/>
      </c>
      <c r="AS204" t="str">
        <f>IF(A204="","",  HELPER!$B$94 &amp;  "." &amp; A204)</f>
        <v/>
      </c>
      <c r="AT204" t="str">
        <f t="shared" si="256"/>
        <v/>
      </c>
      <c r="AU204" t="str">
        <f t="shared" si="257"/>
        <v/>
      </c>
      <c r="AX204" t="str">
        <f>IF(COLUMNS!J155="","","LEFT JOIN "&amp; Options!$B$23 &amp; "." &amp;  COLUMNS!J155 &amp; " ON ")</f>
        <v/>
      </c>
      <c r="AY204" t="str">
        <f t="shared" si="258"/>
        <v/>
      </c>
      <c r="BA204" t="str">
        <f>IF(AZ204="","", "CAST(" &amp; AZ204 &amp; " AS varchar(" &amp; Options!$B$49 &amp; "))")</f>
        <v/>
      </c>
      <c r="BB204" t="str">
        <f t="shared" ca="1" si="259"/>
        <v/>
      </c>
      <c r="BC204" t="str">
        <f t="shared" si="268"/>
        <v/>
      </c>
      <c r="BF204" t="str">
        <f t="shared" si="260"/>
        <v/>
      </c>
      <c r="BG204" t="str">
        <f t="shared" si="261"/>
        <v/>
      </c>
      <c r="BH204" s="285" t="str">
        <f t="shared" ca="1" si="269"/>
        <v/>
      </c>
      <c r="BJ204" t="str">
        <f t="shared" si="262"/>
        <v/>
      </c>
      <c r="BM204" t="str">
        <f t="shared" si="270"/>
        <v/>
      </c>
      <c r="BN204" t="str">
        <f t="shared" si="271"/>
        <v/>
      </c>
      <c r="BO204" t="str">
        <f t="shared" ca="1" si="263"/>
        <v/>
      </c>
      <c r="BR204" t="str">
        <f t="shared" si="264"/>
        <v/>
      </c>
      <c r="BS204" t="str">
        <f t="shared" ca="1" si="265"/>
        <v/>
      </c>
      <c r="BT204" t="str">
        <f t="shared" si="272"/>
        <v/>
      </c>
      <c r="BU204" t="str">
        <f t="shared" si="266"/>
        <v/>
      </c>
      <c r="BV204">
        <f t="shared" si="267"/>
        <v>0</v>
      </c>
    </row>
    <row r="205" spans="6:74">
      <c r="F205" s="164">
        <f t="shared" ca="1" si="221"/>
        <v>0</v>
      </c>
      <c r="G205" s="164" t="str">
        <f t="array" aca="1" ref="G205" ca="1">IF(TRIM(INDIRECT("Columns!D2"))="","",TRIM(INDIRECT("Columns!D2")))</f>
        <v/>
      </c>
      <c r="S205" t="str">
        <f t="shared" si="248"/>
        <v/>
      </c>
      <c r="V205" t="str">
        <f t="shared" si="249"/>
        <v/>
      </c>
      <c r="Y205" t="str">
        <f t="shared" ca="1" si="250"/>
        <v/>
      </c>
      <c r="Z205" t="str">
        <f t="shared" ca="1" si="251"/>
        <v/>
      </c>
      <c r="AA205" t="str">
        <f>IF( A205="","",IF(OR(F205="1",H205="1",I205="1"),"","COALESCE (CAST("&amp;A205&amp;" as varchar(" &amp; Options!$B$49&amp; ")),'')"))</f>
        <v/>
      </c>
      <c r="AB205" t="str">
        <f>IF(C205="string",  IF( A205="","",IF(OR(F205="1",H205="1",I205="1"),"","COALESCE (CAST(lower("&amp;A205&amp;") as varchar(" &amp;Options!$B$49 &amp; ")),'')")),AA205)</f>
        <v/>
      </c>
      <c r="AE205" t="str">
        <f t="shared" si="252"/>
        <v/>
      </c>
      <c r="AF205" t="str">
        <f>IF(AE205&lt;&gt;"", HELPER!$B$93 &amp;  "." &amp; AE205,"")</f>
        <v/>
      </c>
      <c r="AG205" t="str">
        <f>IF(AE205&lt;&gt;"", HELPER!$B$94 &amp; "." &amp; AE205,"")</f>
        <v/>
      </c>
      <c r="AH205" t="str">
        <f t="shared" si="253"/>
        <v/>
      </c>
      <c r="AN205" t="str">
        <f t="shared" si="254"/>
        <v/>
      </c>
      <c r="AO205" t="str">
        <f>IF(A205&lt;&gt;"", IF(OR(F205="1",H205="1",I205="1"),""," "&amp; HELPER!$B$94 &amp; "." &amp; A205),"")</f>
        <v/>
      </c>
      <c r="AP205" t="str">
        <f t="shared" si="255"/>
        <v/>
      </c>
      <c r="AS205" t="str">
        <f>IF(A205="","",  HELPER!$B$94 &amp;  "." &amp; A205)</f>
        <v/>
      </c>
      <c r="AT205" t="str">
        <f t="shared" si="256"/>
        <v/>
      </c>
      <c r="AU205" t="str">
        <f t="shared" si="257"/>
        <v/>
      </c>
      <c r="AX205" t="str">
        <f>IF(COLUMNS!J156="","","LEFT JOIN "&amp; Options!$B$23 &amp; "." &amp;  COLUMNS!J156 &amp; " ON ")</f>
        <v/>
      </c>
      <c r="AY205" t="str">
        <f t="shared" si="258"/>
        <v/>
      </c>
      <c r="BA205" t="str">
        <f>IF(AZ205="","", "CAST(" &amp; AZ205 &amp; " AS varchar(" &amp; Options!$B$49 &amp; "))")</f>
        <v/>
      </c>
      <c r="BB205" t="str">
        <f t="shared" ca="1" si="259"/>
        <v/>
      </c>
      <c r="BC205" t="str">
        <f t="shared" si="268"/>
        <v/>
      </c>
      <c r="BF205" t="str">
        <f t="shared" si="260"/>
        <v/>
      </c>
      <c r="BG205" t="str">
        <f t="shared" si="261"/>
        <v/>
      </c>
      <c r="BH205" s="285" t="str">
        <f t="shared" ca="1" si="269"/>
        <v/>
      </c>
      <c r="BJ205" t="str">
        <f t="shared" si="262"/>
        <v/>
      </c>
      <c r="BM205" t="str">
        <f t="shared" si="270"/>
        <v/>
      </c>
      <c r="BN205" t="str">
        <f t="shared" si="271"/>
        <v/>
      </c>
      <c r="BO205" t="str">
        <f t="shared" ca="1" si="263"/>
        <v/>
      </c>
      <c r="BR205" t="str">
        <f t="shared" si="264"/>
        <v/>
      </c>
      <c r="BS205" t="str">
        <f t="shared" ca="1" si="265"/>
        <v/>
      </c>
      <c r="BT205" t="str">
        <f t="shared" si="272"/>
        <v/>
      </c>
      <c r="BU205" t="str">
        <f t="shared" si="266"/>
        <v/>
      </c>
      <c r="BV205">
        <f t="shared" si="267"/>
        <v>0</v>
      </c>
    </row>
    <row r="206" spans="6:74">
      <c r="F206" s="164">
        <f t="shared" ca="1" si="221"/>
        <v>0</v>
      </c>
      <c r="G206" s="164" t="str">
        <f t="array" aca="1" ref="G206" ca="1">IF(TRIM(INDIRECT("Columns!D2"))="","",TRIM(INDIRECT("Columns!D2")))</f>
        <v/>
      </c>
      <c r="S206" t="str">
        <f t="shared" si="248"/>
        <v/>
      </c>
      <c r="V206" t="str">
        <f t="shared" si="249"/>
        <v/>
      </c>
      <c r="Y206" t="str">
        <f t="shared" ca="1" si="250"/>
        <v/>
      </c>
      <c r="Z206" t="str">
        <f t="shared" ca="1" si="251"/>
        <v/>
      </c>
      <c r="AA206" t="str">
        <f>IF( A206="","",IF(OR(F206="1",H206="1",I206="1"),"","COALESCE (CAST("&amp;A206&amp;" as varchar(" &amp; Options!$B$49&amp; ")),'')"))</f>
        <v/>
      </c>
      <c r="AB206" t="str">
        <f>IF(C206="string",  IF( A206="","",IF(OR(F206="1",H206="1",I206="1"),"","COALESCE (CAST(lower("&amp;A206&amp;") as varchar(" &amp;Options!$B$49 &amp; ")),'')")),AA206)</f>
        <v/>
      </c>
      <c r="AE206" t="str">
        <f t="shared" si="252"/>
        <v/>
      </c>
      <c r="AF206" t="str">
        <f>IF(AE206&lt;&gt;"", HELPER!$B$93 &amp;  "." &amp; AE206,"")</f>
        <v/>
      </c>
      <c r="AG206" t="str">
        <f>IF(AE206&lt;&gt;"", HELPER!$B$94 &amp; "." &amp; AE206,"")</f>
        <v/>
      </c>
      <c r="AH206" t="str">
        <f t="shared" si="253"/>
        <v/>
      </c>
      <c r="AN206" t="str">
        <f t="shared" si="254"/>
        <v/>
      </c>
      <c r="AO206" t="str">
        <f>IF(A206&lt;&gt;"", IF(OR(F206="1",H206="1",I206="1"),""," "&amp; HELPER!$B$94 &amp; "." &amp; A206),"")</f>
        <v/>
      </c>
      <c r="AP206" t="str">
        <f t="shared" si="255"/>
        <v/>
      </c>
      <c r="AS206" t="str">
        <f>IF(A206="","",  HELPER!$B$94 &amp;  "." &amp; A206)</f>
        <v/>
      </c>
      <c r="AT206" t="str">
        <f t="shared" si="256"/>
        <v/>
      </c>
      <c r="AU206" t="str">
        <f t="shared" si="257"/>
        <v/>
      </c>
      <c r="AX206" t="str">
        <f>IF(COLUMNS!J157="","","LEFT JOIN "&amp; Options!$B$23 &amp; "." &amp;  COLUMNS!J157 &amp; " ON ")</f>
        <v/>
      </c>
      <c r="AY206" t="str">
        <f t="shared" si="258"/>
        <v/>
      </c>
      <c r="BA206" t="str">
        <f>IF(AZ206="","", "CAST(" &amp; AZ206 &amp; " AS varchar(" &amp; Options!$B$49 &amp; "))")</f>
        <v/>
      </c>
      <c r="BB206" t="str">
        <f t="shared" ca="1" si="259"/>
        <v/>
      </c>
      <c r="BC206" t="str">
        <f t="shared" si="268"/>
        <v/>
      </c>
      <c r="BF206" t="str">
        <f t="shared" si="260"/>
        <v/>
      </c>
      <c r="BG206" t="str">
        <f t="shared" si="261"/>
        <v/>
      </c>
      <c r="BH206" s="285" t="str">
        <f t="shared" ca="1" si="269"/>
        <v/>
      </c>
      <c r="BJ206" t="str">
        <f t="shared" si="262"/>
        <v/>
      </c>
      <c r="BM206" t="str">
        <f t="shared" si="270"/>
        <v/>
      </c>
      <c r="BN206" t="str">
        <f t="shared" si="271"/>
        <v/>
      </c>
      <c r="BO206" t="str">
        <f t="shared" ca="1" si="263"/>
        <v/>
      </c>
      <c r="BR206" t="str">
        <f t="shared" si="264"/>
        <v/>
      </c>
      <c r="BS206" t="str">
        <f t="shared" ca="1" si="265"/>
        <v/>
      </c>
      <c r="BT206" t="str">
        <f t="shared" si="272"/>
        <v/>
      </c>
      <c r="BU206" t="str">
        <f t="shared" si="266"/>
        <v/>
      </c>
      <c r="BV206">
        <f t="shared" si="267"/>
        <v>0</v>
      </c>
    </row>
    <row r="207" spans="6:74">
      <c r="F207" s="164">
        <f t="shared" ca="1" si="221"/>
        <v>0</v>
      </c>
      <c r="G207" s="164" t="str">
        <f t="array" aca="1" ref="G207" ca="1">IF(TRIM(INDIRECT("Columns!D2"))="","",TRIM(INDIRECT("Columns!D2")))</f>
        <v/>
      </c>
      <c r="S207" t="str">
        <f t="shared" si="248"/>
        <v/>
      </c>
      <c r="V207" t="str">
        <f t="shared" si="249"/>
        <v/>
      </c>
      <c r="Y207" t="str">
        <f t="shared" ca="1" si="250"/>
        <v/>
      </c>
      <c r="Z207" t="str">
        <f t="shared" ca="1" si="251"/>
        <v/>
      </c>
      <c r="AA207" t="str">
        <f>IF( A207="","",IF(OR(F207="1",H207="1",I207="1"),"","COALESCE (CAST("&amp;A207&amp;" as varchar(" &amp; Options!$B$49&amp; ")),'')"))</f>
        <v/>
      </c>
      <c r="AB207" t="str">
        <f>IF(C207="string",  IF( A207="","",IF(OR(F207="1",H207="1",I207="1"),"","COALESCE (CAST(lower("&amp;A207&amp;") as varchar(" &amp;Options!$B$49 &amp; ")),'')")),AA207)</f>
        <v/>
      </c>
      <c r="AE207" t="str">
        <f t="shared" si="252"/>
        <v/>
      </c>
      <c r="AF207" t="str">
        <f>IF(AE207&lt;&gt;"", HELPER!$B$93 &amp;  "." &amp; AE207,"")</f>
        <v/>
      </c>
      <c r="AG207" t="str">
        <f>IF(AE207&lt;&gt;"", HELPER!$B$94 &amp; "." &amp; AE207,"")</f>
        <v/>
      </c>
      <c r="AH207" t="str">
        <f t="shared" si="253"/>
        <v/>
      </c>
      <c r="AN207" t="str">
        <f t="shared" si="254"/>
        <v/>
      </c>
      <c r="AO207" t="str">
        <f>IF(A207&lt;&gt;"", IF(OR(F207="1",H207="1",I207="1"),""," "&amp; HELPER!$B$94 &amp; "." &amp; A207),"")</f>
        <v/>
      </c>
      <c r="AP207" t="str">
        <f t="shared" si="255"/>
        <v/>
      </c>
      <c r="AS207" t="str">
        <f>IF(A207="","",  HELPER!$B$94 &amp;  "." &amp; A207)</f>
        <v/>
      </c>
      <c r="AT207" t="str">
        <f t="shared" si="256"/>
        <v/>
      </c>
      <c r="AU207" t="str">
        <f t="shared" si="257"/>
        <v/>
      </c>
      <c r="AX207" t="str">
        <f>IF(COLUMNS!J158="","","LEFT JOIN "&amp; Options!$B$23 &amp; "." &amp;  COLUMNS!J158 &amp; " ON ")</f>
        <v/>
      </c>
      <c r="AY207" t="str">
        <f t="shared" si="258"/>
        <v/>
      </c>
      <c r="BA207" t="str">
        <f>IF(AZ207="","", "CAST(" &amp; AZ207 &amp; " AS varchar(" &amp; Options!$B$49 &amp; "))")</f>
        <v/>
      </c>
      <c r="BB207" t="str">
        <f t="shared" ca="1" si="259"/>
        <v/>
      </c>
      <c r="BC207" t="str">
        <f t="shared" si="268"/>
        <v/>
      </c>
      <c r="BF207" t="str">
        <f t="shared" si="260"/>
        <v/>
      </c>
      <c r="BG207" t="str">
        <f t="shared" si="261"/>
        <v/>
      </c>
      <c r="BH207" s="285" t="str">
        <f t="shared" ca="1" si="269"/>
        <v/>
      </c>
      <c r="BJ207" t="str">
        <f t="shared" si="262"/>
        <v/>
      </c>
      <c r="BM207" t="str">
        <f t="shared" si="270"/>
        <v/>
      </c>
      <c r="BN207" t="str">
        <f t="shared" si="271"/>
        <v/>
      </c>
      <c r="BO207" t="str">
        <f t="shared" ca="1" si="263"/>
        <v/>
      </c>
      <c r="BR207" t="str">
        <f t="shared" si="264"/>
        <v/>
      </c>
      <c r="BS207" t="str">
        <f t="shared" ca="1" si="265"/>
        <v/>
      </c>
      <c r="BT207" t="str">
        <f t="shared" si="272"/>
        <v/>
      </c>
      <c r="BU207" t="str">
        <f t="shared" si="266"/>
        <v/>
      </c>
      <c r="BV207">
        <f t="shared" si="267"/>
        <v>0</v>
      </c>
    </row>
    <row r="208" spans="6:74">
      <c r="F208" s="164">
        <f t="shared" ca="1" si="221"/>
        <v>0</v>
      </c>
      <c r="G208" s="164" t="str">
        <f t="array" aca="1" ref="G208" ca="1">IF(TRIM(INDIRECT("Columns!D2"))="","",TRIM(INDIRECT("Columns!D2")))</f>
        <v/>
      </c>
      <c r="S208" t="str">
        <f t="shared" si="248"/>
        <v/>
      </c>
      <c r="V208" t="str">
        <f t="shared" si="249"/>
        <v/>
      </c>
      <c r="Y208" t="str">
        <f t="shared" ca="1" si="250"/>
        <v/>
      </c>
      <c r="Z208" t="str">
        <f t="shared" ca="1" si="251"/>
        <v/>
      </c>
      <c r="AA208" t="str">
        <f>IF( A208="","",IF(OR(F208="1",H208="1",I208="1"),"","COALESCE (CAST("&amp;A208&amp;" as varchar(" &amp; Options!$B$49&amp; ")),'')"))</f>
        <v/>
      </c>
      <c r="AB208" t="str">
        <f>IF(C208="string",  IF( A208="","",IF(OR(F208="1",H208="1",I208="1"),"","COALESCE (CAST(lower("&amp;A208&amp;") as varchar(" &amp;Options!$B$49 &amp; ")),'')")),AA208)</f>
        <v/>
      </c>
      <c r="AE208" t="str">
        <f t="shared" si="252"/>
        <v/>
      </c>
      <c r="AF208" t="str">
        <f>IF(AE208&lt;&gt;"", HELPER!$B$93 &amp;  "." &amp; AE208,"")</f>
        <v/>
      </c>
      <c r="AG208" t="str">
        <f>IF(AE208&lt;&gt;"", HELPER!$B$94 &amp; "." &amp; AE208,"")</f>
        <v/>
      </c>
      <c r="AH208" t="str">
        <f t="shared" si="253"/>
        <v/>
      </c>
      <c r="AN208" t="str">
        <f t="shared" si="254"/>
        <v/>
      </c>
      <c r="AO208" t="str">
        <f>IF(A208&lt;&gt;"", IF(OR(F208="1",H208="1",I208="1"),""," "&amp; HELPER!$B$94 &amp; "." &amp; A208),"")</f>
        <v/>
      </c>
      <c r="AP208" t="str">
        <f t="shared" si="255"/>
        <v/>
      </c>
      <c r="AS208" t="str">
        <f>IF(A208="","",  HELPER!$B$94 &amp;  "." &amp; A208)</f>
        <v/>
      </c>
      <c r="AT208" t="str">
        <f t="shared" si="256"/>
        <v/>
      </c>
      <c r="AU208" t="str">
        <f t="shared" si="257"/>
        <v/>
      </c>
      <c r="AX208" t="str">
        <f>IF(COLUMNS!J159="","","LEFT JOIN "&amp; Options!$B$23 &amp; "." &amp;  COLUMNS!J159 &amp; " ON ")</f>
        <v/>
      </c>
      <c r="AY208" t="str">
        <f t="shared" si="258"/>
        <v/>
      </c>
      <c r="BA208" t="str">
        <f>IF(AZ208="","", "CAST(" &amp; AZ208 &amp; " AS varchar(" &amp; Options!$B$49 &amp; "))")</f>
        <v/>
      </c>
      <c r="BB208" t="str">
        <f t="shared" ca="1" si="259"/>
        <v/>
      </c>
      <c r="BC208" t="str">
        <f t="shared" si="268"/>
        <v/>
      </c>
      <c r="BF208" t="str">
        <f t="shared" si="260"/>
        <v/>
      </c>
      <c r="BG208" t="str">
        <f t="shared" si="261"/>
        <v/>
      </c>
      <c r="BH208" s="285" t="str">
        <f t="shared" ca="1" si="269"/>
        <v/>
      </c>
      <c r="BJ208" t="str">
        <f t="shared" si="262"/>
        <v/>
      </c>
      <c r="BM208" t="str">
        <f t="shared" si="270"/>
        <v/>
      </c>
      <c r="BN208" t="str">
        <f t="shared" si="271"/>
        <v/>
      </c>
      <c r="BO208" t="str">
        <f t="shared" ca="1" si="263"/>
        <v/>
      </c>
      <c r="BR208" t="str">
        <f t="shared" si="264"/>
        <v/>
      </c>
      <c r="BS208" t="str">
        <f t="shared" ca="1" si="265"/>
        <v/>
      </c>
      <c r="BT208" t="str">
        <f t="shared" si="272"/>
        <v/>
      </c>
      <c r="BU208" t="str">
        <f t="shared" si="266"/>
        <v/>
      </c>
      <c r="BV208">
        <f t="shared" si="267"/>
        <v>0</v>
      </c>
    </row>
    <row r="209" spans="6:74">
      <c r="F209" s="164">
        <f t="shared" ca="1" si="221"/>
        <v>0</v>
      </c>
      <c r="G209" s="164" t="str">
        <f t="array" aca="1" ref="G209" ca="1">IF(TRIM(INDIRECT("Columns!D2"))="","",TRIM(INDIRECT("Columns!D2")))</f>
        <v/>
      </c>
      <c r="S209" t="str">
        <f t="shared" si="248"/>
        <v/>
      </c>
      <c r="V209" t="str">
        <f t="shared" si="249"/>
        <v/>
      </c>
      <c r="Y209" t="str">
        <f t="shared" ca="1" si="250"/>
        <v/>
      </c>
      <c r="Z209" t="str">
        <f t="shared" ca="1" si="251"/>
        <v/>
      </c>
      <c r="AA209" t="str">
        <f>IF( A209="","",IF(OR(F209="1",H209="1",I209="1"),"","COALESCE (CAST("&amp;A209&amp;" as varchar(" &amp; Options!$B$49&amp; ")),'')"))</f>
        <v/>
      </c>
      <c r="AB209" t="str">
        <f>IF(C209="string",  IF( A209="","",IF(OR(F209="1",H209="1",I209="1"),"","COALESCE (CAST(lower("&amp;A209&amp;") as varchar(" &amp;Options!$B$49 &amp; ")),'')")),AA209)</f>
        <v/>
      </c>
      <c r="AE209" t="str">
        <f t="shared" si="252"/>
        <v/>
      </c>
      <c r="AF209" t="str">
        <f>IF(AE209&lt;&gt;"", HELPER!$B$93 &amp;  "." &amp; AE209,"")</f>
        <v/>
      </c>
      <c r="AG209" t="str">
        <f>IF(AE209&lt;&gt;"", HELPER!$B$94 &amp; "." &amp; AE209,"")</f>
        <v/>
      </c>
      <c r="AH209" t="str">
        <f t="shared" si="253"/>
        <v/>
      </c>
      <c r="AN209" t="str">
        <f t="shared" si="254"/>
        <v/>
      </c>
      <c r="AO209" t="str">
        <f>IF(A209&lt;&gt;"", IF(OR(F209="1",H209="1",I209="1"),""," "&amp; HELPER!$B$94 &amp; "." &amp; A209),"")</f>
        <v/>
      </c>
      <c r="AP209" t="str">
        <f t="shared" si="255"/>
        <v/>
      </c>
      <c r="AS209" t="str">
        <f>IF(A209="","",  HELPER!$B$94 &amp;  "." &amp; A209)</f>
        <v/>
      </c>
      <c r="AT209" t="str">
        <f t="shared" si="256"/>
        <v/>
      </c>
      <c r="AU209" t="str">
        <f t="shared" si="257"/>
        <v/>
      </c>
      <c r="AX209" t="str">
        <f>IF(COLUMNS!J160="","","LEFT JOIN "&amp; Options!$B$23 &amp; "." &amp;  COLUMNS!J160 &amp; " ON ")</f>
        <v/>
      </c>
      <c r="AY209" t="str">
        <f t="shared" si="258"/>
        <v/>
      </c>
      <c r="BA209" t="str">
        <f>IF(AZ209="","", "CAST(" &amp; AZ209 &amp; " AS varchar(" &amp; Options!$B$49 &amp; "))")</f>
        <v/>
      </c>
      <c r="BB209" t="str">
        <f t="shared" ca="1" si="259"/>
        <v/>
      </c>
      <c r="BC209" t="str">
        <f t="shared" si="268"/>
        <v/>
      </c>
      <c r="BF209" t="str">
        <f t="shared" si="260"/>
        <v/>
      </c>
      <c r="BG209" t="str">
        <f t="shared" si="261"/>
        <v/>
      </c>
      <c r="BH209" s="285" t="str">
        <f t="shared" ca="1" si="269"/>
        <v/>
      </c>
      <c r="BJ209" t="str">
        <f t="shared" si="262"/>
        <v/>
      </c>
      <c r="BM209" t="str">
        <f t="shared" si="270"/>
        <v/>
      </c>
      <c r="BN209" t="str">
        <f t="shared" si="271"/>
        <v/>
      </c>
      <c r="BO209" t="str">
        <f t="shared" ca="1" si="263"/>
        <v/>
      </c>
      <c r="BR209" t="str">
        <f t="shared" si="264"/>
        <v/>
      </c>
      <c r="BS209" t="str">
        <f t="shared" ca="1" si="265"/>
        <v/>
      </c>
      <c r="BT209" t="str">
        <f t="shared" si="272"/>
        <v/>
      </c>
      <c r="BU209" t="str">
        <f t="shared" si="266"/>
        <v/>
      </c>
      <c r="BV209">
        <f t="shared" si="267"/>
        <v>0</v>
      </c>
    </row>
    <row r="210" spans="6:74">
      <c r="F210" s="164">
        <f t="shared" ca="1" si="221"/>
        <v>0</v>
      </c>
      <c r="G210" s="164" t="str">
        <f t="array" aca="1" ref="G210" ca="1">IF(TRIM(INDIRECT("Columns!D2"))="","",TRIM(INDIRECT("Columns!D2")))</f>
        <v/>
      </c>
      <c r="S210" t="str">
        <f t="shared" si="248"/>
        <v/>
      </c>
      <c r="V210" t="str">
        <f t="shared" si="249"/>
        <v/>
      </c>
      <c r="Y210" t="str">
        <f t="shared" ca="1" si="250"/>
        <v/>
      </c>
      <c r="Z210" t="str">
        <f t="shared" ca="1" si="251"/>
        <v/>
      </c>
      <c r="AA210" t="str">
        <f>IF( A210="","",IF(OR(F210="1",H210="1",I210="1"),"","COALESCE (CAST("&amp;A210&amp;" as varchar(" &amp; Options!$B$49&amp; ")),'')"))</f>
        <v/>
      </c>
      <c r="AB210" t="str">
        <f>IF(C210="string",  IF( A210="","",IF(OR(F210="1",H210="1",I210="1"),"","COALESCE (CAST(lower("&amp;A210&amp;") as varchar(" &amp;Options!$B$49 &amp; ")),'')")),AA210)</f>
        <v/>
      </c>
      <c r="AE210" t="str">
        <f t="shared" si="252"/>
        <v/>
      </c>
      <c r="AF210" t="str">
        <f>IF(AE210&lt;&gt;"", HELPER!$B$93 &amp;  "." &amp; AE210,"")</f>
        <v/>
      </c>
      <c r="AG210" t="str">
        <f>IF(AE210&lt;&gt;"", HELPER!$B$94 &amp; "." &amp; AE210,"")</f>
        <v/>
      </c>
      <c r="AH210" t="str">
        <f t="shared" si="253"/>
        <v/>
      </c>
      <c r="AN210" t="str">
        <f t="shared" si="254"/>
        <v/>
      </c>
      <c r="AO210" t="str">
        <f>IF(A210&lt;&gt;"", IF(OR(F210="1",H210="1",I210="1"),""," "&amp; HELPER!$B$94 &amp; "." &amp; A210),"")</f>
        <v/>
      </c>
      <c r="AP210" t="str">
        <f t="shared" si="255"/>
        <v/>
      </c>
      <c r="AS210" t="str">
        <f>IF(A210="","",  HELPER!$B$94 &amp;  "." &amp; A210)</f>
        <v/>
      </c>
      <c r="AT210" t="str">
        <f t="shared" si="256"/>
        <v/>
      </c>
      <c r="AU210" t="str">
        <f t="shared" si="257"/>
        <v/>
      </c>
      <c r="AX210" t="str">
        <f>IF(COLUMNS!J161="","","LEFT JOIN "&amp; Options!$B$23 &amp; "." &amp;  COLUMNS!J161 &amp; " ON ")</f>
        <v/>
      </c>
      <c r="AY210" t="str">
        <f t="shared" si="258"/>
        <v/>
      </c>
      <c r="BA210" t="str">
        <f>IF(AZ210="","", "CAST(" &amp; AZ210 &amp; " AS varchar(" &amp; Options!$B$49 &amp; "))")</f>
        <v/>
      </c>
      <c r="BB210" t="str">
        <f t="shared" ca="1" si="259"/>
        <v/>
      </c>
      <c r="BC210" t="str">
        <f t="shared" si="268"/>
        <v/>
      </c>
      <c r="BF210" t="str">
        <f t="shared" si="260"/>
        <v/>
      </c>
      <c r="BG210" t="str">
        <f t="shared" si="261"/>
        <v/>
      </c>
      <c r="BH210" s="285" t="str">
        <f t="shared" ca="1" si="269"/>
        <v/>
      </c>
      <c r="BJ210" t="str">
        <f t="shared" si="262"/>
        <v/>
      </c>
      <c r="BM210" t="str">
        <f t="shared" si="270"/>
        <v/>
      </c>
      <c r="BN210" t="str">
        <f t="shared" si="271"/>
        <v/>
      </c>
      <c r="BO210" t="str">
        <f t="shared" ca="1" si="263"/>
        <v/>
      </c>
      <c r="BR210" t="str">
        <f t="shared" si="264"/>
        <v/>
      </c>
      <c r="BS210" t="str">
        <f t="shared" ca="1" si="265"/>
        <v/>
      </c>
      <c r="BT210" t="str">
        <f t="shared" si="272"/>
        <v/>
      </c>
      <c r="BU210" t="str">
        <f t="shared" si="266"/>
        <v/>
      </c>
      <c r="BV210">
        <f t="shared" si="267"/>
        <v>0</v>
      </c>
    </row>
    <row r="211" spans="6:74">
      <c r="F211" s="164">
        <f t="shared" ca="1" si="221"/>
        <v>0</v>
      </c>
      <c r="G211" s="164" t="str">
        <f t="array" aca="1" ref="G211" ca="1">IF(TRIM(INDIRECT("Columns!D2"))="","",TRIM(INDIRECT("Columns!D2")))</f>
        <v/>
      </c>
      <c r="S211" t="str">
        <f t="shared" si="248"/>
        <v/>
      </c>
      <c r="V211" t="str">
        <f t="shared" si="249"/>
        <v/>
      </c>
      <c r="Y211" t="str">
        <f t="shared" ca="1" si="250"/>
        <v/>
      </c>
      <c r="Z211" t="str">
        <f t="shared" ca="1" si="251"/>
        <v/>
      </c>
      <c r="AA211" t="str">
        <f>IF( A211="","",IF(OR(F211="1",H211="1",I211="1"),"","COALESCE (CAST("&amp;A211&amp;" as varchar(" &amp; Options!$B$49&amp; ")),'')"))</f>
        <v/>
      </c>
      <c r="AB211" t="str">
        <f>IF(C211="string",  IF( A211="","",IF(OR(F211="1",H211="1",I211="1"),"","COALESCE (CAST(lower("&amp;A211&amp;") as varchar(" &amp;Options!$B$49 &amp; ")),'')")),AA211)</f>
        <v/>
      </c>
      <c r="AE211" t="str">
        <f t="shared" si="252"/>
        <v/>
      </c>
      <c r="AF211" t="str">
        <f>IF(AE211&lt;&gt;"", HELPER!$B$93 &amp;  "." &amp; AE211,"")</f>
        <v/>
      </c>
      <c r="AG211" t="str">
        <f>IF(AE211&lt;&gt;"", HELPER!$B$94 &amp; "." &amp; AE211,"")</f>
        <v/>
      </c>
      <c r="AH211" t="str">
        <f t="shared" si="253"/>
        <v/>
      </c>
      <c r="AN211" t="str">
        <f t="shared" si="254"/>
        <v/>
      </c>
      <c r="AO211" t="str">
        <f>IF(A211&lt;&gt;"", IF(OR(F211="1",H211="1",I211="1"),""," "&amp; HELPER!$B$94 &amp; "." &amp; A211),"")</f>
        <v/>
      </c>
      <c r="AP211" t="str">
        <f t="shared" si="255"/>
        <v/>
      </c>
      <c r="AS211" t="str">
        <f>IF(A211="","",  HELPER!$B$94 &amp;  "." &amp; A211)</f>
        <v/>
      </c>
      <c r="AT211" t="str">
        <f t="shared" si="256"/>
        <v/>
      </c>
      <c r="AU211" t="str">
        <f t="shared" si="257"/>
        <v/>
      </c>
      <c r="AX211" t="str">
        <f>IF(COLUMNS!J162="","","LEFT JOIN "&amp; Options!$B$23 &amp; "." &amp;  COLUMNS!J162 &amp; " ON ")</f>
        <v/>
      </c>
      <c r="AY211" t="str">
        <f t="shared" si="258"/>
        <v/>
      </c>
      <c r="BA211" t="str">
        <f>IF(AZ211="","", "CAST(" &amp; AZ211 &amp; " AS varchar(" &amp; Options!$B$49 &amp; "))")</f>
        <v/>
      </c>
      <c r="BB211" t="str">
        <f t="shared" ca="1" si="259"/>
        <v/>
      </c>
      <c r="BC211" t="str">
        <f t="shared" si="268"/>
        <v/>
      </c>
      <c r="BF211" t="str">
        <f t="shared" si="260"/>
        <v/>
      </c>
      <c r="BG211" t="str">
        <f t="shared" si="261"/>
        <v/>
      </c>
      <c r="BH211" s="285" t="str">
        <f t="shared" ca="1" si="269"/>
        <v/>
      </c>
      <c r="BJ211" t="str">
        <f t="shared" si="262"/>
        <v/>
      </c>
      <c r="BM211" t="str">
        <f t="shared" si="270"/>
        <v/>
      </c>
      <c r="BN211" t="str">
        <f t="shared" si="271"/>
        <v/>
      </c>
      <c r="BO211" t="str">
        <f t="shared" ca="1" si="263"/>
        <v/>
      </c>
      <c r="BR211" t="str">
        <f t="shared" si="264"/>
        <v/>
      </c>
      <c r="BS211" t="str">
        <f t="shared" ca="1" si="265"/>
        <v/>
      </c>
      <c r="BT211" t="str">
        <f t="shared" si="272"/>
        <v/>
      </c>
      <c r="BU211" t="str">
        <f t="shared" si="266"/>
        <v/>
      </c>
      <c r="BV211">
        <f t="shared" si="267"/>
        <v>0</v>
      </c>
    </row>
    <row r="212" spans="6:74">
      <c r="F212" s="164">
        <f t="shared" ca="1" si="221"/>
        <v>0</v>
      </c>
      <c r="G212" s="164" t="str">
        <f t="array" aca="1" ref="G212" ca="1">IF(TRIM(INDIRECT("Columns!D2"))="","",TRIM(INDIRECT("Columns!D2")))</f>
        <v/>
      </c>
      <c r="S212" t="str">
        <f t="shared" si="248"/>
        <v/>
      </c>
      <c r="V212" t="str">
        <f t="shared" si="249"/>
        <v/>
      </c>
      <c r="Y212" t="str">
        <f t="shared" ca="1" si="250"/>
        <v/>
      </c>
      <c r="Z212" t="str">
        <f t="shared" ca="1" si="251"/>
        <v/>
      </c>
      <c r="AA212" t="str">
        <f>IF( A212="","",IF(OR(F212="1",H212="1",I212="1"),"","COALESCE (CAST("&amp;A212&amp;" as varchar(" &amp; Options!$B$49&amp; ")),'')"))</f>
        <v/>
      </c>
      <c r="AB212" t="str">
        <f>IF(C212="string",  IF( A212="","",IF(OR(F212="1",H212="1",I212="1"),"","COALESCE (CAST(lower("&amp;A212&amp;") as varchar(" &amp;Options!$B$49 &amp; ")),'')")),AA212)</f>
        <v/>
      </c>
      <c r="AE212" t="str">
        <f t="shared" si="252"/>
        <v/>
      </c>
      <c r="AF212" t="str">
        <f>IF(AE212&lt;&gt;"", HELPER!$B$93 &amp;  "." &amp; AE212,"")</f>
        <v/>
      </c>
      <c r="AG212" t="str">
        <f>IF(AE212&lt;&gt;"", HELPER!$B$94 &amp; "." &amp; AE212,"")</f>
        <v/>
      </c>
      <c r="AH212" t="str">
        <f t="shared" si="253"/>
        <v/>
      </c>
      <c r="AN212" t="str">
        <f t="shared" si="254"/>
        <v/>
      </c>
      <c r="AO212" t="str">
        <f>IF(A212&lt;&gt;"", IF(OR(F212="1",H212="1",I212="1"),""," "&amp; HELPER!$B$94 &amp; "." &amp; A212),"")</f>
        <v/>
      </c>
      <c r="AP212" t="str">
        <f t="shared" si="255"/>
        <v/>
      </c>
      <c r="AS212" t="str">
        <f>IF(A212="","",  HELPER!$B$94 &amp;  "." &amp; A212)</f>
        <v/>
      </c>
      <c r="AT212" t="str">
        <f t="shared" si="256"/>
        <v/>
      </c>
      <c r="AU212" t="str">
        <f t="shared" si="257"/>
        <v/>
      </c>
      <c r="AX212" t="str">
        <f>IF(COLUMNS!J163="","","LEFT JOIN "&amp; Options!$B$23 &amp; "." &amp;  COLUMNS!J163 &amp; " ON ")</f>
        <v/>
      </c>
      <c r="AY212" t="str">
        <f t="shared" si="258"/>
        <v/>
      </c>
      <c r="BA212" t="str">
        <f>IF(AZ212="","", "CAST(" &amp; AZ212 &amp; " AS varchar(" &amp; Options!$B$49 &amp; "))")</f>
        <v/>
      </c>
      <c r="BB212" t="str">
        <f t="shared" ca="1" si="259"/>
        <v/>
      </c>
      <c r="BC212" t="str">
        <f t="shared" si="268"/>
        <v/>
      </c>
      <c r="BF212" t="str">
        <f t="shared" si="260"/>
        <v/>
      </c>
      <c r="BG212" t="str">
        <f t="shared" si="261"/>
        <v/>
      </c>
      <c r="BH212" s="285" t="str">
        <f t="shared" ca="1" si="269"/>
        <v/>
      </c>
      <c r="BJ212" t="str">
        <f t="shared" si="262"/>
        <v/>
      </c>
      <c r="BM212" t="str">
        <f t="shared" si="270"/>
        <v/>
      </c>
      <c r="BN212" t="str">
        <f t="shared" si="271"/>
        <v/>
      </c>
      <c r="BO212" t="str">
        <f t="shared" ca="1" si="263"/>
        <v/>
      </c>
      <c r="BR212" t="str">
        <f t="shared" si="264"/>
        <v/>
      </c>
      <c r="BS212" t="str">
        <f t="shared" ca="1" si="265"/>
        <v/>
      </c>
      <c r="BT212" t="str">
        <f t="shared" si="272"/>
        <v/>
      </c>
      <c r="BU212" t="str">
        <f t="shared" si="266"/>
        <v/>
      </c>
      <c r="BV212">
        <f t="shared" si="267"/>
        <v>0</v>
      </c>
    </row>
    <row r="213" spans="6:74">
      <c r="F213" s="164">
        <f t="shared" ca="1" si="221"/>
        <v>0</v>
      </c>
      <c r="G213" s="164" t="str">
        <f t="array" aca="1" ref="G213" ca="1">IF(TRIM(INDIRECT("Columns!D2"))="","",TRIM(INDIRECT("Columns!D2")))</f>
        <v/>
      </c>
      <c r="S213" t="str">
        <f t="shared" si="248"/>
        <v/>
      </c>
      <c r="V213" t="str">
        <f t="shared" si="249"/>
        <v/>
      </c>
      <c r="Y213" t="str">
        <f t="shared" ca="1" si="250"/>
        <v/>
      </c>
      <c r="Z213" t="str">
        <f t="shared" ca="1" si="251"/>
        <v/>
      </c>
      <c r="AA213" t="str">
        <f>IF( A213="","",IF(OR(F213="1",H213="1",I213="1"),"","COALESCE (CAST("&amp;A213&amp;" as varchar(" &amp; Options!$B$49&amp; ")),'')"))</f>
        <v/>
      </c>
      <c r="AB213" t="str">
        <f>IF(C213="string",  IF( A213="","",IF(OR(F213="1",H213="1",I213="1"),"","COALESCE (CAST(lower("&amp;A213&amp;") as varchar(" &amp;Options!$B$49 &amp; ")),'')")),AA213)</f>
        <v/>
      </c>
      <c r="AE213" t="str">
        <f t="shared" si="252"/>
        <v/>
      </c>
      <c r="AF213" t="str">
        <f>IF(AE213&lt;&gt;"", HELPER!$B$93 &amp;  "." &amp; AE213,"")</f>
        <v/>
      </c>
      <c r="AG213" t="str">
        <f>IF(AE213&lt;&gt;"", HELPER!$B$94 &amp; "." &amp; AE213,"")</f>
        <v/>
      </c>
      <c r="AH213" t="str">
        <f t="shared" si="253"/>
        <v/>
      </c>
      <c r="AN213" t="str">
        <f t="shared" si="254"/>
        <v/>
      </c>
      <c r="AO213" t="str">
        <f>IF(A213&lt;&gt;"", IF(OR(F213="1",H213="1",I213="1"),""," "&amp; HELPER!$B$94 &amp; "." &amp; A213),"")</f>
        <v/>
      </c>
      <c r="AP213" t="str">
        <f t="shared" si="255"/>
        <v/>
      </c>
      <c r="AS213" t="str">
        <f>IF(A213="","",  HELPER!$B$94 &amp;  "." &amp; A213)</f>
        <v/>
      </c>
      <c r="AT213" t="str">
        <f t="shared" si="256"/>
        <v/>
      </c>
      <c r="AU213" t="str">
        <f t="shared" si="257"/>
        <v/>
      </c>
      <c r="AX213" t="str">
        <f>IF(COLUMNS!J164="","","LEFT JOIN "&amp; Options!$B$23 &amp; "." &amp;  COLUMNS!J164 &amp; " ON ")</f>
        <v/>
      </c>
      <c r="AY213" t="str">
        <f t="shared" si="258"/>
        <v/>
      </c>
      <c r="BA213" t="str">
        <f>IF(AZ213="","", "CAST(" &amp; AZ213 &amp; " AS varchar(" &amp; Options!$B$49 &amp; "))")</f>
        <v/>
      </c>
      <c r="BB213" t="str">
        <f t="shared" ca="1" si="259"/>
        <v/>
      </c>
      <c r="BC213" t="str">
        <f t="shared" si="268"/>
        <v/>
      </c>
      <c r="BF213" t="str">
        <f t="shared" si="260"/>
        <v/>
      </c>
      <c r="BG213" t="str">
        <f t="shared" si="261"/>
        <v/>
      </c>
      <c r="BH213" s="285" t="str">
        <f t="shared" ca="1" si="269"/>
        <v/>
      </c>
      <c r="BJ213" t="str">
        <f t="shared" si="262"/>
        <v/>
      </c>
      <c r="BM213" t="str">
        <f t="shared" si="270"/>
        <v/>
      </c>
      <c r="BN213" t="str">
        <f t="shared" si="271"/>
        <v/>
      </c>
      <c r="BO213" t="str">
        <f t="shared" ca="1" si="263"/>
        <v/>
      </c>
      <c r="BR213" t="str">
        <f t="shared" si="264"/>
        <v/>
      </c>
      <c r="BS213" t="str">
        <f t="shared" ca="1" si="265"/>
        <v/>
      </c>
      <c r="BT213" t="str">
        <f t="shared" si="272"/>
        <v/>
      </c>
      <c r="BU213" t="str">
        <f t="shared" si="266"/>
        <v/>
      </c>
      <c r="BV213">
        <f t="shared" si="267"/>
        <v>0</v>
      </c>
    </row>
    <row r="214" spans="6:74">
      <c r="F214" s="164">
        <f t="shared" ca="1" si="221"/>
        <v>0</v>
      </c>
      <c r="G214" s="164" t="str">
        <f t="array" aca="1" ref="G214" ca="1">IF(TRIM(INDIRECT("Columns!D2"))="","",TRIM(INDIRECT("Columns!D2")))</f>
        <v/>
      </c>
      <c r="S214" t="str">
        <f t="shared" si="248"/>
        <v/>
      </c>
      <c r="V214" t="str">
        <f t="shared" si="249"/>
        <v/>
      </c>
      <c r="Y214" t="str">
        <f t="shared" ca="1" si="250"/>
        <v/>
      </c>
      <c r="Z214" t="str">
        <f t="shared" ca="1" si="251"/>
        <v/>
      </c>
      <c r="AA214" t="str">
        <f>IF( A214="","",IF(OR(F214="1",H214="1",I214="1"),"","COALESCE (CAST("&amp;A214&amp;" as varchar(" &amp; Options!$B$49&amp; ")),'')"))</f>
        <v/>
      </c>
      <c r="AB214" t="str">
        <f>IF(C214="string",  IF( A214="","",IF(OR(F214="1",H214="1",I214="1"),"","COALESCE (CAST(lower("&amp;A214&amp;") as varchar(" &amp;Options!$B$49 &amp; ")),'')")),AA214)</f>
        <v/>
      </c>
      <c r="AE214" t="str">
        <f t="shared" si="252"/>
        <v/>
      </c>
      <c r="AF214" t="str">
        <f>IF(AE214&lt;&gt;"", HELPER!$B$93 &amp;  "." &amp; AE214,"")</f>
        <v/>
      </c>
      <c r="AG214" t="str">
        <f>IF(AE214&lt;&gt;"", HELPER!$B$94 &amp; "." &amp; AE214,"")</f>
        <v/>
      </c>
      <c r="AH214" t="str">
        <f t="shared" si="253"/>
        <v/>
      </c>
      <c r="AN214" t="str">
        <f t="shared" si="254"/>
        <v/>
      </c>
      <c r="AO214" t="str">
        <f>IF(A214&lt;&gt;"", IF(OR(F214="1",H214="1",I214="1"),""," "&amp; HELPER!$B$94 &amp; "." &amp; A214),"")</f>
        <v/>
      </c>
      <c r="AP214" t="str">
        <f t="shared" si="255"/>
        <v/>
      </c>
      <c r="AS214" t="str">
        <f>IF(A214="","",  HELPER!$B$94 &amp;  "." &amp; A214)</f>
        <v/>
      </c>
      <c r="AT214" t="str">
        <f t="shared" si="256"/>
        <v/>
      </c>
      <c r="AU214" t="str">
        <f t="shared" si="257"/>
        <v/>
      </c>
      <c r="AX214" t="str">
        <f>IF(COLUMNS!J165="","","LEFT JOIN "&amp; Options!$B$23 &amp; "." &amp;  COLUMNS!J165 &amp; " ON ")</f>
        <v/>
      </c>
      <c r="AY214" t="str">
        <f t="shared" si="258"/>
        <v/>
      </c>
      <c r="BA214" t="str">
        <f>IF(AZ214="","", "CAST(" &amp; AZ214 &amp; " AS varchar(" &amp; Options!$B$49 &amp; "))")</f>
        <v/>
      </c>
      <c r="BB214" t="str">
        <f t="shared" ca="1" si="259"/>
        <v/>
      </c>
      <c r="BC214" t="str">
        <f t="shared" si="268"/>
        <v/>
      </c>
      <c r="BF214" t="str">
        <f t="shared" si="260"/>
        <v/>
      </c>
      <c r="BG214" t="str">
        <f t="shared" si="261"/>
        <v/>
      </c>
      <c r="BH214" s="285" t="str">
        <f t="shared" ca="1" si="269"/>
        <v/>
      </c>
      <c r="BJ214" t="str">
        <f t="shared" si="262"/>
        <v/>
      </c>
      <c r="BM214" t="str">
        <f t="shared" si="270"/>
        <v/>
      </c>
      <c r="BN214" t="str">
        <f t="shared" si="271"/>
        <v/>
      </c>
      <c r="BO214" t="str">
        <f t="shared" ca="1" si="263"/>
        <v/>
      </c>
      <c r="BR214" t="str">
        <f t="shared" si="264"/>
        <v/>
      </c>
      <c r="BS214" t="str">
        <f t="shared" ca="1" si="265"/>
        <v/>
      </c>
      <c r="BT214" t="str">
        <f t="shared" si="272"/>
        <v/>
      </c>
      <c r="BU214" t="str">
        <f t="shared" si="266"/>
        <v/>
      </c>
      <c r="BV214">
        <f t="shared" si="267"/>
        <v>0</v>
      </c>
    </row>
    <row r="215" spans="6:74">
      <c r="F215" s="164">
        <f t="shared" ca="1" si="221"/>
        <v>0</v>
      </c>
      <c r="G215" s="164" t="str">
        <f t="array" aca="1" ref="G215" ca="1">IF(TRIM(INDIRECT("Columns!D2"))="","",TRIM(INDIRECT("Columns!D2")))</f>
        <v/>
      </c>
      <c r="S215" t="str">
        <f t="shared" si="248"/>
        <v/>
      </c>
      <c r="V215" t="str">
        <f t="shared" si="249"/>
        <v/>
      </c>
      <c r="Y215" t="str">
        <f t="shared" ca="1" si="250"/>
        <v/>
      </c>
      <c r="Z215" t="str">
        <f t="shared" ca="1" si="251"/>
        <v/>
      </c>
      <c r="AA215" t="str">
        <f>IF( A215="","",IF(OR(F215="1",H215="1",I215="1"),"","COALESCE (CAST("&amp;A215&amp;" as varchar(" &amp; Options!$B$49&amp; ")),'')"))</f>
        <v/>
      </c>
      <c r="AB215" t="str">
        <f>IF(C215="string",  IF( A215="","",IF(OR(F215="1",H215="1",I215="1"),"","COALESCE (CAST(lower("&amp;A215&amp;") as varchar(" &amp;Options!$B$49 &amp; ")),'')")),AA215)</f>
        <v/>
      </c>
      <c r="AE215" t="str">
        <f t="shared" si="252"/>
        <v/>
      </c>
      <c r="AF215" t="str">
        <f>IF(AE215&lt;&gt;"", HELPER!$B$93 &amp;  "." &amp; AE215,"")</f>
        <v/>
      </c>
      <c r="AG215" t="str">
        <f>IF(AE215&lt;&gt;"", HELPER!$B$94 &amp; "." &amp; AE215,"")</f>
        <v/>
      </c>
      <c r="AH215" t="str">
        <f t="shared" si="253"/>
        <v/>
      </c>
      <c r="AN215" t="str">
        <f t="shared" si="254"/>
        <v/>
      </c>
      <c r="AO215" t="str">
        <f>IF(A215&lt;&gt;"", IF(OR(F215="1",H215="1",I215="1"),""," "&amp; HELPER!$B$94 &amp; "." &amp; A215),"")</f>
        <v/>
      </c>
      <c r="AP215" t="str">
        <f t="shared" si="255"/>
        <v/>
      </c>
      <c r="AS215" t="str">
        <f>IF(A215="","",  HELPER!$B$94 &amp;  "." &amp; A215)</f>
        <v/>
      </c>
      <c r="AT215" t="str">
        <f t="shared" si="256"/>
        <v/>
      </c>
      <c r="AU215" t="str">
        <f t="shared" si="257"/>
        <v/>
      </c>
      <c r="AX215" t="str">
        <f>IF(COLUMNS!J166="","","LEFT JOIN "&amp; Options!$B$23 &amp; "." &amp;  COLUMNS!J166 &amp; " ON ")</f>
        <v/>
      </c>
      <c r="AY215" t="str">
        <f t="shared" si="258"/>
        <v/>
      </c>
      <c r="BA215" t="str">
        <f>IF(AZ215="","", "CAST(" &amp; AZ215 &amp; " AS varchar(" &amp; Options!$B$49 &amp; "))")</f>
        <v/>
      </c>
      <c r="BB215" t="str">
        <f t="shared" ca="1" si="259"/>
        <v/>
      </c>
      <c r="BC215" t="str">
        <f t="shared" si="268"/>
        <v/>
      </c>
      <c r="BF215" t="str">
        <f t="shared" si="260"/>
        <v/>
      </c>
      <c r="BG215" t="str">
        <f t="shared" si="261"/>
        <v/>
      </c>
      <c r="BH215" s="285" t="str">
        <f t="shared" ca="1" si="269"/>
        <v/>
      </c>
      <c r="BJ215" t="str">
        <f t="shared" si="262"/>
        <v/>
      </c>
      <c r="BM215" t="str">
        <f t="shared" si="270"/>
        <v/>
      </c>
      <c r="BN215" t="str">
        <f t="shared" si="271"/>
        <v/>
      </c>
      <c r="BO215" t="str">
        <f t="shared" ca="1" si="263"/>
        <v/>
      </c>
      <c r="BR215" t="str">
        <f t="shared" si="264"/>
        <v/>
      </c>
      <c r="BS215" t="str">
        <f t="shared" ca="1" si="265"/>
        <v/>
      </c>
      <c r="BT215" t="str">
        <f t="shared" si="272"/>
        <v/>
      </c>
      <c r="BU215" t="str">
        <f t="shared" si="266"/>
        <v/>
      </c>
      <c r="BV215">
        <f t="shared" si="267"/>
        <v>0</v>
      </c>
    </row>
    <row r="216" spans="6:74">
      <c r="F216" s="164">
        <f t="shared" ca="1" si="221"/>
        <v>0</v>
      </c>
      <c r="G216" s="164" t="str">
        <f t="array" aca="1" ref="G216" ca="1">IF(TRIM(INDIRECT("Columns!D2"))="","",TRIM(INDIRECT("Columns!D2")))</f>
        <v/>
      </c>
      <c r="S216" t="str">
        <f t="shared" si="248"/>
        <v/>
      </c>
      <c r="V216" t="str">
        <f t="shared" si="249"/>
        <v/>
      </c>
      <c r="Y216" t="str">
        <f t="shared" ca="1" si="250"/>
        <v/>
      </c>
      <c r="Z216" t="str">
        <f t="shared" ca="1" si="251"/>
        <v/>
      </c>
      <c r="AA216" t="str">
        <f>IF( A216="","",IF(OR(F216="1",H216="1",I216="1"),"","COALESCE (CAST("&amp;A216&amp;" as varchar(" &amp; Options!$B$49&amp; ")),'')"))</f>
        <v/>
      </c>
      <c r="AB216" t="str">
        <f>IF(C216="string",  IF( A216="","",IF(OR(F216="1",H216="1",I216="1"),"","COALESCE (CAST(lower("&amp;A216&amp;") as varchar(" &amp;Options!$B$49 &amp; ")),'')")),AA216)</f>
        <v/>
      </c>
      <c r="AE216" t="str">
        <f t="shared" si="252"/>
        <v/>
      </c>
      <c r="AF216" t="str">
        <f>IF(AE216&lt;&gt;"", HELPER!$B$93 &amp;  "." &amp; AE216,"")</f>
        <v/>
      </c>
      <c r="AG216" t="str">
        <f>IF(AE216&lt;&gt;"", HELPER!$B$94 &amp; "." &amp; AE216,"")</f>
        <v/>
      </c>
      <c r="AH216" t="str">
        <f t="shared" si="253"/>
        <v/>
      </c>
      <c r="AN216" t="str">
        <f t="shared" si="254"/>
        <v/>
      </c>
      <c r="AO216" t="str">
        <f>IF(A216&lt;&gt;"", IF(OR(F216="1",H216="1",I216="1"),""," "&amp; HELPER!$B$94 &amp; "." &amp; A216),"")</f>
        <v/>
      </c>
      <c r="AP216" t="str">
        <f t="shared" si="255"/>
        <v/>
      </c>
      <c r="AS216" t="str">
        <f>IF(A216="","",  HELPER!$B$94 &amp;  "." &amp; A216)</f>
        <v/>
      </c>
      <c r="AT216" t="str">
        <f t="shared" si="256"/>
        <v/>
      </c>
      <c r="AU216" t="str">
        <f t="shared" si="257"/>
        <v/>
      </c>
      <c r="AX216" t="str">
        <f>IF(COLUMNS!J167="","","LEFT JOIN "&amp; Options!$B$23 &amp; "." &amp;  COLUMNS!J167 &amp; " ON ")</f>
        <v/>
      </c>
      <c r="AY216" t="str">
        <f t="shared" si="258"/>
        <v/>
      </c>
      <c r="BA216" t="str">
        <f>IF(AZ216="","", "CAST(" &amp; AZ216 &amp; " AS varchar(" &amp; Options!$B$49 &amp; "))")</f>
        <v/>
      </c>
      <c r="BB216" t="str">
        <f t="shared" ca="1" si="259"/>
        <v/>
      </c>
      <c r="BC216" t="str">
        <f t="shared" si="268"/>
        <v/>
      </c>
      <c r="BF216" t="str">
        <f t="shared" si="260"/>
        <v/>
      </c>
      <c r="BG216" t="str">
        <f t="shared" si="261"/>
        <v/>
      </c>
      <c r="BH216" s="285" t="str">
        <f t="shared" ca="1" si="269"/>
        <v/>
      </c>
      <c r="BJ216" t="str">
        <f t="shared" si="262"/>
        <v/>
      </c>
      <c r="BM216" t="str">
        <f t="shared" si="270"/>
        <v/>
      </c>
      <c r="BN216" t="str">
        <f t="shared" si="271"/>
        <v/>
      </c>
      <c r="BO216" t="str">
        <f t="shared" ca="1" si="263"/>
        <v/>
      </c>
      <c r="BR216" t="str">
        <f t="shared" si="264"/>
        <v/>
      </c>
      <c r="BS216" t="str">
        <f t="shared" ca="1" si="265"/>
        <v/>
      </c>
      <c r="BT216" t="str">
        <f t="shared" si="272"/>
        <v/>
      </c>
      <c r="BU216" t="str">
        <f t="shared" si="266"/>
        <v/>
      </c>
      <c r="BV216">
        <f t="shared" si="267"/>
        <v>0</v>
      </c>
    </row>
    <row r="217" spans="6:74">
      <c r="F217" s="164">
        <f t="shared" ca="1" si="221"/>
        <v>0</v>
      </c>
      <c r="G217" s="164" t="str">
        <f t="array" aca="1" ref="G217" ca="1">IF(TRIM(INDIRECT("Columns!D2"))="","",TRIM(INDIRECT("Columns!D2")))</f>
        <v/>
      </c>
      <c r="S217" t="str">
        <f t="shared" si="248"/>
        <v/>
      </c>
      <c r="V217" t="str">
        <f t="shared" si="249"/>
        <v/>
      </c>
      <c r="Y217" t="str">
        <f t="shared" ca="1" si="250"/>
        <v/>
      </c>
      <c r="Z217" t="str">
        <f t="shared" ca="1" si="251"/>
        <v/>
      </c>
      <c r="AA217" t="str">
        <f>IF( A217="","",IF(OR(F217="1",H217="1",I217="1"),"","COALESCE (CAST("&amp;A217&amp;" as varchar(" &amp; Options!$B$49&amp; ")),'')"))</f>
        <v/>
      </c>
      <c r="AB217" t="str">
        <f>IF(C217="string",  IF( A217="","",IF(OR(F217="1",H217="1",I217="1"),"","COALESCE (CAST(lower("&amp;A217&amp;") as varchar(" &amp;Options!$B$49 &amp; ")),'')")),AA217)</f>
        <v/>
      </c>
      <c r="AE217" t="str">
        <f t="shared" si="252"/>
        <v/>
      </c>
      <c r="AF217" t="str">
        <f>IF(AE217&lt;&gt;"", HELPER!$B$93 &amp;  "." &amp; AE217,"")</f>
        <v/>
      </c>
      <c r="AG217" t="str">
        <f>IF(AE217&lt;&gt;"", HELPER!$B$94 &amp; "." &amp; AE217,"")</f>
        <v/>
      </c>
      <c r="AH217" t="str">
        <f t="shared" si="253"/>
        <v/>
      </c>
      <c r="AN217" t="str">
        <f t="shared" si="254"/>
        <v/>
      </c>
      <c r="AO217" t="str">
        <f>IF(A217&lt;&gt;"", IF(OR(F217="1",H217="1",I217="1"),""," "&amp; HELPER!$B$94 &amp; "." &amp; A217),"")</f>
        <v/>
      </c>
      <c r="AP217" t="str">
        <f t="shared" si="255"/>
        <v/>
      </c>
      <c r="AS217" t="str">
        <f>IF(A217="","",  HELPER!$B$94 &amp;  "." &amp; A217)</f>
        <v/>
      </c>
      <c r="AT217" t="str">
        <f t="shared" si="256"/>
        <v/>
      </c>
      <c r="AU217" t="str">
        <f t="shared" si="257"/>
        <v/>
      </c>
      <c r="AX217" t="str">
        <f>IF(COLUMNS!J168="","","LEFT JOIN "&amp; Options!$B$23 &amp; "." &amp;  COLUMNS!J168 &amp; " ON ")</f>
        <v/>
      </c>
      <c r="AY217" t="str">
        <f t="shared" si="258"/>
        <v/>
      </c>
      <c r="BA217" t="str">
        <f>IF(AZ217="","", "CAST(" &amp; AZ217 &amp; " AS varchar(" &amp; Options!$B$49 &amp; "))")</f>
        <v/>
      </c>
      <c r="BB217" t="str">
        <f t="shared" ca="1" si="259"/>
        <v/>
      </c>
      <c r="BC217" t="str">
        <f t="shared" si="268"/>
        <v/>
      </c>
      <c r="BF217" t="str">
        <f t="shared" si="260"/>
        <v/>
      </c>
      <c r="BG217" t="str">
        <f t="shared" si="261"/>
        <v/>
      </c>
      <c r="BH217" s="285" t="str">
        <f t="shared" ca="1" si="269"/>
        <v/>
      </c>
      <c r="BJ217" t="str">
        <f t="shared" si="262"/>
        <v/>
      </c>
      <c r="BM217" t="str">
        <f t="shared" si="270"/>
        <v/>
      </c>
      <c r="BN217" t="str">
        <f t="shared" si="271"/>
        <v/>
      </c>
      <c r="BO217" t="str">
        <f t="shared" ca="1" si="263"/>
        <v/>
      </c>
      <c r="BR217" t="str">
        <f t="shared" si="264"/>
        <v/>
      </c>
      <c r="BS217" t="str">
        <f t="shared" ca="1" si="265"/>
        <v/>
      </c>
      <c r="BT217" t="str">
        <f t="shared" si="272"/>
        <v/>
      </c>
      <c r="BU217" t="str">
        <f t="shared" si="266"/>
        <v/>
      </c>
      <c r="BV217">
        <f t="shared" si="267"/>
        <v>0</v>
      </c>
    </row>
    <row r="218" spans="6:74">
      <c r="F218" s="164">
        <f t="shared" ref="F218:F281" ca="1" si="273">IF(F67="1",VALUE(F67),0)</f>
        <v>0</v>
      </c>
      <c r="G218" s="164" t="str">
        <f t="array" aca="1" ref="G218" ca="1">IF(TRIM(INDIRECT("Columns!D2"))="","",TRIM(INDIRECT("Columns!D2")))</f>
        <v/>
      </c>
      <c r="S218" t="str">
        <f t="shared" si="248"/>
        <v/>
      </c>
      <c r="V218" t="str">
        <f t="shared" si="249"/>
        <v/>
      </c>
      <c r="Y218" t="str">
        <f t="shared" ca="1" si="250"/>
        <v/>
      </c>
      <c r="Z218" t="str">
        <f t="shared" ca="1" si="251"/>
        <v/>
      </c>
      <c r="AA218" t="str">
        <f>IF( A218="","",IF(OR(F218="1",H218="1",I218="1"),"","COALESCE (CAST("&amp;A218&amp;" as varchar(" &amp; Options!$B$49&amp; ")),'')"))</f>
        <v/>
      </c>
      <c r="AB218" t="str">
        <f>IF(C218="string",  IF( A218="","",IF(OR(F218="1",H218="1",I218="1"),"","COALESCE (CAST(lower("&amp;A218&amp;") as varchar(" &amp;Options!$B$49 &amp; ")),'')")),AA218)</f>
        <v/>
      </c>
      <c r="AE218" t="str">
        <f t="shared" si="252"/>
        <v/>
      </c>
      <c r="AF218" t="str">
        <f>IF(AE218&lt;&gt;"", HELPER!$B$93 &amp;  "." &amp; AE218,"")</f>
        <v/>
      </c>
      <c r="AG218" t="str">
        <f>IF(AE218&lt;&gt;"", HELPER!$B$94 &amp; "." &amp; AE218,"")</f>
        <v/>
      </c>
      <c r="AH218" t="str">
        <f t="shared" si="253"/>
        <v/>
      </c>
      <c r="AN218" t="str">
        <f t="shared" si="254"/>
        <v/>
      </c>
      <c r="AO218" t="str">
        <f>IF(A218&lt;&gt;"", IF(OR(F218="1",H218="1",I218="1"),""," "&amp; HELPER!$B$94 &amp; "." &amp; A218),"")</f>
        <v/>
      </c>
      <c r="AP218" t="str">
        <f t="shared" si="255"/>
        <v/>
      </c>
      <c r="AS218" t="str">
        <f>IF(A218="","",  HELPER!$B$94 &amp;  "." &amp; A218)</f>
        <v/>
      </c>
      <c r="AT218" t="str">
        <f t="shared" si="256"/>
        <v/>
      </c>
      <c r="AU218" t="str">
        <f t="shared" si="257"/>
        <v/>
      </c>
      <c r="AX218" t="str">
        <f>IF(COLUMNS!J169="","","LEFT JOIN "&amp; Options!$B$23 &amp; "." &amp;  COLUMNS!J169 &amp; " ON ")</f>
        <v/>
      </c>
      <c r="AY218" t="str">
        <f t="shared" si="258"/>
        <v/>
      </c>
      <c r="BA218" t="str">
        <f>IF(AZ218="","", "CAST(" &amp; AZ218 &amp; " AS varchar(" &amp; Options!$B$49 &amp; "))")</f>
        <v/>
      </c>
      <c r="BB218" t="str">
        <f t="shared" ca="1" si="259"/>
        <v/>
      </c>
      <c r="BC218" t="str">
        <f t="shared" si="268"/>
        <v/>
      </c>
      <c r="BF218" t="str">
        <f t="shared" si="260"/>
        <v/>
      </c>
      <c r="BG218" t="str">
        <f t="shared" si="261"/>
        <v/>
      </c>
      <c r="BH218" s="285" t="str">
        <f t="shared" ca="1" si="269"/>
        <v/>
      </c>
      <c r="BJ218" t="str">
        <f t="shared" si="262"/>
        <v/>
      </c>
      <c r="BM218" t="str">
        <f t="shared" si="270"/>
        <v/>
      </c>
      <c r="BN218" t="str">
        <f t="shared" si="271"/>
        <v/>
      </c>
      <c r="BO218" t="str">
        <f t="shared" ca="1" si="263"/>
        <v/>
      </c>
      <c r="BR218" t="str">
        <f t="shared" si="264"/>
        <v/>
      </c>
      <c r="BS218" t="str">
        <f t="shared" ca="1" si="265"/>
        <v/>
      </c>
      <c r="BT218" t="str">
        <f t="shared" si="272"/>
        <v/>
      </c>
      <c r="BU218" t="str">
        <f t="shared" si="266"/>
        <v/>
      </c>
      <c r="BV218">
        <f t="shared" si="267"/>
        <v>0</v>
      </c>
    </row>
    <row r="219" spans="6:74">
      <c r="F219" s="164">
        <f t="shared" ca="1" si="273"/>
        <v>0</v>
      </c>
      <c r="G219" s="164" t="str">
        <f t="array" aca="1" ref="G219" ca="1">IF(TRIM(INDIRECT("Columns!D2"))="","",TRIM(INDIRECT("Columns!D2")))</f>
        <v/>
      </c>
      <c r="S219" t="str">
        <f t="shared" si="248"/>
        <v/>
      </c>
      <c r="V219" t="str">
        <f t="shared" si="249"/>
        <v/>
      </c>
      <c r="Y219" t="str">
        <f t="shared" ca="1" si="250"/>
        <v/>
      </c>
      <c r="Z219" t="str">
        <f t="shared" ca="1" si="251"/>
        <v/>
      </c>
      <c r="AA219" t="str">
        <f>IF( A219="","",IF(OR(F219="1",H219="1",I219="1"),"","COALESCE (CAST("&amp;A219&amp;" as varchar(" &amp; Options!$B$49&amp; ")),'')"))</f>
        <v/>
      </c>
      <c r="AB219" t="str">
        <f>IF(C219="string",  IF( A219="","",IF(OR(F219="1",H219="1",I219="1"),"","COALESCE (CAST(lower("&amp;A219&amp;") as varchar(" &amp;Options!$B$49 &amp; ")),'')")),AA219)</f>
        <v/>
      </c>
      <c r="AE219" t="str">
        <f t="shared" si="252"/>
        <v/>
      </c>
      <c r="AF219" t="str">
        <f>IF(AE219&lt;&gt;"", HELPER!$B$93 &amp;  "." &amp; AE219,"")</f>
        <v/>
      </c>
      <c r="AG219" t="str">
        <f>IF(AE219&lt;&gt;"", HELPER!$B$94 &amp; "." &amp; AE219,"")</f>
        <v/>
      </c>
      <c r="AH219" t="str">
        <f t="shared" si="253"/>
        <v/>
      </c>
      <c r="AN219" t="str">
        <f t="shared" si="254"/>
        <v/>
      </c>
      <c r="AO219" t="str">
        <f>IF(A219&lt;&gt;"", IF(OR(F219="1",H219="1",I219="1"),""," "&amp; HELPER!$B$94 &amp; "." &amp; A219),"")</f>
        <v/>
      </c>
      <c r="AP219" t="str">
        <f t="shared" si="255"/>
        <v/>
      </c>
      <c r="AS219" t="str">
        <f>IF(A219="","",  HELPER!$B$94 &amp;  "." &amp; A219)</f>
        <v/>
      </c>
      <c r="AT219" t="str">
        <f t="shared" si="256"/>
        <v/>
      </c>
      <c r="AU219" t="str">
        <f t="shared" si="257"/>
        <v/>
      </c>
      <c r="AX219" t="str">
        <f>IF(COLUMNS!J170="","","LEFT JOIN "&amp; Options!$B$23 &amp; "." &amp;  COLUMNS!J170 &amp; " ON ")</f>
        <v/>
      </c>
      <c r="AY219" t="str">
        <f t="shared" si="258"/>
        <v/>
      </c>
      <c r="BA219" t="str">
        <f>IF(AZ219="","", "CAST(" &amp; AZ219 &amp; " AS varchar(" &amp; Options!$B$49 &amp; "))")</f>
        <v/>
      </c>
      <c r="BB219" t="str">
        <f t="shared" ca="1" si="259"/>
        <v/>
      </c>
      <c r="BC219" t="str">
        <f t="shared" si="268"/>
        <v/>
      </c>
      <c r="BF219" t="str">
        <f t="shared" si="260"/>
        <v/>
      </c>
      <c r="BG219" t="str">
        <f t="shared" si="261"/>
        <v/>
      </c>
      <c r="BH219" s="285" t="str">
        <f t="shared" ca="1" si="269"/>
        <v/>
      </c>
      <c r="BJ219" t="str">
        <f t="shared" si="262"/>
        <v/>
      </c>
      <c r="BM219" t="str">
        <f t="shared" si="270"/>
        <v/>
      </c>
      <c r="BN219" t="str">
        <f t="shared" si="271"/>
        <v/>
      </c>
      <c r="BO219" t="str">
        <f t="shared" ca="1" si="263"/>
        <v/>
      </c>
      <c r="BR219" t="str">
        <f t="shared" si="264"/>
        <v/>
      </c>
      <c r="BS219" t="str">
        <f t="shared" ca="1" si="265"/>
        <v/>
      </c>
      <c r="BT219" t="str">
        <f t="shared" si="272"/>
        <v/>
      </c>
      <c r="BU219" t="str">
        <f t="shared" si="266"/>
        <v/>
      </c>
      <c r="BV219">
        <f t="shared" si="267"/>
        <v>0</v>
      </c>
    </row>
    <row r="220" spans="6:74">
      <c r="F220" s="164">
        <f t="shared" ca="1" si="273"/>
        <v>0</v>
      </c>
      <c r="G220" s="164" t="str">
        <f t="array" aca="1" ref="G220" ca="1">IF(TRIM(INDIRECT("Columns!D2"))="","",TRIM(INDIRECT("Columns!D2")))</f>
        <v/>
      </c>
      <c r="S220" t="str">
        <f t="shared" si="248"/>
        <v/>
      </c>
      <c r="V220" t="str">
        <f t="shared" si="249"/>
        <v/>
      </c>
      <c r="Y220" t="str">
        <f t="shared" ca="1" si="250"/>
        <v/>
      </c>
      <c r="Z220" t="str">
        <f t="shared" ca="1" si="251"/>
        <v/>
      </c>
      <c r="AA220" t="str">
        <f>IF( A220="","",IF(OR(F220="1",H220="1",I220="1"),"","COALESCE (CAST("&amp;A220&amp;" as varchar(" &amp; Options!$B$49&amp; ")),'')"))</f>
        <v/>
      </c>
      <c r="AB220" t="str">
        <f>IF(C220="string",  IF( A220="","",IF(OR(F220="1",H220="1",I220="1"),"","COALESCE (CAST(lower("&amp;A220&amp;") as varchar(" &amp;Options!$B$49 &amp; ")),'')")),AA220)</f>
        <v/>
      </c>
      <c r="AE220" t="str">
        <f t="shared" si="252"/>
        <v/>
      </c>
      <c r="AF220" t="str">
        <f>IF(AE220&lt;&gt;"", HELPER!$B$93 &amp;  "." &amp; AE220,"")</f>
        <v/>
      </c>
      <c r="AG220" t="str">
        <f>IF(AE220&lt;&gt;"", HELPER!$B$94 &amp; "." &amp; AE220,"")</f>
        <v/>
      </c>
      <c r="AH220" t="str">
        <f t="shared" si="253"/>
        <v/>
      </c>
      <c r="AN220" t="str">
        <f t="shared" si="254"/>
        <v/>
      </c>
      <c r="AO220" t="str">
        <f>IF(A220&lt;&gt;"", IF(OR(F220="1",H220="1",I220="1"),""," "&amp; HELPER!$B$94 &amp; "." &amp; A220),"")</f>
        <v/>
      </c>
      <c r="AP220" t="str">
        <f t="shared" si="255"/>
        <v/>
      </c>
      <c r="AS220" t="str">
        <f>IF(A220="","",  HELPER!$B$94 &amp;  "." &amp; A220)</f>
        <v/>
      </c>
      <c r="AT220" t="str">
        <f t="shared" si="256"/>
        <v/>
      </c>
      <c r="AU220" t="str">
        <f t="shared" si="257"/>
        <v/>
      </c>
      <c r="AX220" t="str">
        <f>IF(COLUMNS!J171="","","LEFT JOIN "&amp; Options!$B$23 &amp; "." &amp;  COLUMNS!J171 &amp; " ON ")</f>
        <v/>
      </c>
      <c r="AY220" t="str">
        <f t="shared" si="258"/>
        <v/>
      </c>
      <c r="BA220" t="str">
        <f>IF(AZ220="","", "CAST(" &amp; AZ220 &amp; " AS varchar(" &amp; Options!$B$49 &amp; "))")</f>
        <v/>
      </c>
      <c r="BB220" t="str">
        <f t="shared" ca="1" si="259"/>
        <v/>
      </c>
      <c r="BC220" t="str">
        <f t="shared" si="268"/>
        <v/>
      </c>
      <c r="BF220" t="str">
        <f t="shared" si="260"/>
        <v/>
      </c>
      <c r="BG220" t="str">
        <f t="shared" si="261"/>
        <v/>
      </c>
      <c r="BH220" s="285" t="str">
        <f t="shared" ca="1" si="269"/>
        <v/>
      </c>
      <c r="BJ220" t="str">
        <f t="shared" si="262"/>
        <v/>
      </c>
      <c r="BM220" t="str">
        <f t="shared" si="270"/>
        <v/>
      </c>
      <c r="BN220" t="str">
        <f t="shared" si="271"/>
        <v/>
      </c>
      <c r="BO220" t="str">
        <f t="shared" ca="1" si="263"/>
        <v/>
      </c>
      <c r="BR220" t="str">
        <f t="shared" si="264"/>
        <v/>
      </c>
      <c r="BS220" t="str">
        <f t="shared" ca="1" si="265"/>
        <v/>
      </c>
      <c r="BT220" t="str">
        <f t="shared" si="272"/>
        <v/>
      </c>
      <c r="BU220" t="str">
        <f t="shared" si="266"/>
        <v/>
      </c>
      <c r="BV220">
        <f t="shared" si="267"/>
        <v>0</v>
      </c>
    </row>
    <row r="221" spans="6:74">
      <c r="F221" s="164">
        <f t="shared" ca="1" si="273"/>
        <v>0</v>
      </c>
      <c r="G221" s="164" t="str">
        <f t="array" aca="1" ref="G221" ca="1">IF(TRIM(INDIRECT("Columns!D2"))="","",TRIM(INDIRECT("Columns!D2")))</f>
        <v/>
      </c>
      <c r="S221" t="str">
        <f t="shared" si="248"/>
        <v/>
      </c>
      <c r="V221" t="str">
        <f t="shared" si="249"/>
        <v/>
      </c>
      <c r="Y221" t="str">
        <f t="shared" ca="1" si="250"/>
        <v/>
      </c>
      <c r="Z221" t="str">
        <f t="shared" ca="1" si="251"/>
        <v/>
      </c>
      <c r="AA221" t="str">
        <f>IF( A221="","",IF(OR(F221="1",H221="1",I221="1"),"","COALESCE (CAST("&amp;A221&amp;" as varchar(" &amp; Options!$B$49&amp; ")),'')"))</f>
        <v/>
      </c>
      <c r="AB221" t="str">
        <f>IF(C221="string",  IF( A221="","",IF(OR(F221="1",H221="1",I221="1"),"","COALESCE (CAST(lower("&amp;A221&amp;") as varchar(" &amp;Options!$B$49 &amp; ")),'')")),AA221)</f>
        <v/>
      </c>
      <c r="AE221" t="str">
        <f t="shared" si="252"/>
        <v/>
      </c>
      <c r="AF221" t="str">
        <f>IF(AE221&lt;&gt;"", HELPER!$B$93 &amp;  "." &amp; AE221,"")</f>
        <v/>
      </c>
      <c r="AG221" t="str">
        <f>IF(AE221&lt;&gt;"", HELPER!$B$94 &amp; "." &amp; AE221,"")</f>
        <v/>
      </c>
      <c r="AH221" t="str">
        <f t="shared" si="253"/>
        <v/>
      </c>
      <c r="AN221" t="str">
        <f t="shared" si="254"/>
        <v/>
      </c>
      <c r="AO221" t="str">
        <f>IF(A221&lt;&gt;"", IF(OR(F221="1",H221="1",I221="1"),""," "&amp; HELPER!$B$94 &amp; "." &amp; A221),"")</f>
        <v/>
      </c>
      <c r="AP221" t="str">
        <f t="shared" si="255"/>
        <v/>
      </c>
      <c r="AS221" t="str">
        <f>IF(A221="","",  HELPER!$B$94 &amp;  "." &amp; A221)</f>
        <v/>
      </c>
      <c r="AT221" t="str">
        <f t="shared" si="256"/>
        <v/>
      </c>
      <c r="AU221" t="str">
        <f t="shared" si="257"/>
        <v/>
      </c>
      <c r="AX221" t="str">
        <f>IF(COLUMNS!J172="","","LEFT JOIN "&amp; Options!$B$23 &amp; "." &amp;  COLUMNS!J172 &amp; " ON ")</f>
        <v/>
      </c>
      <c r="AY221" t="str">
        <f t="shared" si="258"/>
        <v/>
      </c>
      <c r="BA221" t="str">
        <f>IF(AZ221="","", "CAST(" &amp; AZ221 &amp; " AS varchar(" &amp; Options!$B$49 &amp; "))")</f>
        <v/>
      </c>
      <c r="BB221" t="str">
        <f t="shared" ca="1" si="259"/>
        <v/>
      </c>
      <c r="BC221" t="str">
        <f t="shared" si="268"/>
        <v/>
      </c>
      <c r="BF221" t="str">
        <f t="shared" si="260"/>
        <v/>
      </c>
      <c r="BG221" t="str">
        <f t="shared" si="261"/>
        <v/>
      </c>
      <c r="BH221" s="285" t="str">
        <f t="shared" ca="1" si="269"/>
        <v/>
      </c>
      <c r="BJ221" t="str">
        <f t="shared" si="262"/>
        <v/>
      </c>
      <c r="BM221" t="str">
        <f t="shared" si="270"/>
        <v/>
      </c>
      <c r="BN221" t="str">
        <f t="shared" si="271"/>
        <v/>
      </c>
      <c r="BO221" t="str">
        <f t="shared" ca="1" si="263"/>
        <v/>
      </c>
      <c r="BR221" t="str">
        <f t="shared" si="264"/>
        <v/>
      </c>
      <c r="BS221" t="str">
        <f t="shared" ca="1" si="265"/>
        <v/>
      </c>
      <c r="BT221" t="str">
        <f t="shared" si="272"/>
        <v/>
      </c>
      <c r="BU221" t="str">
        <f t="shared" si="266"/>
        <v/>
      </c>
      <c r="BV221">
        <f t="shared" si="267"/>
        <v>0</v>
      </c>
    </row>
    <row r="222" spans="6:74">
      <c r="F222" s="164">
        <f t="shared" ca="1" si="273"/>
        <v>0</v>
      </c>
      <c r="G222" s="164" t="str">
        <f t="array" aca="1" ref="G222" ca="1">IF(TRIM(INDIRECT("Columns!D2"))="","",TRIM(INDIRECT("Columns!D2")))</f>
        <v/>
      </c>
      <c r="S222" t="str">
        <f t="shared" si="248"/>
        <v/>
      </c>
      <c r="V222" t="str">
        <f t="shared" si="249"/>
        <v/>
      </c>
      <c r="Y222" t="str">
        <f t="shared" ca="1" si="250"/>
        <v/>
      </c>
      <c r="Z222" t="str">
        <f t="shared" ca="1" si="251"/>
        <v/>
      </c>
      <c r="AA222" t="str">
        <f>IF( A222="","",IF(OR(F222="1",H222="1",I222="1"),"","COALESCE (CAST("&amp;A222&amp;" as varchar(" &amp; Options!$B$49&amp; ")),'')"))</f>
        <v/>
      </c>
      <c r="AB222" t="str">
        <f>IF(C222="string",  IF( A222="","",IF(OR(F222="1",H222="1",I222="1"),"","COALESCE (CAST(lower("&amp;A222&amp;") as varchar(" &amp;Options!$B$49 &amp; ")),'')")),AA222)</f>
        <v/>
      </c>
      <c r="AE222" t="str">
        <f t="shared" si="252"/>
        <v/>
      </c>
      <c r="AF222" t="str">
        <f>IF(AE222&lt;&gt;"", HELPER!$B$93 &amp;  "." &amp; AE222,"")</f>
        <v/>
      </c>
      <c r="AG222" t="str">
        <f>IF(AE222&lt;&gt;"", HELPER!$B$94 &amp; "." &amp; AE222,"")</f>
        <v/>
      </c>
      <c r="AH222" t="str">
        <f t="shared" si="253"/>
        <v/>
      </c>
      <c r="AN222" t="str">
        <f t="shared" si="254"/>
        <v/>
      </c>
      <c r="AO222" t="str">
        <f>IF(A222&lt;&gt;"", IF(OR(F222="1",H222="1",I222="1"),""," "&amp; HELPER!$B$94 &amp; "." &amp; A222),"")</f>
        <v/>
      </c>
      <c r="AP222" t="str">
        <f t="shared" si="255"/>
        <v/>
      </c>
      <c r="AS222" t="str">
        <f>IF(A222="","",  HELPER!$B$94 &amp;  "." &amp; A222)</f>
        <v/>
      </c>
      <c r="AT222" t="str">
        <f t="shared" si="256"/>
        <v/>
      </c>
      <c r="AU222" t="str">
        <f t="shared" si="257"/>
        <v/>
      </c>
      <c r="AX222" t="str">
        <f>IF(COLUMNS!J173="","","LEFT JOIN "&amp; Options!$B$23 &amp; "." &amp;  COLUMNS!J173 &amp; " ON ")</f>
        <v/>
      </c>
      <c r="AY222" t="str">
        <f t="shared" si="258"/>
        <v/>
      </c>
      <c r="BA222" t="str">
        <f>IF(AZ222="","", "CAST(" &amp; AZ222 &amp; " AS varchar(" &amp; Options!$B$49 &amp; "))")</f>
        <v/>
      </c>
      <c r="BB222" t="str">
        <f t="shared" ca="1" si="259"/>
        <v/>
      </c>
      <c r="BC222" t="str">
        <f t="shared" si="268"/>
        <v/>
      </c>
      <c r="BF222" t="str">
        <f t="shared" si="260"/>
        <v/>
      </c>
      <c r="BG222" t="str">
        <f t="shared" si="261"/>
        <v/>
      </c>
      <c r="BH222" s="285" t="str">
        <f t="shared" ca="1" si="269"/>
        <v/>
      </c>
      <c r="BJ222" t="str">
        <f t="shared" si="262"/>
        <v/>
      </c>
      <c r="BM222" t="str">
        <f t="shared" si="270"/>
        <v/>
      </c>
      <c r="BN222" t="str">
        <f t="shared" si="271"/>
        <v/>
      </c>
      <c r="BO222" t="str">
        <f t="shared" ca="1" si="263"/>
        <v/>
      </c>
      <c r="BR222" t="str">
        <f t="shared" si="264"/>
        <v/>
      </c>
      <c r="BS222" t="str">
        <f t="shared" ca="1" si="265"/>
        <v/>
      </c>
      <c r="BT222" t="str">
        <f t="shared" si="272"/>
        <v/>
      </c>
      <c r="BU222" t="str">
        <f t="shared" si="266"/>
        <v/>
      </c>
      <c r="BV222">
        <f t="shared" si="267"/>
        <v>0</v>
      </c>
    </row>
    <row r="223" spans="6:74">
      <c r="F223" s="164">
        <f t="shared" ca="1" si="273"/>
        <v>0</v>
      </c>
      <c r="G223" s="164" t="str">
        <f t="array" aca="1" ref="G223" ca="1">IF(TRIM(INDIRECT("Columns!D2"))="","",TRIM(INDIRECT("Columns!D2")))</f>
        <v/>
      </c>
      <c r="S223" t="str">
        <f t="shared" si="248"/>
        <v/>
      </c>
      <c r="V223" t="str">
        <f t="shared" si="249"/>
        <v/>
      </c>
      <c r="Y223" t="str">
        <f t="shared" ca="1" si="250"/>
        <v/>
      </c>
      <c r="Z223" t="str">
        <f t="shared" ca="1" si="251"/>
        <v/>
      </c>
      <c r="AA223" t="str">
        <f>IF( A223="","",IF(OR(F223="1",H223="1",I223="1"),"","COALESCE (CAST("&amp;A223&amp;" as varchar(" &amp; Options!$B$49&amp; ")),'')"))</f>
        <v/>
      </c>
      <c r="AB223" t="str">
        <f>IF(C223="string",  IF( A223="","",IF(OR(F223="1",H223="1",I223="1"),"","COALESCE (CAST(lower("&amp;A223&amp;") as varchar(" &amp;Options!$B$49 &amp; ")),'')")),AA223)</f>
        <v/>
      </c>
      <c r="AE223" t="str">
        <f t="shared" si="252"/>
        <v/>
      </c>
      <c r="AF223" t="str">
        <f>IF(AE223&lt;&gt;"", HELPER!$B$93 &amp;  "." &amp; AE223,"")</f>
        <v/>
      </c>
      <c r="AG223" t="str">
        <f>IF(AE223&lt;&gt;"", HELPER!$B$94 &amp; "." &amp; AE223,"")</f>
        <v/>
      </c>
      <c r="AH223" t="str">
        <f t="shared" si="253"/>
        <v/>
      </c>
      <c r="AN223" t="str">
        <f t="shared" si="254"/>
        <v/>
      </c>
      <c r="AO223" t="str">
        <f>IF(A223&lt;&gt;"", IF(OR(F223="1",H223="1",I223="1"),""," "&amp; HELPER!$B$94 &amp; "." &amp; A223),"")</f>
        <v/>
      </c>
      <c r="AP223" t="str">
        <f t="shared" si="255"/>
        <v/>
      </c>
      <c r="AS223" t="str">
        <f>IF(A223="","",  HELPER!$B$94 &amp;  "." &amp; A223)</f>
        <v/>
      </c>
      <c r="AT223" t="str">
        <f t="shared" si="256"/>
        <v/>
      </c>
      <c r="AU223" t="str">
        <f t="shared" si="257"/>
        <v/>
      </c>
      <c r="AX223" t="str">
        <f>IF(COLUMNS!J174="","","LEFT JOIN "&amp; Options!$B$23 &amp; "." &amp;  COLUMNS!J174 &amp; " ON ")</f>
        <v/>
      </c>
      <c r="AY223" t="str">
        <f t="shared" si="258"/>
        <v/>
      </c>
      <c r="BA223" t="str">
        <f>IF(AZ223="","", "CAST(" &amp; AZ223 &amp; " AS varchar(" &amp; Options!$B$49 &amp; "))")</f>
        <v/>
      </c>
      <c r="BB223" t="str">
        <f t="shared" ca="1" si="259"/>
        <v/>
      </c>
      <c r="BC223" t="str">
        <f t="shared" si="268"/>
        <v/>
      </c>
      <c r="BF223" t="str">
        <f t="shared" si="260"/>
        <v/>
      </c>
      <c r="BG223" t="str">
        <f t="shared" si="261"/>
        <v/>
      </c>
      <c r="BH223" s="285" t="str">
        <f t="shared" ca="1" si="269"/>
        <v/>
      </c>
      <c r="BJ223" t="str">
        <f t="shared" si="262"/>
        <v/>
      </c>
      <c r="BM223" t="str">
        <f t="shared" si="270"/>
        <v/>
      </c>
      <c r="BN223" t="str">
        <f t="shared" si="271"/>
        <v/>
      </c>
      <c r="BO223" t="str">
        <f t="shared" ca="1" si="263"/>
        <v/>
      </c>
      <c r="BR223" t="str">
        <f t="shared" si="264"/>
        <v/>
      </c>
      <c r="BS223" t="str">
        <f t="shared" ca="1" si="265"/>
        <v/>
      </c>
      <c r="BT223" t="str">
        <f t="shared" si="272"/>
        <v/>
      </c>
      <c r="BU223" t="str">
        <f t="shared" si="266"/>
        <v/>
      </c>
      <c r="BV223">
        <f t="shared" si="267"/>
        <v>0</v>
      </c>
    </row>
    <row r="224" spans="6:74">
      <c r="F224" s="164">
        <f t="shared" ca="1" si="273"/>
        <v>0</v>
      </c>
      <c r="G224" s="164" t="str">
        <f t="array" aca="1" ref="G224" ca="1">IF(TRIM(INDIRECT("Columns!D2"))="","",TRIM(INDIRECT("Columns!D2")))</f>
        <v/>
      </c>
      <c r="S224" t="str">
        <f t="shared" si="248"/>
        <v/>
      </c>
      <c r="V224" t="str">
        <f t="shared" si="249"/>
        <v/>
      </c>
      <c r="Y224" t="str">
        <f t="shared" ca="1" si="250"/>
        <v/>
      </c>
      <c r="Z224" t="str">
        <f t="shared" ca="1" si="251"/>
        <v/>
      </c>
      <c r="AA224" t="str">
        <f>IF( A224="","",IF(OR(F224="1",H224="1",I224="1"),"","COALESCE (CAST("&amp;A224&amp;" as varchar(" &amp; Options!$B$49&amp; ")),'')"))</f>
        <v/>
      </c>
      <c r="AB224" t="str">
        <f>IF(C224="string",  IF( A224="","",IF(OR(F224="1",H224="1",I224="1"),"","COALESCE (CAST(lower("&amp;A224&amp;") as varchar(" &amp;Options!$B$49 &amp; ")),'')")),AA224)</f>
        <v/>
      </c>
      <c r="AE224" t="str">
        <f t="shared" si="252"/>
        <v/>
      </c>
      <c r="AF224" t="str">
        <f>IF(AE224&lt;&gt;"", HELPER!$B$93 &amp;  "." &amp; AE224,"")</f>
        <v/>
      </c>
      <c r="AG224" t="str">
        <f>IF(AE224&lt;&gt;"", HELPER!$B$94 &amp; "." &amp; AE224,"")</f>
        <v/>
      </c>
      <c r="AH224" t="str">
        <f t="shared" si="253"/>
        <v/>
      </c>
      <c r="AN224" t="str">
        <f t="shared" si="254"/>
        <v/>
      </c>
      <c r="AO224" t="str">
        <f>IF(A224&lt;&gt;"", IF(OR(F224="1",H224="1",I224="1"),""," "&amp; HELPER!$B$94 &amp; "." &amp; A224),"")</f>
        <v/>
      </c>
      <c r="AP224" t="str">
        <f t="shared" si="255"/>
        <v/>
      </c>
      <c r="AS224" t="str">
        <f>IF(A224="","",  HELPER!$B$94 &amp;  "." &amp; A224)</f>
        <v/>
      </c>
      <c r="AT224" t="str">
        <f t="shared" si="256"/>
        <v/>
      </c>
      <c r="AU224" t="str">
        <f t="shared" si="257"/>
        <v/>
      </c>
      <c r="AX224" t="str">
        <f>IF(COLUMNS!J175="","","LEFT JOIN "&amp; Options!$B$23 &amp; "." &amp;  COLUMNS!J175 &amp; " ON ")</f>
        <v/>
      </c>
      <c r="AY224" t="str">
        <f t="shared" si="258"/>
        <v/>
      </c>
      <c r="BA224" t="str">
        <f>IF(AZ224="","", "CAST(" &amp; AZ224 &amp; " AS varchar(" &amp; Options!$B$49 &amp; "))")</f>
        <v/>
      </c>
      <c r="BB224" t="str">
        <f t="shared" ca="1" si="259"/>
        <v/>
      </c>
      <c r="BC224" t="str">
        <f t="shared" si="268"/>
        <v/>
      </c>
      <c r="BF224" t="str">
        <f t="shared" si="260"/>
        <v/>
      </c>
      <c r="BG224" t="str">
        <f t="shared" si="261"/>
        <v/>
      </c>
      <c r="BH224" s="285" t="str">
        <f t="shared" ca="1" si="269"/>
        <v/>
      </c>
      <c r="BJ224" t="str">
        <f t="shared" si="262"/>
        <v/>
      </c>
      <c r="BM224" t="str">
        <f t="shared" si="270"/>
        <v/>
      </c>
      <c r="BN224" t="str">
        <f t="shared" si="271"/>
        <v/>
      </c>
      <c r="BO224" t="str">
        <f t="shared" ca="1" si="263"/>
        <v/>
      </c>
      <c r="BR224" t="str">
        <f t="shared" si="264"/>
        <v/>
      </c>
      <c r="BS224" t="str">
        <f t="shared" ca="1" si="265"/>
        <v/>
      </c>
      <c r="BT224" t="str">
        <f t="shared" si="272"/>
        <v/>
      </c>
      <c r="BU224" t="str">
        <f t="shared" si="266"/>
        <v/>
      </c>
      <c r="BV224">
        <f t="shared" si="267"/>
        <v>0</v>
      </c>
    </row>
    <row r="225" spans="6:74">
      <c r="F225" s="164">
        <f t="shared" ca="1" si="273"/>
        <v>0</v>
      </c>
      <c r="G225" s="164" t="str">
        <f t="array" aca="1" ref="G225" ca="1">IF(TRIM(INDIRECT("Columns!D2"))="","",TRIM(INDIRECT("Columns!D2")))</f>
        <v/>
      </c>
      <c r="S225" t="str">
        <f t="shared" si="248"/>
        <v/>
      </c>
      <c r="V225" t="str">
        <f t="shared" si="249"/>
        <v/>
      </c>
      <c r="Y225" t="str">
        <f t="shared" ca="1" si="250"/>
        <v/>
      </c>
      <c r="Z225" t="str">
        <f t="shared" ca="1" si="251"/>
        <v/>
      </c>
      <c r="AA225" t="str">
        <f>IF( A225="","",IF(OR(F225="1",H225="1",I225="1"),"","COALESCE (CAST("&amp;A225&amp;" as varchar(" &amp; Options!$B$49&amp; ")),'')"))</f>
        <v/>
      </c>
      <c r="AB225" t="str">
        <f>IF(C225="string",  IF( A225="","",IF(OR(F225="1",H225="1",I225="1"),"","COALESCE (CAST(lower("&amp;A225&amp;") as varchar(" &amp;Options!$B$49 &amp; ")),'')")),AA225)</f>
        <v/>
      </c>
      <c r="AE225" t="str">
        <f t="shared" si="252"/>
        <v/>
      </c>
      <c r="AF225" t="str">
        <f>IF(AE225&lt;&gt;"", HELPER!$B$93 &amp;  "." &amp; AE225,"")</f>
        <v/>
      </c>
      <c r="AG225" t="str">
        <f>IF(AE225&lt;&gt;"", HELPER!$B$94 &amp; "." &amp; AE225,"")</f>
        <v/>
      </c>
      <c r="AH225" t="str">
        <f t="shared" si="253"/>
        <v/>
      </c>
      <c r="AN225" t="str">
        <f t="shared" si="254"/>
        <v/>
      </c>
      <c r="AO225" t="str">
        <f>IF(A225&lt;&gt;"", IF(OR(F225="1",H225="1",I225="1"),""," "&amp; HELPER!$B$94 &amp; "." &amp; A225),"")</f>
        <v/>
      </c>
      <c r="AP225" t="str">
        <f t="shared" si="255"/>
        <v/>
      </c>
      <c r="AS225" t="str">
        <f>IF(A225="","",  HELPER!$B$94 &amp;  "." &amp; A225)</f>
        <v/>
      </c>
      <c r="AT225" t="str">
        <f t="shared" si="256"/>
        <v/>
      </c>
      <c r="AU225" t="str">
        <f t="shared" si="257"/>
        <v/>
      </c>
      <c r="AX225" t="str">
        <f>IF(COLUMNS!J176="","","LEFT JOIN "&amp; Options!$B$23 &amp; "." &amp;  COLUMNS!J176 &amp; " ON ")</f>
        <v/>
      </c>
      <c r="AY225" t="str">
        <f t="shared" si="258"/>
        <v/>
      </c>
      <c r="BA225" t="str">
        <f>IF(AZ225="","", "CAST(" &amp; AZ225 &amp; " AS varchar(" &amp; Options!$B$49 &amp; "))")</f>
        <v/>
      </c>
      <c r="BB225" t="str">
        <f t="shared" ca="1" si="259"/>
        <v/>
      </c>
      <c r="BC225" t="str">
        <f t="shared" si="268"/>
        <v/>
      </c>
      <c r="BF225" t="str">
        <f t="shared" si="260"/>
        <v/>
      </c>
      <c r="BG225" t="str">
        <f t="shared" si="261"/>
        <v/>
      </c>
      <c r="BH225" s="285" t="str">
        <f t="shared" ca="1" si="269"/>
        <v/>
      </c>
      <c r="BJ225" t="str">
        <f t="shared" si="262"/>
        <v/>
      </c>
      <c r="BM225" t="str">
        <f t="shared" si="270"/>
        <v/>
      </c>
      <c r="BN225" t="str">
        <f t="shared" si="271"/>
        <v/>
      </c>
      <c r="BO225" t="str">
        <f t="shared" ca="1" si="263"/>
        <v/>
      </c>
      <c r="BR225" t="str">
        <f t="shared" si="264"/>
        <v/>
      </c>
      <c r="BS225" t="str">
        <f t="shared" ca="1" si="265"/>
        <v/>
      </c>
      <c r="BT225" t="str">
        <f t="shared" si="272"/>
        <v/>
      </c>
      <c r="BU225" t="str">
        <f t="shared" si="266"/>
        <v/>
      </c>
      <c r="BV225">
        <f t="shared" si="267"/>
        <v>0</v>
      </c>
    </row>
    <row r="226" spans="6:74">
      <c r="F226" s="164">
        <f t="shared" ca="1" si="273"/>
        <v>0</v>
      </c>
      <c r="G226" s="164" t="str">
        <f t="array" aca="1" ref="G226" ca="1">IF(TRIM(INDIRECT("Columns!D2"))="","",TRIM(INDIRECT("Columns!D2")))</f>
        <v/>
      </c>
      <c r="S226" t="str">
        <f t="shared" si="248"/>
        <v/>
      </c>
      <c r="V226" t="str">
        <f t="shared" si="249"/>
        <v/>
      </c>
      <c r="Y226" t="str">
        <f t="shared" ca="1" si="250"/>
        <v/>
      </c>
      <c r="Z226" t="str">
        <f t="shared" ca="1" si="251"/>
        <v/>
      </c>
      <c r="AA226" t="str">
        <f>IF( A226="","",IF(OR(F226="1",H226="1",I226="1"),"","COALESCE (CAST("&amp;A226&amp;" as varchar(" &amp; Options!$B$49&amp; ")),'')"))</f>
        <v/>
      </c>
      <c r="AB226" t="str">
        <f>IF(C226="string",  IF( A226="","",IF(OR(F226="1",H226="1",I226="1"),"","COALESCE (CAST(lower("&amp;A226&amp;") as varchar(" &amp;Options!$B$49 &amp; ")),'')")),AA226)</f>
        <v/>
      </c>
      <c r="AE226" t="str">
        <f t="shared" si="252"/>
        <v/>
      </c>
      <c r="AF226" t="str">
        <f>IF(AE226&lt;&gt;"", HELPER!$B$93 &amp;  "." &amp; AE226,"")</f>
        <v/>
      </c>
      <c r="AG226" t="str">
        <f>IF(AE226&lt;&gt;"", HELPER!$B$94 &amp; "." &amp; AE226,"")</f>
        <v/>
      </c>
      <c r="AH226" t="str">
        <f t="shared" si="253"/>
        <v/>
      </c>
      <c r="AN226" t="str">
        <f t="shared" si="254"/>
        <v/>
      </c>
      <c r="AO226" t="str">
        <f>IF(A226&lt;&gt;"", IF(OR(F226="1",H226="1",I226="1"),""," "&amp; HELPER!$B$94 &amp; "." &amp; A226),"")</f>
        <v/>
      </c>
      <c r="AP226" t="str">
        <f t="shared" si="255"/>
        <v/>
      </c>
      <c r="AS226" t="str">
        <f>IF(A226="","",  HELPER!$B$94 &amp;  "." &amp; A226)</f>
        <v/>
      </c>
      <c r="AT226" t="str">
        <f t="shared" si="256"/>
        <v/>
      </c>
      <c r="AU226" t="str">
        <f t="shared" si="257"/>
        <v/>
      </c>
      <c r="AX226" t="str">
        <f>IF(COLUMNS!J177="","","LEFT JOIN "&amp; Options!$B$23 &amp; "." &amp;  COLUMNS!J177 &amp; " ON ")</f>
        <v/>
      </c>
      <c r="AY226" t="str">
        <f t="shared" si="258"/>
        <v/>
      </c>
      <c r="BA226" t="str">
        <f>IF(AZ226="","", "CAST(" &amp; AZ226 &amp; " AS varchar(" &amp; Options!$B$49 &amp; "))")</f>
        <v/>
      </c>
      <c r="BB226" t="str">
        <f t="shared" ca="1" si="259"/>
        <v/>
      </c>
      <c r="BC226" t="str">
        <f t="shared" si="268"/>
        <v/>
      </c>
      <c r="BF226" t="str">
        <f t="shared" si="260"/>
        <v/>
      </c>
      <c r="BG226" t="str">
        <f t="shared" si="261"/>
        <v/>
      </c>
      <c r="BH226" s="285" t="str">
        <f t="shared" ca="1" si="269"/>
        <v/>
      </c>
      <c r="BJ226" t="str">
        <f t="shared" si="262"/>
        <v/>
      </c>
      <c r="BM226" t="str">
        <f t="shared" si="270"/>
        <v/>
      </c>
      <c r="BN226" t="str">
        <f t="shared" si="271"/>
        <v/>
      </c>
      <c r="BO226" t="str">
        <f t="shared" ca="1" si="263"/>
        <v/>
      </c>
      <c r="BR226" t="str">
        <f t="shared" si="264"/>
        <v/>
      </c>
      <c r="BS226" t="str">
        <f t="shared" ca="1" si="265"/>
        <v/>
      </c>
      <c r="BT226" t="str">
        <f t="shared" si="272"/>
        <v/>
      </c>
      <c r="BU226" t="str">
        <f t="shared" si="266"/>
        <v/>
      </c>
      <c r="BV226">
        <f t="shared" si="267"/>
        <v>0</v>
      </c>
    </row>
    <row r="227" spans="6:74">
      <c r="F227" s="164">
        <f t="shared" ca="1" si="273"/>
        <v>0</v>
      </c>
      <c r="G227" s="164" t="str">
        <f t="array" aca="1" ref="G227" ca="1">IF(TRIM(INDIRECT("Columns!D2"))="","",TRIM(INDIRECT("Columns!D2")))</f>
        <v/>
      </c>
      <c r="S227" t="str">
        <f t="shared" si="248"/>
        <v/>
      </c>
      <c r="V227" t="str">
        <f t="shared" si="249"/>
        <v/>
      </c>
      <c r="Y227" t="str">
        <f t="shared" ca="1" si="250"/>
        <v/>
      </c>
      <c r="Z227" t="str">
        <f t="shared" ca="1" si="251"/>
        <v/>
      </c>
      <c r="AA227" t="str">
        <f>IF( A227="","",IF(OR(F227="1",H227="1",I227="1"),"","COALESCE (CAST("&amp;A227&amp;" as varchar(" &amp; Options!$B$49&amp; ")),'')"))</f>
        <v/>
      </c>
      <c r="AB227" t="str">
        <f>IF(C227="string",  IF( A227="","",IF(OR(F227="1",H227="1",I227="1"),"","COALESCE (CAST(lower("&amp;A227&amp;") as varchar(" &amp;Options!$B$49 &amp; ")),'')")),AA227)</f>
        <v/>
      </c>
      <c r="AE227" t="str">
        <f t="shared" si="252"/>
        <v/>
      </c>
      <c r="AF227" t="str">
        <f>IF(AE227&lt;&gt;"", HELPER!$B$93 &amp;  "." &amp; AE227,"")</f>
        <v/>
      </c>
      <c r="AG227" t="str">
        <f>IF(AE227&lt;&gt;"", HELPER!$B$94 &amp; "." &amp; AE227,"")</f>
        <v/>
      </c>
      <c r="AH227" t="str">
        <f t="shared" si="253"/>
        <v/>
      </c>
      <c r="AN227" t="str">
        <f t="shared" si="254"/>
        <v/>
      </c>
      <c r="AO227" t="str">
        <f>IF(A227&lt;&gt;"", IF(OR(F227="1",H227="1",I227="1"),""," "&amp; HELPER!$B$94 &amp; "." &amp; A227),"")</f>
        <v/>
      </c>
      <c r="AP227" t="str">
        <f t="shared" si="255"/>
        <v/>
      </c>
      <c r="AS227" t="str">
        <f>IF(A227="","",  HELPER!$B$94 &amp;  "." &amp; A227)</f>
        <v/>
      </c>
      <c r="AT227" t="str">
        <f t="shared" si="256"/>
        <v/>
      </c>
      <c r="AU227" t="str">
        <f t="shared" si="257"/>
        <v/>
      </c>
      <c r="AX227" t="str">
        <f>IF(COLUMNS!J178="","","LEFT JOIN "&amp; Options!$B$23 &amp; "." &amp;  COLUMNS!J178 &amp; " ON ")</f>
        <v/>
      </c>
      <c r="AY227" t="str">
        <f t="shared" si="258"/>
        <v/>
      </c>
      <c r="BA227" t="str">
        <f>IF(AZ227="","", "CAST(" &amp; AZ227 &amp; " AS varchar(" &amp; Options!$B$49 &amp; "))")</f>
        <v/>
      </c>
      <c r="BB227" t="str">
        <f t="shared" ca="1" si="259"/>
        <v/>
      </c>
      <c r="BC227" t="str">
        <f t="shared" si="268"/>
        <v/>
      </c>
      <c r="BF227" t="str">
        <f t="shared" si="260"/>
        <v/>
      </c>
      <c r="BG227" t="str">
        <f t="shared" si="261"/>
        <v/>
      </c>
      <c r="BH227" s="285" t="str">
        <f t="shared" ca="1" si="269"/>
        <v/>
      </c>
      <c r="BJ227" t="str">
        <f t="shared" si="262"/>
        <v/>
      </c>
      <c r="BM227" t="str">
        <f t="shared" si="270"/>
        <v/>
      </c>
      <c r="BN227" t="str">
        <f t="shared" si="271"/>
        <v/>
      </c>
      <c r="BO227" t="str">
        <f t="shared" ca="1" si="263"/>
        <v/>
      </c>
      <c r="BR227" t="str">
        <f t="shared" si="264"/>
        <v/>
      </c>
      <c r="BS227" t="str">
        <f t="shared" ca="1" si="265"/>
        <v/>
      </c>
      <c r="BT227" t="str">
        <f t="shared" si="272"/>
        <v/>
      </c>
      <c r="BU227" t="str">
        <f t="shared" si="266"/>
        <v/>
      </c>
      <c r="BV227">
        <f t="shared" si="267"/>
        <v>0</v>
      </c>
    </row>
    <row r="228" spans="6:74">
      <c r="F228" s="164">
        <f t="shared" ca="1" si="273"/>
        <v>0</v>
      </c>
      <c r="G228" s="164" t="str">
        <f t="array" aca="1" ref="G228" ca="1">IF(TRIM(INDIRECT("Columns!D2"))="","",TRIM(INDIRECT("Columns!D2")))</f>
        <v/>
      </c>
      <c r="S228" t="str">
        <f t="shared" si="248"/>
        <v/>
      </c>
      <c r="V228" t="str">
        <f t="shared" si="249"/>
        <v/>
      </c>
      <c r="Y228" t="str">
        <f t="shared" ca="1" si="250"/>
        <v/>
      </c>
      <c r="Z228" t="str">
        <f t="shared" ca="1" si="251"/>
        <v/>
      </c>
      <c r="AA228" t="str">
        <f>IF( A228="","",IF(OR(F228="1",H228="1",I228="1"),"","COALESCE (CAST("&amp;A228&amp;" as varchar(" &amp; Options!$B$49&amp; ")),'')"))</f>
        <v/>
      </c>
      <c r="AB228" t="str">
        <f>IF(C228="string",  IF( A228="","",IF(OR(F228="1",H228="1",I228="1"),"","COALESCE (CAST(lower("&amp;A228&amp;") as varchar(" &amp;Options!$B$49 &amp; ")),'')")),AA228)</f>
        <v/>
      </c>
      <c r="AE228" t="str">
        <f t="shared" si="252"/>
        <v/>
      </c>
      <c r="AF228" t="str">
        <f>IF(AE228&lt;&gt;"", HELPER!$B$93 &amp;  "." &amp; AE228,"")</f>
        <v/>
      </c>
      <c r="AG228" t="str">
        <f>IF(AE228&lt;&gt;"", HELPER!$B$94 &amp; "." &amp; AE228,"")</f>
        <v/>
      </c>
      <c r="AH228" t="str">
        <f t="shared" si="253"/>
        <v/>
      </c>
      <c r="AN228" t="str">
        <f t="shared" si="254"/>
        <v/>
      </c>
      <c r="AO228" t="str">
        <f>IF(A228&lt;&gt;"", IF(OR(F228="1",H228="1",I228="1"),""," "&amp; HELPER!$B$94 &amp; "." &amp; A228),"")</f>
        <v/>
      </c>
      <c r="AP228" t="str">
        <f t="shared" si="255"/>
        <v/>
      </c>
      <c r="AS228" t="str">
        <f>IF(A228="","",  HELPER!$B$94 &amp;  "." &amp; A228)</f>
        <v/>
      </c>
      <c r="AT228" t="str">
        <f t="shared" si="256"/>
        <v/>
      </c>
      <c r="AU228" t="str">
        <f t="shared" si="257"/>
        <v/>
      </c>
      <c r="AX228" t="str">
        <f>IF(COLUMNS!J179="","","LEFT JOIN "&amp; Options!$B$23 &amp; "." &amp;  COLUMNS!J179 &amp; " ON ")</f>
        <v/>
      </c>
      <c r="AY228" t="str">
        <f t="shared" si="258"/>
        <v/>
      </c>
      <c r="BA228" t="str">
        <f>IF(AZ228="","", "CAST(" &amp; AZ228 &amp; " AS varchar(" &amp; Options!$B$49 &amp; "))")</f>
        <v/>
      </c>
      <c r="BB228" t="str">
        <f t="shared" ca="1" si="259"/>
        <v/>
      </c>
      <c r="BC228" t="str">
        <f t="shared" si="268"/>
        <v/>
      </c>
      <c r="BF228" t="str">
        <f t="shared" si="260"/>
        <v/>
      </c>
      <c r="BG228" t="str">
        <f t="shared" si="261"/>
        <v/>
      </c>
      <c r="BH228" s="285" t="str">
        <f t="shared" ca="1" si="269"/>
        <v/>
      </c>
      <c r="BJ228" t="str">
        <f t="shared" si="262"/>
        <v/>
      </c>
      <c r="BM228" t="str">
        <f t="shared" si="270"/>
        <v/>
      </c>
      <c r="BN228" t="str">
        <f t="shared" si="271"/>
        <v/>
      </c>
      <c r="BO228" t="str">
        <f t="shared" ca="1" si="263"/>
        <v/>
      </c>
      <c r="BR228" t="str">
        <f t="shared" si="264"/>
        <v/>
      </c>
      <c r="BS228" t="str">
        <f t="shared" ca="1" si="265"/>
        <v/>
      </c>
      <c r="BT228" t="str">
        <f t="shared" si="272"/>
        <v/>
      </c>
      <c r="BU228" t="str">
        <f t="shared" si="266"/>
        <v/>
      </c>
      <c r="BV228">
        <f t="shared" si="267"/>
        <v>0</v>
      </c>
    </row>
    <row r="229" spans="6:74">
      <c r="F229" s="164">
        <f t="shared" ca="1" si="273"/>
        <v>0</v>
      </c>
      <c r="G229" s="164" t="str">
        <f t="array" aca="1" ref="G229" ca="1">IF(TRIM(INDIRECT("Columns!D2"))="","",TRIM(INDIRECT("Columns!D2")))</f>
        <v/>
      </c>
      <c r="S229" t="str">
        <f t="shared" si="248"/>
        <v/>
      </c>
      <c r="V229" t="str">
        <f t="shared" si="249"/>
        <v/>
      </c>
      <c r="Y229" t="str">
        <f t="shared" ca="1" si="250"/>
        <v/>
      </c>
      <c r="Z229" t="str">
        <f t="shared" ca="1" si="251"/>
        <v/>
      </c>
      <c r="AA229" t="str">
        <f>IF( A229="","",IF(OR(F229="1",H229="1",I229="1"),"","COALESCE (CAST("&amp;A229&amp;" as varchar(" &amp; Options!$B$49&amp; ")),'')"))</f>
        <v/>
      </c>
      <c r="AB229" t="str">
        <f>IF(C229="string",  IF( A229="","",IF(OR(F229="1",H229="1",I229="1"),"","COALESCE (CAST(lower("&amp;A229&amp;") as varchar(" &amp;Options!$B$49 &amp; ")),'')")),AA229)</f>
        <v/>
      </c>
      <c r="AE229" t="str">
        <f t="shared" si="252"/>
        <v/>
      </c>
      <c r="AF229" t="str">
        <f>IF(AE229&lt;&gt;"", HELPER!$B$93 &amp;  "." &amp; AE229,"")</f>
        <v/>
      </c>
      <c r="AG229" t="str">
        <f>IF(AE229&lt;&gt;"", HELPER!$B$94 &amp; "." &amp; AE229,"")</f>
        <v/>
      </c>
      <c r="AH229" t="str">
        <f t="shared" si="253"/>
        <v/>
      </c>
      <c r="AN229" t="str">
        <f t="shared" si="254"/>
        <v/>
      </c>
      <c r="AO229" t="str">
        <f>IF(A229&lt;&gt;"", IF(OR(F229="1",H229="1",I229="1"),""," "&amp; HELPER!$B$94 &amp; "." &amp; A229),"")</f>
        <v/>
      </c>
      <c r="AP229" t="str">
        <f t="shared" si="255"/>
        <v/>
      </c>
      <c r="AS229" t="str">
        <f>IF(A229="","",  HELPER!$B$94 &amp;  "." &amp; A229)</f>
        <v/>
      </c>
      <c r="AT229" t="str">
        <f t="shared" si="256"/>
        <v/>
      </c>
      <c r="AU229" t="str">
        <f t="shared" si="257"/>
        <v/>
      </c>
      <c r="AX229" t="str">
        <f>IF(COLUMNS!J180="","","LEFT JOIN "&amp; Options!$B$23 &amp; "." &amp;  COLUMNS!J180 &amp; " ON ")</f>
        <v/>
      </c>
      <c r="AY229" t="str">
        <f t="shared" si="258"/>
        <v/>
      </c>
      <c r="BA229" t="str">
        <f>IF(AZ229="","", "CAST(" &amp; AZ229 &amp; " AS varchar(" &amp; Options!$B$49 &amp; "))")</f>
        <v/>
      </c>
      <c r="BB229" t="str">
        <f t="shared" ca="1" si="259"/>
        <v/>
      </c>
      <c r="BC229" t="str">
        <f t="shared" si="268"/>
        <v/>
      </c>
      <c r="BF229" t="str">
        <f t="shared" si="260"/>
        <v/>
      </c>
      <c r="BG229" t="str">
        <f t="shared" si="261"/>
        <v/>
      </c>
      <c r="BH229" s="285" t="str">
        <f t="shared" ca="1" si="269"/>
        <v/>
      </c>
      <c r="BJ229" t="str">
        <f t="shared" si="262"/>
        <v/>
      </c>
      <c r="BM229" t="str">
        <f t="shared" si="270"/>
        <v/>
      </c>
      <c r="BN229" t="str">
        <f t="shared" si="271"/>
        <v/>
      </c>
      <c r="BO229" t="str">
        <f t="shared" ca="1" si="263"/>
        <v/>
      </c>
      <c r="BR229" t="str">
        <f t="shared" si="264"/>
        <v/>
      </c>
      <c r="BS229" t="str">
        <f t="shared" ca="1" si="265"/>
        <v/>
      </c>
      <c r="BT229" t="str">
        <f t="shared" si="272"/>
        <v/>
      </c>
      <c r="BU229" t="str">
        <f t="shared" si="266"/>
        <v/>
      </c>
      <c r="BV229">
        <f t="shared" si="267"/>
        <v>0</v>
      </c>
    </row>
    <row r="230" spans="6:74">
      <c r="F230" s="164">
        <f t="shared" ca="1" si="273"/>
        <v>0</v>
      </c>
      <c r="G230" s="164" t="str">
        <f t="array" aca="1" ref="G230" ca="1">IF(TRIM(INDIRECT("Columns!D2"))="","",TRIM(INDIRECT("Columns!D2")))</f>
        <v/>
      </c>
      <c r="S230" t="str">
        <f t="shared" si="248"/>
        <v/>
      </c>
      <c r="V230" t="str">
        <f t="shared" si="249"/>
        <v/>
      </c>
      <c r="Y230" t="str">
        <f t="shared" ca="1" si="250"/>
        <v/>
      </c>
      <c r="Z230" t="str">
        <f t="shared" ca="1" si="251"/>
        <v/>
      </c>
      <c r="AA230" t="str">
        <f>IF( A230="","",IF(OR(F230="1",H230="1",I230="1"),"","COALESCE (CAST("&amp;A230&amp;" as varchar(" &amp; Options!$B$49&amp; ")),'')"))</f>
        <v/>
      </c>
      <c r="AB230" t="str">
        <f>IF(C230="string",  IF( A230="","",IF(OR(F230="1",H230="1",I230="1"),"","COALESCE (CAST(lower("&amp;A230&amp;") as varchar(" &amp;Options!$B$49 &amp; ")),'')")),AA230)</f>
        <v/>
      </c>
      <c r="AE230" t="str">
        <f t="shared" si="252"/>
        <v/>
      </c>
      <c r="AF230" t="str">
        <f>IF(AE230&lt;&gt;"", HELPER!$B$93 &amp;  "." &amp; AE230,"")</f>
        <v/>
      </c>
      <c r="AG230" t="str">
        <f>IF(AE230&lt;&gt;"", HELPER!$B$94 &amp; "." &amp; AE230,"")</f>
        <v/>
      </c>
      <c r="AH230" t="str">
        <f t="shared" si="253"/>
        <v/>
      </c>
      <c r="AN230" t="str">
        <f t="shared" si="254"/>
        <v/>
      </c>
      <c r="AO230" t="str">
        <f>IF(A230&lt;&gt;"", IF(OR(F230="1",H230="1",I230="1"),""," "&amp; HELPER!$B$94 &amp; "." &amp; A230),"")</f>
        <v/>
      </c>
      <c r="AP230" t="str">
        <f t="shared" si="255"/>
        <v/>
      </c>
      <c r="AS230" t="str">
        <f>IF(A230="","",  HELPER!$B$94 &amp;  "." &amp; A230)</f>
        <v/>
      </c>
      <c r="AT230" t="str">
        <f t="shared" si="256"/>
        <v/>
      </c>
      <c r="AU230" t="str">
        <f t="shared" si="257"/>
        <v/>
      </c>
      <c r="AX230" t="str">
        <f>IF(COLUMNS!J181="","","LEFT JOIN "&amp; Options!$B$23 &amp; "." &amp;  COLUMNS!J181 &amp; " ON ")</f>
        <v/>
      </c>
      <c r="AY230" t="str">
        <f t="shared" si="258"/>
        <v/>
      </c>
      <c r="BA230" t="str">
        <f>IF(AZ230="","", "CAST(" &amp; AZ230 &amp; " AS varchar(" &amp; Options!$B$49 &amp; "))")</f>
        <v/>
      </c>
      <c r="BB230" t="str">
        <f t="shared" ca="1" si="259"/>
        <v/>
      </c>
      <c r="BC230" t="str">
        <f t="shared" si="268"/>
        <v/>
      </c>
      <c r="BF230" t="str">
        <f t="shared" si="260"/>
        <v/>
      </c>
      <c r="BG230" t="str">
        <f t="shared" si="261"/>
        <v/>
      </c>
      <c r="BH230" s="285" t="str">
        <f t="shared" ca="1" si="269"/>
        <v/>
      </c>
      <c r="BJ230" t="str">
        <f t="shared" si="262"/>
        <v/>
      </c>
      <c r="BM230" t="str">
        <f t="shared" si="270"/>
        <v/>
      </c>
      <c r="BN230" t="str">
        <f t="shared" si="271"/>
        <v/>
      </c>
      <c r="BO230" t="str">
        <f t="shared" ca="1" si="263"/>
        <v/>
      </c>
      <c r="BR230" t="str">
        <f t="shared" si="264"/>
        <v/>
      </c>
      <c r="BS230" t="str">
        <f t="shared" ca="1" si="265"/>
        <v/>
      </c>
      <c r="BT230" t="str">
        <f t="shared" si="272"/>
        <v/>
      </c>
      <c r="BU230" t="str">
        <f t="shared" si="266"/>
        <v/>
      </c>
      <c r="BV230">
        <f t="shared" si="267"/>
        <v>0</v>
      </c>
    </row>
    <row r="231" spans="6:74">
      <c r="F231" s="164">
        <f t="shared" ca="1" si="273"/>
        <v>0</v>
      </c>
      <c r="G231" s="164" t="str">
        <f t="array" aca="1" ref="G231" ca="1">IF(TRIM(INDIRECT("Columns!D2"))="","",TRIM(INDIRECT("Columns!D2")))</f>
        <v/>
      </c>
      <c r="S231" t="str">
        <f t="shared" ref="S231:S262" si="274">IF(A231="","",A231 &amp; " " &amp; IF(C231="array&lt;varchar&gt;","array&lt;string&gt;",C231))</f>
        <v/>
      </c>
      <c r="V231" t="str">
        <f t="shared" ref="V231:V262" si="275">IF(A231="","",IF(F231&lt;&gt;"1",S231,""))</f>
        <v/>
      </c>
      <c r="Y231" t="str">
        <f t="shared" ref="Y231:Y262" ca="1" si="276">IF(F231="1",A231 &amp; " " &amp; C231,"" )</f>
        <v/>
      </c>
      <c r="Z231" t="str">
        <f t="shared" ref="Z231:Z262" ca="1" si="277">IF(F231="1",A231,"")</f>
        <v/>
      </c>
      <c r="AA231" t="str">
        <f>IF( A231="","",IF(OR(F231="1",H231="1",I231="1"),"","COALESCE (CAST("&amp;A231&amp;" as varchar(" &amp; Options!$B$49&amp; ")),'')"))</f>
        <v/>
      </c>
      <c r="AB231" t="str">
        <f>IF(C231="string",  IF( A231="","",IF(OR(F231="1",H231="1",I231="1"),"","COALESCE (CAST(lower("&amp;A231&amp;") as varchar(" &amp;Options!$B$49 &amp; ")),'')")),AA231)</f>
        <v/>
      </c>
      <c r="AE231" t="str">
        <f t="shared" ref="AE231:AE262" si="278">IF(H231="1",A231,"")</f>
        <v/>
      </c>
      <c r="AF231" t="str">
        <f>IF(AE231&lt;&gt;"", HELPER!$B$93 &amp;  "." &amp; AE231,"")</f>
        <v/>
      </c>
      <c r="AG231" t="str">
        <f>IF(AE231&lt;&gt;"", HELPER!$B$94 &amp; "." &amp; AE231,"")</f>
        <v/>
      </c>
      <c r="AH231" t="str">
        <f t="shared" ref="AH231:AH262" si="279">IF(AE231&lt;&gt;"",AF231&amp;" = "&amp;AU231,"")</f>
        <v/>
      </c>
      <c r="AN231" t="str">
        <f t="shared" ref="AN231:AN262" si="280">IF(A231="","", IF(OR(F231="1",H231="1",I231="1"),"", A231))</f>
        <v/>
      </c>
      <c r="AO231" t="str">
        <f>IF(A231&lt;&gt;"", IF(OR(F231="1",H231="1",I231="1"),""," "&amp; HELPER!$B$94 &amp; "." &amp; A231),"")</f>
        <v/>
      </c>
      <c r="AP231" t="str">
        <f t="shared" ref="AP231:AP262" si="281">IF(A231="","", IF(AN231="","",AN231 &amp; " = " &amp; AO231))</f>
        <v/>
      </c>
      <c r="AS231" t="str">
        <f>IF(A231="","",  HELPER!$B$94 &amp;  "." &amp; A231)</f>
        <v/>
      </c>
      <c r="AT231" t="str">
        <f t="shared" ref="AT231:AT262" si="282">IF(I231="1",A231,"")</f>
        <v/>
      </c>
      <c r="AU231" t="str">
        <f t="shared" ref="AU231:AU262" si="283">IF(C231="string","COALESCE(" &amp; AS231 &amp; ",'')",AS231)</f>
        <v/>
      </c>
      <c r="AX231" t="str">
        <f>IF(COLUMNS!J182="","","LEFT JOIN "&amp; Options!$B$23 &amp; "." &amp;  COLUMNS!J182 &amp; " ON ")</f>
        <v/>
      </c>
      <c r="AY231" t="str">
        <f t="shared" ref="AY231:AY262" si="284">IF(A231="","",IF(I231="1","", IF(B231="",A231, B231) &amp;" AS "&amp;A231))</f>
        <v/>
      </c>
      <c r="BA231" t="str">
        <f>IF(AZ231="","", "CAST(" &amp; AZ231 &amp; " AS varchar(" &amp; Options!$B$49 &amp; "))")</f>
        <v/>
      </c>
      <c r="BB231" t="str">
        <f t="shared" ref="BB231:BB262" ca="1" si="285">IF(F231="1",IF(B231="",A231,B231),"")</f>
        <v/>
      </c>
      <c r="BC231" t="str">
        <f>IF(AZ231="","","COALESCE(" &amp;  AZ231 &amp; "," &amp; IF(C231="string","''",0  ) &amp; ") AS " &amp; A231)</f>
        <v/>
      </c>
      <c r="BF231" t="str">
        <f t="shared" ref="BF231:BF262" si="286">IF(A231="","",IF(I231="1","",B231&amp;" AS "&amp;A231))</f>
        <v/>
      </c>
      <c r="BG231" t="str">
        <f t="shared" ref="BG231:BG267" si="287">IF(AT231="","",AT231 &amp; "=-1")</f>
        <v/>
      </c>
      <c r="BH231" s="285" t="str">
        <f ca="1">IF(G231="",   IF(B231="","","COALESCE(" &amp;  B231 &amp; "," &amp; IF(C231="string","''",0  ) &amp; ") AS " &amp; A231),G231 &amp; " AS " &amp;A231 )</f>
        <v/>
      </c>
      <c r="BJ231" t="str">
        <f t="shared" ref="BJ231:BJ262" si="288">IF(A231="","",IF(I231="1","-1",IF(C231="string","'missing'","0")))</f>
        <v/>
      </c>
      <c r="BM231" t="str">
        <f>IF(A231="","",IF(I231="1","",IF(C231&lt;&gt;D231,  IF(AND(D231="string",C231="timestamp"),"cast(from_iso8601_timestamp(" &amp; BO231 &amp; ") as timestamp) AS " &amp; A231, IF(AND(D231="string",C231="date"),"cast( from_iso8601_timestamp(" &amp; BO231 &amp;") as date) AS " &amp; A231,"")),BO231 &amp; " AS " &amp; A231)))</f>
        <v/>
      </c>
      <c r="BN231" t="str">
        <f>IF(A231="","",IF(I231="1","",IF(C231&lt;&gt;D231,  IF(AND(D231="string",C231="timestamp"),"cast(from_iso8601_timestamp(" &amp; BO231 &amp; ") as timestamp) AS " &amp; A231, IF(AND(D231="string",C231="date"),"cast( from_iso8601_timestamp(" &amp; BO231 &amp;") as date) AS " &amp; A231,"")),BO231 &amp; " AS " &amp; A231)))</f>
        <v/>
      </c>
      <c r="BO231" t="str">
        <f t="shared" ref="BO231:BO262" ca="1" si="289">IF(G231="", IF(B231="","","f." &amp; B231),G231)</f>
        <v/>
      </c>
      <c r="BR231" t="str">
        <f t="shared" ref="BR231:BR262" si="290">IF(M231&lt;&gt;"",A231 &amp; M231,"")</f>
        <v/>
      </c>
      <c r="BS231" t="str">
        <f t="shared" ref="BS231:BS262" ca="1" si="291">IF(F231="1",SUBSTITUTE(BR231,"'",""),"")</f>
        <v/>
      </c>
      <c r="BT231" t="str">
        <f>IF(N231="","", SUBSTITUTE(BR231,"[:date_yyyy_mm_dd]",  N231))</f>
        <v/>
      </c>
      <c r="BU231" t="str">
        <f t="shared" ref="BU231:BU262" si="292">IF(N231="","",SUBSTITUTE(BS231,"[:date_yyyy_mm_dd]",SUBSTITUTE(N231,"'","")))</f>
        <v/>
      </c>
      <c r="BV231">
        <f t="shared" ref="BV231:BV262" si="293">IF(A230="",0,1)</f>
        <v>0</v>
      </c>
    </row>
    <row r="232" spans="6:74">
      <c r="F232" s="164">
        <f t="shared" ca="1" si="273"/>
        <v>0</v>
      </c>
      <c r="G232" s="164" t="str">
        <f t="array" aca="1" ref="G232" ca="1">IF(TRIM(INDIRECT("Columns!D2"))="","",TRIM(INDIRECT("Columns!D2")))</f>
        <v/>
      </c>
      <c r="S232" t="str">
        <f t="shared" si="274"/>
        <v/>
      </c>
      <c r="V232" t="str">
        <f t="shared" si="275"/>
        <v/>
      </c>
      <c r="Y232" t="str">
        <f t="shared" ca="1" si="276"/>
        <v/>
      </c>
      <c r="Z232" t="str">
        <f t="shared" ca="1" si="277"/>
        <v/>
      </c>
      <c r="AA232" t="str">
        <f>IF( A232="","",IF(OR(F232="1",H232="1",I232="1"),"","COALESCE (CAST("&amp;A232&amp;" as varchar(" &amp; Options!$B$49&amp; ")),'')"))</f>
        <v/>
      </c>
      <c r="AB232" t="str">
        <f>IF(C232="string",  IF( A232="","",IF(OR(F232="1",H232="1",I232="1"),"","COALESCE (CAST(lower("&amp;A232&amp;") as varchar(" &amp;Options!$B$49 &amp; ")),'')")),AA232)</f>
        <v/>
      </c>
      <c r="AE232" t="str">
        <f t="shared" si="278"/>
        <v/>
      </c>
      <c r="AF232" t="str">
        <f>IF(AE232&lt;&gt;"", HELPER!$B$93 &amp;  "." &amp; AE232,"")</f>
        <v/>
      </c>
      <c r="AG232" t="str">
        <f>IF(AE232&lt;&gt;"", HELPER!$B$94 &amp; "." &amp; AE232,"")</f>
        <v/>
      </c>
      <c r="AH232" t="str">
        <f t="shared" si="279"/>
        <v/>
      </c>
      <c r="AN232" t="str">
        <f t="shared" si="280"/>
        <v/>
      </c>
      <c r="AO232" t="str">
        <f>IF(A232&lt;&gt;"", IF(OR(F232="1",H232="1",I232="1"),""," "&amp; HELPER!$B$94 &amp; "." &amp; A232),"")</f>
        <v/>
      </c>
      <c r="AP232" t="str">
        <f t="shared" si="281"/>
        <v/>
      </c>
      <c r="AS232" t="str">
        <f>IF(A232="","",  HELPER!$B$94 &amp;  "." &amp; A232)</f>
        <v/>
      </c>
      <c r="AT232" t="str">
        <f t="shared" si="282"/>
        <v/>
      </c>
      <c r="AU232" t="str">
        <f t="shared" si="283"/>
        <v/>
      </c>
      <c r="AX232" t="str">
        <f>IF(COLUMNS!J183="","","LEFT JOIN "&amp; Options!$B$23 &amp; "." &amp;  COLUMNS!J183 &amp; " ON ")</f>
        <v/>
      </c>
      <c r="AY232" t="str">
        <f t="shared" si="284"/>
        <v/>
      </c>
      <c r="BA232" t="str">
        <f>IF(AZ232="","", "CAST(" &amp; AZ232 &amp; " AS varchar(" &amp; Options!$B$49 &amp; "))")</f>
        <v/>
      </c>
      <c r="BB232" t="str">
        <f t="shared" ca="1" si="285"/>
        <v/>
      </c>
      <c r="BC232" t="str">
        <f t="shared" ref="BC232:BC262" si="294">IF(AZ232="","","COALESCE(" &amp; AZ232 &amp; "," &amp; IF(C232="string","''",0 ) &amp; ") AS " &amp; A232)</f>
        <v/>
      </c>
      <c r="BF232" t="str">
        <f t="shared" si="286"/>
        <v/>
      </c>
      <c r="BG232" t="str">
        <f t="shared" si="287"/>
        <v/>
      </c>
      <c r="BH232" s="285" t="str">
        <f t="shared" ref="BH232:BH263" ca="1" si="295">IF(G232="", IF(B232="","","COALESCE(" &amp; B232 &amp; "," &amp; IF(C232="string","''",0 ) &amp; ") AS " &amp; A232),G232 &amp; " AS " &amp;A232 )</f>
        <v/>
      </c>
      <c r="BJ232" t="str">
        <f t="shared" si="288"/>
        <v/>
      </c>
      <c r="BM232" t="str">
        <f t="shared" ref="BM232:BM262" si="296">IF(A232="","",IF(I232="1","",IF(C232&lt;&gt;D232, IF(AND(D232="string",C232="timestamp"),"cast(from_iso8601_timestamp(" &amp; BO232 &amp; ") as timestamp) AS " &amp; A232, IF(AND(D232="string",C232="date"),"cast( from_iso8601_timestamp(" &amp; BO232 &amp;") as date) AS " &amp; A232,"")),BO232 &amp; " AS " &amp; A232)))</f>
        <v/>
      </c>
      <c r="BN232" t="str">
        <f t="shared" ref="BN232:BN262" si="297">IF(A232="","",IF(I232="1","",IF(C232&lt;&gt;D232, IF(AND(D232="string",C232="timestamp"),"cast(from_iso8601_timestamp(" &amp; BO232 &amp; ") as timestamp) AS " &amp; A232, IF(AND(D232="string",C232="date"),"cast( from_iso8601_timestamp(" &amp; BO232 &amp;") as date) AS " &amp; A232,"")),BO232 &amp; " AS " &amp; A232)))</f>
        <v/>
      </c>
      <c r="BO232" t="str">
        <f t="shared" ca="1" si="289"/>
        <v/>
      </c>
      <c r="BR232" t="str">
        <f t="shared" si="290"/>
        <v/>
      </c>
      <c r="BS232" t="str">
        <f t="shared" ca="1" si="291"/>
        <v/>
      </c>
      <c r="BT232" t="str">
        <f t="shared" ref="BT232:BT262" si="298">IF(N232="","", SUBSTITUTE(BR232,"[:date_yyyy_mm_dd]", N232))</f>
        <v/>
      </c>
      <c r="BU232" t="str">
        <f t="shared" si="292"/>
        <v/>
      </c>
      <c r="BV232">
        <f t="shared" si="293"/>
        <v>0</v>
      </c>
    </row>
    <row r="233" spans="6:74">
      <c r="F233" s="164">
        <f t="shared" ca="1" si="273"/>
        <v>0</v>
      </c>
      <c r="G233" s="164" t="str">
        <f t="array" aca="1" ref="G233" ca="1">IF(TRIM(INDIRECT("Columns!D2"))="","",TRIM(INDIRECT("Columns!D2")))</f>
        <v/>
      </c>
      <c r="S233" t="str">
        <f t="shared" si="274"/>
        <v/>
      </c>
      <c r="V233" t="str">
        <f t="shared" si="275"/>
        <v/>
      </c>
      <c r="Y233" t="str">
        <f t="shared" ca="1" si="276"/>
        <v/>
      </c>
      <c r="Z233" t="str">
        <f t="shared" ca="1" si="277"/>
        <v/>
      </c>
      <c r="AA233" t="str">
        <f>IF( A233="","",IF(OR(F233="1",H233="1",I233="1"),"","COALESCE (CAST("&amp;A233&amp;" as varchar(" &amp; Options!$B$49&amp; ")),'')"))</f>
        <v/>
      </c>
      <c r="AB233" t="str">
        <f>IF(C233="string",  IF( A233="","",IF(OR(F233="1",H233="1",I233="1"),"","COALESCE (CAST(lower("&amp;A233&amp;") as varchar(" &amp;Options!$B$49 &amp; ")),'')")),AA233)</f>
        <v/>
      </c>
      <c r="AE233" t="str">
        <f t="shared" si="278"/>
        <v/>
      </c>
      <c r="AF233" t="str">
        <f>IF(AE233&lt;&gt;"", HELPER!$B$93 &amp;  "." &amp; AE233,"")</f>
        <v/>
      </c>
      <c r="AG233" t="str">
        <f>IF(AE233&lt;&gt;"", HELPER!$B$94 &amp; "." &amp; AE233,"")</f>
        <v/>
      </c>
      <c r="AH233" t="str">
        <f t="shared" si="279"/>
        <v/>
      </c>
      <c r="AN233" t="str">
        <f t="shared" si="280"/>
        <v/>
      </c>
      <c r="AO233" t="str">
        <f>IF(A233&lt;&gt;"", IF(OR(F233="1",H233="1",I233="1"),""," "&amp; HELPER!$B$94 &amp; "." &amp; A233),"")</f>
        <v/>
      </c>
      <c r="AP233" t="str">
        <f t="shared" si="281"/>
        <v/>
      </c>
      <c r="AS233" t="str">
        <f>IF(A233="","",  HELPER!$B$94 &amp;  "." &amp; A233)</f>
        <v/>
      </c>
      <c r="AT233" t="str">
        <f t="shared" si="282"/>
        <v/>
      </c>
      <c r="AU233" t="str">
        <f t="shared" si="283"/>
        <v/>
      </c>
      <c r="AX233" t="str">
        <f>IF(COLUMNS!J184="","","LEFT JOIN "&amp; Options!$B$23 &amp; "." &amp;  COLUMNS!J184 &amp; " ON ")</f>
        <v/>
      </c>
      <c r="AY233" t="str">
        <f t="shared" si="284"/>
        <v/>
      </c>
      <c r="BA233" t="str">
        <f>IF(AZ233="","", "CAST(" &amp; AZ233 &amp; " AS varchar(" &amp; Options!$B$49 &amp; "))")</f>
        <v/>
      </c>
      <c r="BB233" t="str">
        <f t="shared" ca="1" si="285"/>
        <v/>
      </c>
      <c r="BC233" t="str">
        <f t="shared" si="294"/>
        <v/>
      </c>
      <c r="BF233" t="str">
        <f t="shared" si="286"/>
        <v/>
      </c>
      <c r="BG233" t="str">
        <f t="shared" si="287"/>
        <v/>
      </c>
      <c r="BH233" s="285" t="str">
        <f t="shared" ca="1" si="295"/>
        <v/>
      </c>
      <c r="BJ233" t="str">
        <f t="shared" si="288"/>
        <v/>
      </c>
      <c r="BM233" t="str">
        <f t="shared" si="296"/>
        <v/>
      </c>
      <c r="BN233" t="str">
        <f t="shared" si="297"/>
        <v/>
      </c>
      <c r="BO233" t="str">
        <f t="shared" ca="1" si="289"/>
        <v/>
      </c>
      <c r="BR233" t="str">
        <f t="shared" si="290"/>
        <v/>
      </c>
      <c r="BS233" t="str">
        <f t="shared" ca="1" si="291"/>
        <v/>
      </c>
      <c r="BT233" t="str">
        <f t="shared" si="298"/>
        <v/>
      </c>
      <c r="BU233" t="str">
        <f t="shared" si="292"/>
        <v/>
      </c>
      <c r="BV233">
        <f t="shared" si="293"/>
        <v>0</v>
      </c>
    </row>
    <row r="234" spans="6:74">
      <c r="F234" s="164">
        <f t="shared" ca="1" si="273"/>
        <v>0</v>
      </c>
      <c r="G234" s="164" t="str">
        <f t="array" aca="1" ref="G234" ca="1">IF(TRIM(INDIRECT("Columns!D2"))="","",TRIM(INDIRECT("Columns!D2")))</f>
        <v/>
      </c>
      <c r="S234" t="str">
        <f t="shared" si="274"/>
        <v/>
      </c>
      <c r="V234" t="str">
        <f t="shared" si="275"/>
        <v/>
      </c>
      <c r="Y234" t="str">
        <f t="shared" ca="1" si="276"/>
        <v/>
      </c>
      <c r="Z234" t="str">
        <f t="shared" ca="1" si="277"/>
        <v/>
      </c>
      <c r="AA234" t="str">
        <f>IF( A234="","",IF(OR(F234="1",H234="1",I234="1"),"","COALESCE (CAST("&amp;A234&amp;" as varchar(" &amp; Options!$B$49&amp; ")),'')"))</f>
        <v/>
      </c>
      <c r="AB234" t="str">
        <f>IF(C234="string",  IF( A234="","",IF(OR(F234="1",H234="1",I234="1"),"","COALESCE (CAST(lower("&amp;A234&amp;") as varchar(" &amp;Options!$B$49 &amp; ")),'')")),AA234)</f>
        <v/>
      </c>
      <c r="AE234" t="str">
        <f t="shared" si="278"/>
        <v/>
      </c>
      <c r="AF234" t="str">
        <f>IF(AE234&lt;&gt;"", HELPER!$B$93 &amp;  "." &amp; AE234,"")</f>
        <v/>
      </c>
      <c r="AG234" t="str">
        <f>IF(AE234&lt;&gt;"", HELPER!$B$94 &amp; "." &amp; AE234,"")</f>
        <v/>
      </c>
      <c r="AH234" t="str">
        <f t="shared" si="279"/>
        <v/>
      </c>
      <c r="AN234" t="str">
        <f t="shared" si="280"/>
        <v/>
      </c>
      <c r="AO234" t="str">
        <f>IF(A234&lt;&gt;"", IF(OR(F234="1",H234="1",I234="1"),""," "&amp; HELPER!$B$94 &amp; "." &amp; A234),"")</f>
        <v/>
      </c>
      <c r="AP234" t="str">
        <f t="shared" si="281"/>
        <v/>
      </c>
      <c r="AS234" t="str">
        <f>IF(A234="","",  HELPER!$B$94 &amp;  "." &amp; A234)</f>
        <v/>
      </c>
      <c r="AT234" t="str">
        <f t="shared" si="282"/>
        <v/>
      </c>
      <c r="AU234" t="str">
        <f t="shared" si="283"/>
        <v/>
      </c>
      <c r="AX234" t="str">
        <f>IF(COLUMNS!J185="","","LEFT JOIN "&amp; Options!$B$23 &amp; "." &amp;  COLUMNS!J185 &amp; " ON ")</f>
        <v/>
      </c>
      <c r="AY234" t="str">
        <f t="shared" si="284"/>
        <v/>
      </c>
      <c r="BA234" t="str">
        <f>IF(AZ234="","", "CAST(" &amp; AZ234 &amp; " AS varchar(" &amp; Options!$B$49 &amp; "))")</f>
        <v/>
      </c>
      <c r="BB234" t="str">
        <f t="shared" ca="1" si="285"/>
        <v/>
      </c>
      <c r="BC234" t="str">
        <f t="shared" si="294"/>
        <v/>
      </c>
      <c r="BF234" t="str">
        <f t="shared" si="286"/>
        <v/>
      </c>
      <c r="BG234" t="str">
        <f t="shared" si="287"/>
        <v/>
      </c>
      <c r="BH234" s="285" t="str">
        <f t="shared" ca="1" si="295"/>
        <v/>
      </c>
      <c r="BJ234" t="str">
        <f t="shared" si="288"/>
        <v/>
      </c>
      <c r="BM234" t="str">
        <f t="shared" si="296"/>
        <v/>
      </c>
      <c r="BN234" t="str">
        <f t="shared" si="297"/>
        <v/>
      </c>
      <c r="BO234" t="str">
        <f t="shared" ca="1" si="289"/>
        <v/>
      </c>
      <c r="BR234" t="str">
        <f t="shared" si="290"/>
        <v/>
      </c>
      <c r="BS234" t="str">
        <f t="shared" ca="1" si="291"/>
        <v/>
      </c>
      <c r="BT234" t="str">
        <f t="shared" si="298"/>
        <v/>
      </c>
      <c r="BU234" t="str">
        <f t="shared" si="292"/>
        <v/>
      </c>
      <c r="BV234">
        <f t="shared" si="293"/>
        <v>0</v>
      </c>
    </row>
    <row r="235" spans="6:74">
      <c r="F235" s="164">
        <f t="shared" ca="1" si="273"/>
        <v>0</v>
      </c>
      <c r="G235" s="164" t="str">
        <f t="array" aca="1" ref="G235" ca="1">IF(TRIM(INDIRECT("Columns!D2"))="","",TRIM(INDIRECT("Columns!D2")))</f>
        <v/>
      </c>
      <c r="S235" t="str">
        <f t="shared" si="274"/>
        <v/>
      </c>
      <c r="V235" t="str">
        <f t="shared" si="275"/>
        <v/>
      </c>
      <c r="Y235" t="str">
        <f t="shared" ca="1" si="276"/>
        <v/>
      </c>
      <c r="Z235" t="str">
        <f t="shared" ca="1" si="277"/>
        <v/>
      </c>
      <c r="AA235" t="str">
        <f>IF( A235="","",IF(OR(F235="1",H235="1",I235="1"),"","COALESCE (CAST("&amp;A235&amp;" as varchar(" &amp; Options!$B$49&amp; ")),'')"))</f>
        <v/>
      </c>
      <c r="AB235" t="str">
        <f>IF(C235="string",  IF( A235="","",IF(OR(F235="1",H235="1",I235="1"),"","COALESCE (CAST(lower("&amp;A235&amp;") as varchar(" &amp;Options!$B$49 &amp; ")),'')")),AA235)</f>
        <v/>
      </c>
      <c r="AE235" t="str">
        <f t="shared" si="278"/>
        <v/>
      </c>
      <c r="AF235" t="str">
        <f>IF(AE235&lt;&gt;"", HELPER!$B$93 &amp;  "." &amp; AE235,"")</f>
        <v/>
      </c>
      <c r="AG235" t="str">
        <f>IF(AE235&lt;&gt;"", HELPER!$B$94 &amp; "." &amp; AE235,"")</f>
        <v/>
      </c>
      <c r="AH235" t="str">
        <f t="shared" si="279"/>
        <v/>
      </c>
      <c r="AN235" t="str">
        <f t="shared" si="280"/>
        <v/>
      </c>
      <c r="AO235" t="str">
        <f>IF(A235&lt;&gt;"", IF(OR(F235="1",H235="1",I235="1"),""," "&amp; HELPER!$B$94 &amp; "." &amp; A235),"")</f>
        <v/>
      </c>
      <c r="AP235" t="str">
        <f t="shared" si="281"/>
        <v/>
      </c>
      <c r="AS235" t="str">
        <f>IF(A235="","",  HELPER!$B$94 &amp;  "." &amp; A235)</f>
        <v/>
      </c>
      <c r="AT235" t="str">
        <f t="shared" si="282"/>
        <v/>
      </c>
      <c r="AU235" t="str">
        <f t="shared" si="283"/>
        <v/>
      </c>
      <c r="AX235" t="str">
        <f>IF(COLUMNS!J186="","","LEFT JOIN "&amp; Options!$B$23 &amp; "." &amp;  COLUMNS!J186 &amp; " ON ")</f>
        <v/>
      </c>
      <c r="AY235" t="str">
        <f t="shared" si="284"/>
        <v/>
      </c>
      <c r="BA235" t="str">
        <f>IF(AZ235="","", "CAST(" &amp; AZ235 &amp; " AS varchar(" &amp; Options!$B$49 &amp; "))")</f>
        <v/>
      </c>
      <c r="BB235" t="str">
        <f t="shared" ca="1" si="285"/>
        <v/>
      </c>
      <c r="BC235" t="str">
        <f t="shared" si="294"/>
        <v/>
      </c>
      <c r="BF235" t="str">
        <f t="shared" si="286"/>
        <v/>
      </c>
      <c r="BG235" t="str">
        <f t="shared" si="287"/>
        <v/>
      </c>
      <c r="BH235" s="285" t="str">
        <f t="shared" ca="1" si="295"/>
        <v/>
      </c>
      <c r="BJ235" t="str">
        <f t="shared" si="288"/>
        <v/>
      </c>
      <c r="BM235" t="str">
        <f t="shared" si="296"/>
        <v/>
      </c>
      <c r="BN235" t="str">
        <f t="shared" si="297"/>
        <v/>
      </c>
      <c r="BO235" t="str">
        <f t="shared" ca="1" si="289"/>
        <v/>
      </c>
      <c r="BR235" t="str">
        <f t="shared" si="290"/>
        <v/>
      </c>
      <c r="BS235" t="str">
        <f t="shared" ca="1" si="291"/>
        <v/>
      </c>
      <c r="BT235" t="str">
        <f t="shared" si="298"/>
        <v/>
      </c>
      <c r="BU235" t="str">
        <f t="shared" si="292"/>
        <v/>
      </c>
      <c r="BV235">
        <f t="shared" si="293"/>
        <v>0</v>
      </c>
    </row>
    <row r="236" spans="6:74">
      <c r="F236" s="164">
        <f t="shared" ca="1" si="273"/>
        <v>0</v>
      </c>
      <c r="G236" s="164" t="str">
        <f t="array" aca="1" ref="G236" ca="1">IF(TRIM(INDIRECT("Columns!D2"))="","",TRIM(INDIRECT("Columns!D2")))</f>
        <v/>
      </c>
      <c r="S236" t="str">
        <f t="shared" si="274"/>
        <v/>
      </c>
      <c r="V236" t="str">
        <f t="shared" si="275"/>
        <v/>
      </c>
      <c r="Y236" t="str">
        <f t="shared" ca="1" si="276"/>
        <v/>
      </c>
      <c r="Z236" t="str">
        <f t="shared" ca="1" si="277"/>
        <v/>
      </c>
      <c r="AA236" t="str">
        <f>IF( A236="","",IF(OR(F236="1",H236="1",I236="1"),"","COALESCE (CAST("&amp;A236&amp;" as varchar(" &amp; Options!$B$49&amp; ")),'')"))</f>
        <v/>
      </c>
      <c r="AB236" t="str">
        <f>IF(C236="string",  IF( A236="","",IF(OR(F236="1",H236="1",I236="1"),"","COALESCE (CAST(lower("&amp;A236&amp;") as varchar(" &amp;Options!$B$49 &amp; ")),'')")),AA236)</f>
        <v/>
      </c>
      <c r="AE236" t="str">
        <f t="shared" si="278"/>
        <v/>
      </c>
      <c r="AF236" t="str">
        <f>IF(AE236&lt;&gt;"", HELPER!$B$93 &amp;  "." &amp; AE236,"")</f>
        <v/>
      </c>
      <c r="AG236" t="str">
        <f>IF(AE236&lt;&gt;"", HELPER!$B$94 &amp; "." &amp; AE236,"")</f>
        <v/>
      </c>
      <c r="AH236" t="str">
        <f t="shared" si="279"/>
        <v/>
      </c>
      <c r="AN236" t="str">
        <f t="shared" si="280"/>
        <v/>
      </c>
      <c r="AO236" t="str">
        <f>IF(A236&lt;&gt;"", IF(OR(F236="1",H236="1",I236="1"),""," "&amp; HELPER!$B$94 &amp; "." &amp; A236),"")</f>
        <v/>
      </c>
      <c r="AP236" t="str">
        <f t="shared" si="281"/>
        <v/>
      </c>
      <c r="AS236" t="str">
        <f>IF(A236="","",  HELPER!$B$94 &amp;  "." &amp; A236)</f>
        <v/>
      </c>
      <c r="AT236" t="str">
        <f t="shared" si="282"/>
        <v/>
      </c>
      <c r="AU236" t="str">
        <f t="shared" si="283"/>
        <v/>
      </c>
      <c r="AX236" t="str">
        <f>IF(COLUMNS!J187="","","LEFT JOIN "&amp; Options!$B$23 &amp; "." &amp;  COLUMNS!J187 &amp; " ON ")</f>
        <v/>
      </c>
      <c r="AY236" t="str">
        <f t="shared" si="284"/>
        <v/>
      </c>
      <c r="BA236" t="str">
        <f>IF(AZ236="","", "CAST(" &amp; AZ236 &amp; " AS varchar(" &amp; Options!$B$49 &amp; "))")</f>
        <v/>
      </c>
      <c r="BB236" t="str">
        <f t="shared" ca="1" si="285"/>
        <v/>
      </c>
      <c r="BC236" t="str">
        <f t="shared" si="294"/>
        <v/>
      </c>
      <c r="BF236" t="str">
        <f t="shared" si="286"/>
        <v/>
      </c>
      <c r="BG236" t="str">
        <f t="shared" si="287"/>
        <v/>
      </c>
      <c r="BH236" s="285" t="str">
        <f t="shared" ca="1" si="295"/>
        <v/>
      </c>
      <c r="BJ236" t="str">
        <f t="shared" si="288"/>
        <v/>
      </c>
      <c r="BM236" t="str">
        <f t="shared" si="296"/>
        <v/>
      </c>
      <c r="BN236" t="str">
        <f t="shared" si="297"/>
        <v/>
      </c>
      <c r="BO236" t="str">
        <f t="shared" ca="1" si="289"/>
        <v/>
      </c>
      <c r="BR236" t="str">
        <f t="shared" si="290"/>
        <v/>
      </c>
      <c r="BS236" t="str">
        <f t="shared" ca="1" si="291"/>
        <v/>
      </c>
      <c r="BT236" t="str">
        <f t="shared" si="298"/>
        <v/>
      </c>
      <c r="BU236" t="str">
        <f t="shared" si="292"/>
        <v/>
      </c>
      <c r="BV236">
        <f t="shared" si="293"/>
        <v>0</v>
      </c>
    </row>
    <row r="237" spans="6:74">
      <c r="F237" s="164">
        <f t="shared" ca="1" si="273"/>
        <v>0</v>
      </c>
      <c r="G237" s="164" t="str">
        <f t="array" aca="1" ref="G237" ca="1">IF(TRIM(INDIRECT("Columns!D2"))="","",TRIM(INDIRECT("Columns!D2")))</f>
        <v/>
      </c>
      <c r="S237" t="str">
        <f t="shared" si="274"/>
        <v/>
      </c>
      <c r="V237" t="str">
        <f t="shared" si="275"/>
        <v/>
      </c>
      <c r="Y237" t="str">
        <f t="shared" ca="1" si="276"/>
        <v/>
      </c>
      <c r="Z237" t="str">
        <f t="shared" ca="1" si="277"/>
        <v/>
      </c>
      <c r="AA237" t="str">
        <f>IF( A237="","",IF(OR(F237="1",H237="1",I237="1"),"","COALESCE (CAST("&amp;A237&amp;" as varchar(" &amp; Options!$B$49&amp; ")),'')"))</f>
        <v/>
      </c>
      <c r="AB237" t="str">
        <f>IF(C237="string",  IF( A237="","",IF(OR(F237="1",H237="1",I237="1"),"","COALESCE (CAST(lower("&amp;A237&amp;") as varchar(" &amp;Options!$B$49 &amp; ")),'')")),AA237)</f>
        <v/>
      </c>
      <c r="AE237" t="str">
        <f t="shared" si="278"/>
        <v/>
      </c>
      <c r="AF237" t="str">
        <f>IF(AE237&lt;&gt;"", HELPER!$B$93 &amp;  "." &amp; AE237,"")</f>
        <v/>
      </c>
      <c r="AG237" t="str">
        <f>IF(AE237&lt;&gt;"", HELPER!$B$94 &amp; "." &amp; AE237,"")</f>
        <v/>
      </c>
      <c r="AH237" t="str">
        <f t="shared" si="279"/>
        <v/>
      </c>
      <c r="AN237" t="str">
        <f t="shared" si="280"/>
        <v/>
      </c>
      <c r="AO237" t="str">
        <f>IF(A237&lt;&gt;"", IF(OR(F237="1",H237="1",I237="1"),""," "&amp; HELPER!$B$94 &amp; "." &amp; A237),"")</f>
        <v/>
      </c>
      <c r="AP237" t="str">
        <f t="shared" si="281"/>
        <v/>
      </c>
      <c r="AS237" t="str">
        <f>IF(A237="","",  HELPER!$B$94 &amp;  "." &amp; A237)</f>
        <v/>
      </c>
      <c r="AT237" t="str">
        <f t="shared" si="282"/>
        <v/>
      </c>
      <c r="AU237" t="str">
        <f t="shared" si="283"/>
        <v/>
      </c>
      <c r="AX237" t="str">
        <f>IF(COLUMNS!J188="","","LEFT JOIN "&amp; Options!$B$23 &amp; "." &amp;  COLUMNS!J188 &amp; " ON ")</f>
        <v/>
      </c>
      <c r="AY237" t="str">
        <f t="shared" si="284"/>
        <v/>
      </c>
      <c r="BA237" t="str">
        <f>IF(AZ237="","", "CAST(" &amp; AZ237 &amp; " AS varchar(" &amp; Options!$B$49 &amp; "))")</f>
        <v/>
      </c>
      <c r="BB237" t="str">
        <f t="shared" ca="1" si="285"/>
        <v/>
      </c>
      <c r="BC237" t="str">
        <f t="shared" si="294"/>
        <v/>
      </c>
      <c r="BF237" t="str">
        <f t="shared" si="286"/>
        <v/>
      </c>
      <c r="BG237" t="str">
        <f t="shared" si="287"/>
        <v/>
      </c>
      <c r="BH237" s="285" t="str">
        <f t="shared" ca="1" si="295"/>
        <v/>
      </c>
      <c r="BJ237" t="str">
        <f t="shared" si="288"/>
        <v/>
      </c>
      <c r="BM237" t="str">
        <f t="shared" si="296"/>
        <v/>
      </c>
      <c r="BN237" t="str">
        <f t="shared" si="297"/>
        <v/>
      </c>
      <c r="BO237" t="str">
        <f t="shared" ca="1" si="289"/>
        <v/>
      </c>
      <c r="BR237" t="str">
        <f t="shared" si="290"/>
        <v/>
      </c>
      <c r="BS237" t="str">
        <f t="shared" ca="1" si="291"/>
        <v/>
      </c>
      <c r="BT237" t="str">
        <f t="shared" si="298"/>
        <v/>
      </c>
      <c r="BU237" t="str">
        <f t="shared" si="292"/>
        <v/>
      </c>
      <c r="BV237">
        <f t="shared" si="293"/>
        <v>0</v>
      </c>
    </row>
    <row r="238" spans="6:74">
      <c r="F238" s="164">
        <f t="shared" ca="1" si="273"/>
        <v>0</v>
      </c>
      <c r="G238" s="164" t="str">
        <f t="array" aca="1" ref="G238" ca="1">IF(TRIM(INDIRECT("Columns!D2"))="","",TRIM(INDIRECT("Columns!D2")))</f>
        <v/>
      </c>
      <c r="S238" t="str">
        <f t="shared" si="274"/>
        <v/>
      </c>
      <c r="V238" t="str">
        <f t="shared" si="275"/>
        <v/>
      </c>
      <c r="Y238" t="str">
        <f t="shared" ca="1" si="276"/>
        <v/>
      </c>
      <c r="Z238" t="str">
        <f t="shared" ca="1" si="277"/>
        <v/>
      </c>
      <c r="AA238" t="str">
        <f>IF( A238="","",IF(OR(F238="1",H238="1",I238="1"),"","COALESCE (CAST("&amp;A238&amp;" as varchar(" &amp; Options!$B$49&amp; ")),'')"))</f>
        <v/>
      </c>
      <c r="AB238" t="str">
        <f>IF(C238="string",  IF( A238="","",IF(OR(F238="1",H238="1",I238="1"),"","COALESCE (CAST(lower("&amp;A238&amp;") as varchar(" &amp;Options!$B$49 &amp; ")),'')")),AA238)</f>
        <v/>
      </c>
      <c r="AE238" t="str">
        <f t="shared" si="278"/>
        <v/>
      </c>
      <c r="AF238" t="str">
        <f>IF(AE238&lt;&gt;"", HELPER!$B$93 &amp;  "." &amp; AE238,"")</f>
        <v/>
      </c>
      <c r="AG238" t="str">
        <f>IF(AE238&lt;&gt;"", HELPER!$B$94 &amp; "." &amp; AE238,"")</f>
        <v/>
      </c>
      <c r="AH238" t="str">
        <f t="shared" si="279"/>
        <v/>
      </c>
      <c r="AN238" t="str">
        <f t="shared" si="280"/>
        <v/>
      </c>
      <c r="AO238" t="str">
        <f>IF(A238&lt;&gt;"", IF(OR(F238="1",H238="1",I238="1"),""," "&amp; HELPER!$B$94 &amp; "." &amp; A238),"")</f>
        <v/>
      </c>
      <c r="AP238" t="str">
        <f t="shared" si="281"/>
        <v/>
      </c>
      <c r="AS238" t="str">
        <f>IF(A238="","",  HELPER!$B$94 &amp;  "." &amp; A238)</f>
        <v/>
      </c>
      <c r="AT238" t="str">
        <f t="shared" si="282"/>
        <v/>
      </c>
      <c r="AU238" t="str">
        <f t="shared" si="283"/>
        <v/>
      </c>
      <c r="AX238" t="str">
        <f>IF(COLUMNS!J189="","","LEFT JOIN "&amp; Options!$B$23 &amp; "." &amp;  COLUMNS!J189 &amp; " ON ")</f>
        <v/>
      </c>
      <c r="AY238" t="str">
        <f t="shared" si="284"/>
        <v/>
      </c>
      <c r="BA238" t="str">
        <f>IF(AZ238="","", "CAST(" &amp; AZ238 &amp; " AS varchar(" &amp; Options!$B$49 &amp; "))")</f>
        <v/>
      </c>
      <c r="BB238" t="str">
        <f t="shared" ca="1" si="285"/>
        <v/>
      </c>
      <c r="BC238" t="str">
        <f t="shared" si="294"/>
        <v/>
      </c>
      <c r="BF238" t="str">
        <f t="shared" si="286"/>
        <v/>
      </c>
      <c r="BG238" t="str">
        <f t="shared" si="287"/>
        <v/>
      </c>
      <c r="BH238" s="285" t="str">
        <f t="shared" ca="1" si="295"/>
        <v/>
      </c>
      <c r="BJ238" t="str">
        <f t="shared" si="288"/>
        <v/>
      </c>
      <c r="BM238" t="str">
        <f t="shared" si="296"/>
        <v/>
      </c>
      <c r="BN238" t="str">
        <f t="shared" si="297"/>
        <v/>
      </c>
      <c r="BO238" t="str">
        <f t="shared" ca="1" si="289"/>
        <v/>
      </c>
      <c r="BR238" t="str">
        <f t="shared" si="290"/>
        <v/>
      </c>
      <c r="BS238" t="str">
        <f t="shared" ca="1" si="291"/>
        <v/>
      </c>
      <c r="BT238" t="str">
        <f t="shared" si="298"/>
        <v/>
      </c>
      <c r="BU238" t="str">
        <f t="shared" si="292"/>
        <v/>
      </c>
      <c r="BV238">
        <f t="shared" si="293"/>
        <v>0</v>
      </c>
    </row>
    <row r="239" spans="6:74">
      <c r="F239" s="164">
        <f t="shared" ca="1" si="273"/>
        <v>0</v>
      </c>
      <c r="G239" s="164" t="str">
        <f t="array" aca="1" ref="G239" ca="1">IF(TRIM(INDIRECT("Columns!D2"))="","",TRIM(INDIRECT("Columns!D2")))</f>
        <v/>
      </c>
      <c r="S239" t="str">
        <f t="shared" si="274"/>
        <v/>
      </c>
      <c r="V239" t="str">
        <f t="shared" si="275"/>
        <v/>
      </c>
      <c r="Y239" t="str">
        <f t="shared" ca="1" si="276"/>
        <v/>
      </c>
      <c r="Z239" t="str">
        <f t="shared" ca="1" si="277"/>
        <v/>
      </c>
      <c r="AA239" t="str">
        <f>IF( A239="","",IF(OR(F239="1",H239="1",I239="1"),"","COALESCE (CAST("&amp;A239&amp;" as varchar(" &amp; Options!$B$49&amp; ")),'')"))</f>
        <v/>
      </c>
      <c r="AB239" t="str">
        <f>IF(C239="string",  IF( A239="","",IF(OR(F239="1",H239="1",I239="1"),"","COALESCE (CAST(lower("&amp;A239&amp;") as varchar(" &amp;Options!$B$49 &amp; ")),'')")),AA239)</f>
        <v/>
      </c>
      <c r="AE239" t="str">
        <f t="shared" si="278"/>
        <v/>
      </c>
      <c r="AF239" t="str">
        <f>IF(AE239&lt;&gt;"", HELPER!$B$93 &amp;  "." &amp; AE239,"")</f>
        <v/>
      </c>
      <c r="AG239" t="str">
        <f>IF(AE239&lt;&gt;"", HELPER!$B$94 &amp; "." &amp; AE239,"")</f>
        <v/>
      </c>
      <c r="AH239" t="str">
        <f t="shared" si="279"/>
        <v/>
      </c>
      <c r="AN239" t="str">
        <f t="shared" si="280"/>
        <v/>
      </c>
      <c r="AO239" t="str">
        <f>IF(A239&lt;&gt;"", IF(OR(F239="1",H239="1",I239="1"),""," "&amp; HELPER!$B$94 &amp; "." &amp; A239),"")</f>
        <v/>
      </c>
      <c r="AP239" t="str">
        <f t="shared" si="281"/>
        <v/>
      </c>
      <c r="AS239" t="str">
        <f>IF(A239="","",  HELPER!$B$94 &amp;  "." &amp; A239)</f>
        <v/>
      </c>
      <c r="AT239" t="str">
        <f t="shared" si="282"/>
        <v/>
      </c>
      <c r="AU239" t="str">
        <f t="shared" si="283"/>
        <v/>
      </c>
      <c r="AX239" t="str">
        <f>IF(COLUMNS!J190="","","LEFT JOIN "&amp; Options!$B$23 &amp; "." &amp;  COLUMNS!J190 &amp; " ON ")</f>
        <v/>
      </c>
      <c r="AY239" t="str">
        <f t="shared" si="284"/>
        <v/>
      </c>
      <c r="BA239" t="str">
        <f>IF(AZ239="","", "CAST(" &amp; AZ239 &amp; " AS varchar(" &amp; Options!$B$49 &amp; "))")</f>
        <v/>
      </c>
      <c r="BB239" t="str">
        <f t="shared" ca="1" si="285"/>
        <v/>
      </c>
      <c r="BC239" t="str">
        <f t="shared" si="294"/>
        <v/>
      </c>
      <c r="BF239" t="str">
        <f t="shared" si="286"/>
        <v/>
      </c>
      <c r="BG239" t="str">
        <f t="shared" si="287"/>
        <v/>
      </c>
      <c r="BH239" s="285" t="str">
        <f t="shared" ca="1" si="295"/>
        <v/>
      </c>
      <c r="BJ239" t="str">
        <f t="shared" si="288"/>
        <v/>
      </c>
      <c r="BM239" t="str">
        <f t="shared" si="296"/>
        <v/>
      </c>
      <c r="BN239" t="str">
        <f t="shared" si="297"/>
        <v/>
      </c>
      <c r="BO239" t="str">
        <f t="shared" ca="1" si="289"/>
        <v/>
      </c>
      <c r="BR239" t="str">
        <f t="shared" si="290"/>
        <v/>
      </c>
      <c r="BS239" t="str">
        <f t="shared" ca="1" si="291"/>
        <v/>
      </c>
      <c r="BT239" t="str">
        <f t="shared" si="298"/>
        <v/>
      </c>
      <c r="BU239" t="str">
        <f t="shared" si="292"/>
        <v/>
      </c>
      <c r="BV239">
        <f t="shared" si="293"/>
        <v>0</v>
      </c>
    </row>
    <row r="240" spans="6:74">
      <c r="F240" s="164">
        <f t="shared" ca="1" si="273"/>
        <v>0</v>
      </c>
      <c r="G240" s="164" t="str">
        <f t="array" aca="1" ref="G240" ca="1">IF(TRIM(INDIRECT("Columns!D2"))="","",TRIM(INDIRECT("Columns!D2")))</f>
        <v/>
      </c>
      <c r="S240" t="str">
        <f t="shared" si="274"/>
        <v/>
      </c>
      <c r="V240" t="str">
        <f t="shared" si="275"/>
        <v/>
      </c>
      <c r="Y240" t="str">
        <f t="shared" ca="1" si="276"/>
        <v/>
      </c>
      <c r="Z240" t="str">
        <f t="shared" ca="1" si="277"/>
        <v/>
      </c>
      <c r="AA240" t="str">
        <f>IF( A240="","",IF(OR(F240="1",H240="1",I240="1"),"","COALESCE (CAST("&amp;A240&amp;" as varchar(" &amp; Options!$B$49&amp; ")),'')"))</f>
        <v/>
      </c>
      <c r="AB240" t="str">
        <f>IF(C240="string",  IF( A240="","",IF(OR(F240="1",H240="1",I240="1"),"","COALESCE (CAST(lower("&amp;A240&amp;") as varchar(" &amp;Options!$B$49 &amp; ")),'')")),AA240)</f>
        <v/>
      </c>
      <c r="AE240" t="str">
        <f t="shared" si="278"/>
        <v/>
      </c>
      <c r="AF240" t="str">
        <f>IF(AE240&lt;&gt;"", HELPER!$B$93 &amp;  "." &amp; AE240,"")</f>
        <v/>
      </c>
      <c r="AG240" t="str">
        <f>IF(AE240&lt;&gt;"", HELPER!$B$94 &amp; "." &amp; AE240,"")</f>
        <v/>
      </c>
      <c r="AH240" t="str">
        <f t="shared" si="279"/>
        <v/>
      </c>
      <c r="AN240" t="str">
        <f t="shared" si="280"/>
        <v/>
      </c>
      <c r="AO240" t="str">
        <f>IF(A240&lt;&gt;"", IF(OR(F240="1",H240="1",I240="1"),""," "&amp; HELPER!$B$94 &amp; "." &amp; A240),"")</f>
        <v/>
      </c>
      <c r="AP240" t="str">
        <f t="shared" si="281"/>
        <v/>
      </c>
      <c r="AS240" t="str">
        <f>IF(A240="","",  HELPER!$B$94 &amp;  "." &amp; A240)</f>
        <v/>
      </c>
      <c r="AT240" t="str">
        <f t="shared" si="282"/>
        <v/>
      </c>
      <c r="AU240" t="str">
        <f t="shared" si="283"/>
        <v/>
      </c>
      <c r="AX240" t="str">
        <f>IF(COLUMNS!J191="","","LEFT JOIN "&amp; Options!$B$23 &amp; "." &amp;  COLUMNS!J191 &amp; " ON ")</f>
        <v/>
      </c>
      <c r="AY240" t="str">
        <f t="shared" si="284"/>
        <v/>
      </c>
      <c r="BA240" t="str">
        <f>IF(AZ240="","", "CAST(" &amp; AZ240 &amp; " AS varchar(" &amp; Options!$B$49 &amp; "))")</f>
        <v/>
      </c>
      <c r="BB240" t="str">
        <f t="shared" ca="1" si="285"/>
        <v/>
      </c>
      <c r="BC240" t="str">
        <f t="shared" si="294"/>
        <v/>
      </c>
      <c r="BF240" t="str">
        <f t="shared" si="286"/>
        <v/>
      </c>
      <c r="BG240" t="str">
        <f t="shared" si="287"/>
        <v/>
      </c>
      <c r="BH240" s="285" t="str">
        <f t="shared" ca="1" si="295"/>
        <v/>
      </c>
      <c r="BJ240" t="str">
        <f t="shared" si="288"/>
        <v/>
      </c>
      <c r="BM240" t="str">
        <f t="shared" si="296"/>
        <v/>
      </c>
      <c r="BN240" t="str">
        <f t="shared" si="297"/>
        <v/>
      </c>
      <c r="BO240" t="str">
        <f t="shared" ca="1" si="289"/>
        <v/>
      </c>
      <c r="BR240" t="str">
        <f t="shared" si="290"/>
        <v/>
      </c>
      <c r="BS240" t="str">
        <f t="shared" ca="1" si="291"/>
        <v/>
      </c>
      <c r="BT240" t="str">
        <f t="shared" si="298"/>
        <v/>
      </c>
      <c r="BU240" t="str">
        <f t="shared" si="292"/>
        <v/>
      </c>
      <c r="BV240">
        <f t="shared" si="293"/>
        <v>0</v>
      </c>
    </row>
    <row r="241" spans="6:74">
      <c r="F241" s="164">
        <f t="shared" ca="1" si="273"/>
        <v>0</v>
      </c>
      <c r="G241" s="164" t="str">
        <f t="array" aca="1" ref="G241" ca="1">IF(TRIM(INDIRECT("Columns!D2"))="","",TRIM(INDIRECT("Columns!D2")))</f>
        <v/>
      </c>
      <c r="S241" t="str">
        <f t="shared" si="274"/>
        <v/>
      </c>
      <c r="V241" t="str">
        <f t="shared" si="275"/>
        <v/>
      </c>
      <c r="Y241" t="str">
        <f t="shared" ca="1" si="276"/>
        <v/>
      </c>
      <c r="Z241" t="str">
        <f t="shared" ca="1" si="277"/>
        <v/>
      </c>
      <c r="AA241" t="str">
        <f>IF( A241="","",IF(OR(F241="1",H241="1",I241="1"),"","COALESCE (CAST("&amp;A241&amp;" as varchar(" &amp; Options!$B$49&amp; ")),'')"))</f>
        <v/>
      </c>
      <c r="AB241" t="str">
        <f>IF(C241="string",  IF( A241="","",IF(OR(F241="1",H241="1",I241="1"),"","COALESCE (CAST(lower("&amp;A241&amp;") as varchar(" &amp;Options!$B$49 &amp; ")),'')")),AA241)</f>
        <v/>
      </c>
      <c r="AE241" t="str">
        <f t="shared" si="278"/>
        <v/>
      </c>
      <c r="AF241" t="str">
        <f>IF(AE241&lt;&gt;"", HELPER!$B$93 &amp;  "." &amp; AE241,"")</f>
        <v/>
      </c>
      <c r="AG241" t="str">
        <f>IF(AE241&lt;&gt;"", HELPER!$B$94 &amp; "." &amp; AE241,"")</f>
        <v/>
      </c>
      <c r="AH241" t="str">
        <f t="shared" si="279"/>
        <v/>
      </c>
      <c r="AN241" t="str">
        <f t="shared" si="280"/>
        <v/>
      </c>
      <c r="AO241" t="str">
        <f>IF(A241&lt;&gt;"", IF(OR(F241="1",H241="1",I241="1"),""," "&amp; HELPER!$B$94 &amp; "." &amp; A241),"")</f>
        <v/>
      </c>
      <c r="AP241" t="str">
        <f t="shared" si="281"/>
        <v/>
      </c>
      <c r="AS241" t="str">
        <f>IF(A241="","",  HELPER!$B$94 &amp;  "." &amp; A241)</f>
        <v/>
      </c>
      <c r="AT241" t="str">
        <f t="shared" si="282"/>
        <v/>
      </c>
      <c r="AU241" t="str">
        <f t="shared" si="283"/>
        <v/>
      </c>
      <c r="AX241" t="str">
        <f>IF(COLUMNS!J192="","","LEFT JOIN "&amp; Options!$B$23 &amp; "." &amp;  COLUMNS!J192 &amp; " ON ")</f>
        <v/>
      </c>
      <c r="AY241" t="str">
        <f t="shared" si="284"/>
        <v/>
      </c>
      <c r="BA241" t="str">
        <f>IF(AZ241="","", "CAST(" &amp; AZ241 &amp; " AS varchar(" &amp; Options!$B$49 &amp; "))")</f>
        <v/>
      </c>
      <c r="BB241" t="str">
        <f t="shared" ca="1" si="285"/>
        <v/>
      </c>
      <c r="BC241" t="str">
        <f t="shared" si="294"/>
        <v/>
      </c>
      <c r="BF241" t="str">
        <f t="shared" si="286"/>
        <v/>
      </c>
      <c r="BG241" t="str">
        <f t="shared" si="287"/>
        <v/>
      </c>
      <c r="BH241" s="285" t="str">
        <f t="shared" ca="1" si="295"/>
        <v/>
      </c>
      <c r="BJ241" t="str">
        <f t="shared" si="288"/>
        <v/>
      </c>
      <c r="BM241" t="str">
        <f t="shared" si="296"/>
        <v/>
      </c>
      <c r="BN241" t="str">
        <f t="shared" si="297"/>
        <v/>
      </c>
      <c r="BO241" t="str">
        <f t="shared" ca="1" si="289"/>
        <v/>
      </c>
      <c r="BR241" t="str">
        <f t="shared" si="290"/>
        <v/>
      </c>
      <c r="BS241" t="str">
        <f t="shared" ca="1" si="291"/>
        <v/>
      </c>
      <c r="BT241" t="str">
        <f t="shared" si="298"/>
        <v/>
      </c>
      <c r="BU241" t="str">
        <f t="shared" si="292"/>
        <v/>
      </c>
      <c r="BV241">
        <f t="shared" si="293"/>
        <v>0</v>
      </c>
    </row>
    <row r="242" spans="6:74">
      <c r="F242" s="164">
        <f t="shared" ca="1" si="273"/>
        <v>0</v>
      </c>
      <c r="G242" s="164" t="str">
        <f t="array" aca="1" ref="G242" ca="1">IF(TRIM(INDIRECT("Columns!D2"))="","",TRIM(INDIRECT("Columns!D2")))</f>
        <v/>
      </c>
      <c r="S242" t="str">
        <f t="shared" si="274"/>
        <v/>
      </c>
      <c r="V242" t="str">
        <f t="shared" si="275"/>
        <v/>
      </c>
      <c r="Y242" t="str">
        <f t="shared" ca="1" si="276"/>
        <v/>
      </c>
      <c r="Z242" t="str">
        <f t="shared" ca="1" si="277"/>
        <v/>
      </c>
      <c r="AA242" t="str">
        <f>IF( A242="","",IF(OR(F242="1",H242="1",I242="1"),"","COALESCE (CAST("&amp;A242&amp;" as varchar(" &amp; Options!$B$49&amp; ")),'')"))</f>
        <v/>
      </c>
      <c r="AB242" t="str">
        <f>IF(C242="string",  IF( A242="","",IF(OR(F242="1",H242="1",I242="1"),"","COALESCE (CAST(lower("&amp;A242&amp;") as varchar(" &amp;Options!$B$49 &amp; ")),'')")),AA242)</f>
        <v/>
      </c>
      <c r="AE242" t="str">
        <f t="shared" si="278"/>
        <v/>
      </c>
      <c r="AF242" t="str">
        <f>IF(AE242&lt;&gt;"", HELPER!$B$93 &amp;  "." &amp; AE242,"")</f>
        <v/>
      </c>
      <c r="AG242" t="str">
        <f>IF(AE242&lt;&gt;"", HELPER!$B$94 &amp; "." &amp; AE242,"")</f>
        <v/>
      </c>
      <c r="AH242" t="str">
        <f t="shared" si="279"/>
        <v/>
      </c>
      <c r="AN242" t="str">
        <f t="shared" si="280"/>
        <v/>
      </c>
      <c r="AO242" t="str">
        <f>IF(A242&lt;&gt;"", IF(OR(F242="1",H242="1",I242="1"),""," "&amp; HELPER!$B$94 &amp; "." &amp; A242),"")</f>
        <v/>
      </c>
      <c r="AP242" t="str">
        <f t="shared" si="281"/>
        <v/>
      </c>
      <c r="AS242" t="str">
        <f>IF(A242="","",  HELPER!$B$94 &amp;  "." &amp; A242)</f>
        <v/>
      </c>
      <c r="AT242" t="str">
        <f t="shared" si="282"/>
        <v/>
      </c>
      <c r="AU242" t="str">
        <f t="shared" si="283"/>
        <v/>
      </c>
      <c r="AX242" t="str">
        <f>IF(COLUMNS!J193="","","LEFT JOIN "&amp; Options!$B$23 &amp; "." &amp;  COLUMNS!J193 &amp; " ON ")</f>
        <v/>
      </c>
      <c r="AY242" t="str">
        <f t="shared" si="284"/>
        <v/>
      </c>
      <c r="BA242" t="str">
        <f>IF(AZ242="","", "CAST(" &amp; AZ242 &amp; " AS varchar(" &amp; Options!$B$49 &amp; "))")</f>
        <v/>
      </c>
      <c r="BB242" t="str">
        <f t="shared" ca="1" si="285"/>
        <v/>
      </c>
      <c r="BC242" t="str">
        <f t="shared" si="294"/>
        <v/>
      </c>
      <c r="BF242" t="str">
        <f t="shared" si="286"/>
        <v/>
      </c>
      <c r="BG242" t="str">
        <f t="shared" si="287"/>
        <v/>
      </c>
      <c r="BH242" s="285" t="str">
        <f t="shared" ca="1" si="295"/>
        <v/>
      </c>
      <c r="BJ242" t="str">
        <f t="shared" si="288"/>
        <v/>
      </c>
      <c r="BM242" t="str">
        <f t="shared" si="296"/>
        <v/>
      </c>
      <c r="BN242" t="str">
        <f t="shared" si="297"/>
        <v/>
      </c>
      <c r="BO242" t="str">
        <f t="shared" ca="1" si="289"/>
        <v/>
      </c>
      <c r="BR242" t="str">
        <f t="shared" si="290"/>
        <v/>
      </c>
      <c r="BS242" t="str">
        <f t="shared" ca="1" si="291"/>
        <v/>
      </c>
      <c r="BT242" t="str">
        <f t="shared" si="298"/>
        <v/>
      </c>
      <c r="BU242" t="str">
        <f t="shared" si="292"/>
        <v/>
      </c>
      <c r="BV242">
        <f t="shared" si="293"/>
        <v>0</v>
      </c>
    </row>
    <row r="243" spans="6:74">
      <c r="F243" s="164">
        <f t="shared" ca="1" si="273"/>
        <v>0</v>
      </c>
      <c r="G243" s="164" t="str">
        <f t="array" aca="1" ref="G243" ca="1">IF(TRIM(INDIRECT("Columns!D2"))="","",TRIM(INDIRECT("Columns!D2")))</f>
        <v/>
      </c>
      <c r="S243" t="str">
        <f t="shared" si="274"/>
        <v/>
      </c>
      <c r="V243" t="str">
        <f t="shared" si="275"/>
        <v/>
      </c>
      <c r="Y243" t="str">
        <f t="shared" ca="1" si="276"/>
        <v/>
      </c>
      <c r="Z243" t="str">
        <f t="shared" ca="1" si="277"/>
        <v/>
      </c>
      <c r="AA243" t="str">
        <f>IF( A243="","",IF(OR(F243="1",H243="1",I243="1"),"","COALESCE (CAST("&amp;A243&amp;" as varchar(" &amp; Options!$B$49&amp; ")),'')"))</f>
        <v/>
      </c>
      <c r="AB243" t="str">
        <f>IF(C243="string",  IF( A243="","",IF(OR(F243="1",H243="1",I243="1"),"","COALESCE (CAST(lower("&amp;A243&amp;") as varchar(" &amp;Options!$B$49 &amp; ")),'')")),AA243)</f>
        <v/>
      </c>
      <c r="AE243" t="str">
        <f t="shared" si="278"/>
        <v/>
      </c>
      <c r="AF243" t="str">
        <f>IF(AE243&lt;&gt;"", HELPER!$B$93 &amp;  "." &amp; AE243,"")</f>
        <v/>
      </c>
      <c r="AG243" t="str">
        <f>IF(AE243&lt;&gt;"", HELPER!$B$94 &amp; "." &amp; AE243,"")</f>
        <v/>
      </c>
      <c r="AH243" t="str">
        <f t="shared" si="279"/>
        <v/>
      </c>
      <c r="AN243" t="str">
        <f t="shared" si="280"/>
        <v/>
      </c>
      <c r="AO243" t="str">
        <f>IF(A243&lt;&gt;"", IF(OR(F243="1",H243="1",I243="1"),""," "&amp; HELPER!$B$94 &amp; "." &amp; A243),"")</f>
        <v/>
      </c>
      <c r="AP243" t="str">
        <f t="shared" si="281"/>
        <v/>
      </c>
      <c r="AS243" t="str">
        <f>IF(A243="","",  HELPER!$B$94 &amp;  "." &amp; A243)</f>
        <v/>
      </c>
      <c r="AT243" t="str">
        <f t="shared" si="282"/>
        <v/>
      </c>
      <c r="AU243" t="str">
        <f t="shared" si="283"/>
        <v/>
      </c>
      <c r="AX243" t="str">
        <f>IF(COLUMNS!J194="","","LEFT JOIN "&amp; Options!$B$23 &amp; "." &amp;  COLUMNS!J194 &amp; " ON ")</f>
        <v/>
      </c>
      <c r="AY243" t="str">
        <f t="shared" si="284"/>
        <v/>
      </c>
      <c r="BA243" t="str">
        <f>IF(AZ243="","", "CAST(" &amp; AZ243 &amp; " AS varchar(" &amp; Options!$B$49 &amp; "))")</f>
        <v/>
      </c>
      <c r="BB243" t="str">
        <f t="shared" ca="1" si="285"/>
        <v/>
      </c>
      <c r="BC243" t="str">
        <f t="shared" si="294"/>
        <v/>
      </c>
      <c r="BF243" t="str">
        <f t="shared" si="286"/>
        <v/>
      </c>
      <c r="BG243" t="str">
        <f t="shared" si="287"/>
        <v/>
      </c>
      <c r="BH243" s="285" t="str">
        <f t="shared" ca="1" si="295"/>
        <v/>
      </c>
      <c r="BJ243" t="str">
        <f t="shared" si="288"/>
        <v/>
      </c>
      <c r="BM243" t="str">
        <f t="shared" si="296"/>
        <v/>
      </c>
      <c r="BN243" t="str">
        <f t="shared" si="297"/>
        <v/>
      </c>
      <c r="BO243" t="str">
        <f t="shared" ca="1" si="289"/>
        <v/>
      </c>
      <c r="BR243" t="str">
        <f t="shared" si="290"/>
        <v/>
      </c>
      <c r="BS243" t="str">
        <f t="shared" ca="1" si="291"/>
        <v/>
      </c>
      <c r="BT243" t="str">
        <f t="shared" si="298"/>
        <v/>
      </c>
      <c r="BU243" t="str">
        <f t="shared" si="292"/>
        <v/>
      </c>
      <c r="BV243">
        <f t="shared" si="293"/>
        <v>0</v>
      </c>
    </row>
    <row r="244" spans="6:74">
      <c r="F244" s="164">
        <f t="shared" ca="1" si="273"/>
        <v>0</v>
      </c>
      <c r="G244" s="164" t="str">
        <f t="array" aca="1" ref="G244" ca="1">IF(TRIM(INDIRECT("Columns!D2"))="","",TRIM(INDIRECT("Columns!D2")))</f>
        <v/>
      </c>
      <c r="S244" t="str">
        <f t="shared" si="274"/>
        <v/>
      </c>
      <c r="V244" t="str">
        <f t="shared" si="275"/>
        <v/>
      </c>
      <c r="Y244" t="str">
        <f t="shared" ca="1" si="276"/>
        <v/>
      </c>
      <c r="Z244" t="str">
        <f t="shared" ca="1" si="277"/>
        <v/>
      </c>
      <c r="AA244" t="str">
        <f>IF( A244="","",IF(OR(F244="1",H244="1",I244="1"),"","COALESCE (CAST("&amp;A244&amp;" as varchar(" &amp; Options!$B$49&amp; ")),'')"))</f>
        <v/>
      </c>
      <c r="AB244" t="str">
        <f>IF(C244="string",  IF( A244="","",IF(OR(F244="1",H244="1",I244="1"),"","COALESCE (CAST(lower("&amp;A244&amp;") as varchar(" &amp;Options!$B$49 &amp; ")),'')")),AA244)</f>
        <v/>
      </c>
      <c r="AE244" t="str">
        <f t="shared" si="278"/>
        <v/>
      </c>
      <c r="AF244" t="str">
        <f>IF(AE244&lt;&gt;"", HELPER!$B$93 &amp;  "." &amp; AE244,"")</f>
        <v/>
      </c>
      <c r="AG244" t="str">
        <f>IF(AE244&lt;&gt;"", HELPER!$B$94 &amp; "." &amp; AE244,"")</f>
        <v/>
      </c>
      <c r="AH244" t="str">
        <f t="shared" si="279"/>
        <v/>
      </c>
      <c r="AN244" t="str">
        <f t="shared" si="280"/>
        <v/>
      </c>
      <c r="AO244" t="str">
        <f>IF(A244&lt;&gt;"", IF(OR(F244="1",H244="1",I244="1"),""," "&amp; HELPER!$B$94 &amp; "." &amp; A244),"")</f>
        <v/>
      </c>
      <c r="AP244" t="str">
        <f t="shared" si="281"/>
        <v/>
      </c>
      <c r="AS244" t="str">
        <f>IF(A244="","",  HELPER!$B$94 &amp;  "." &amp; A244)</f>
        <v/>
      </c>
      <c r="AT244" t="str">
        <f t="shared" si="282"/>
        <v/>
      </c>
      <c r="AU244" t="str">
        <f t="shared" si="283"/>
        <v/>
      </c>
      <c r="AX244" t="str">
        <f>IF(COLUMNS!J195="","","LEFT JOIN "&amp; Options!$B$23 &amp; "." &amp;  COLUMNS!J195 &amp; " ON ")</f>
        <v/>
      </c>
      <c r="AY244" t="str">
        <f t="shared" si="284"/>
        <v/>
      </c>
      <c r="BA244" t="str">
        <f>IF(AZ244="","", "CAST(" &amp; AZ244 &amp; " AS varchar(" &amp; Options!$B$49 &amp; "))")</f>
        <v/>
      </c>
      <c r="BB244" t="str">
        <f t="shared" ca="1" si="285"/>
        <v/>
      </c>
      <c r="BC244" t="str">
        <f t="shared" si="294"/>
        <v/>
      </c>
      <c r="BF244" t="str">
        <f t="shared" si="286"/>
        <v/>
      </c>
      <c r="BG244" t="str">
        <f t="shared" si="287"/>
        <v/>
      </c>
      <c r="BH244" s="285" t="str">
        <f t="shared" ca="1" si="295"/>
        <v/>
      </c>
      <c r="BJ244" t="str">
        <f t="shared" si="288"/>
        <v/>
      </c>
      <c r="BM244" t="str">
        <f t="shared" si="296"/>
        <v/>
      </c>
      <c r="BN244" t="str">
        <f t="shared" si="297"/>
        <v/>
      </c>
      <c r="BO244" t="str">
        <f t="shared" ca="1" si="289"/>
        <v/>
      </c>
      <c r="BR244" t="str">
        <f t="shared" si="290"/>
        <v/>
      </c>
      <c r="BS244" t="str">
        <f t="shared" ca="1" si="291"/>
        <v/>
      </c>
      <c r="BT244" t="str">
        <f t="shared" si="298"/>
        <v/>
      </c>
      <c r="BU244" t="str">
        <f t="shared" si="292"/>
        <v/>
      </c>
      <c r="BV244">
        <f t="shared" si="293"/>
        <v>0</v>
      </c>
    </row>
    <row r="245" spans="6:74">
      <c r="F245" s="164">
        <f t="shared" ca="1" si="273"/>
        <v>0</v>
      </c>
      <c r="G245" s="164" t="str">
        <f t="array" aca="1" ref="G245" ca="1">IF(TRIM(INDIRECT("Columns!D2"))="","",TRIM(INDIRECT("Columns!D2")))</f>
        <v/>
      </c>
      <c r="S245" t="str">
        <f t="shared" si="274"/>
        <v/>
      </c>
      <c r="V245" t="str">
        <f t="shared" si="275"/>
        <v/>
      </c>
      <c r="Y245" t="str">
        <f t="shared" ca="1" si="276"/>
        <v/>
      </c>
      <c r="Z245" t="str">
        <f t="shared" ca="1" si="277"/>
        <v/>
      </c>
      <c r="AA245" t="str">
        <f>IF( A245="","",IF(OR(F245="1",H245="1",I245="1"),"","COALESCE (CAST("&amp;A245&amp;" as varchar(" &amp; Options!$B$49&amp; ")),'')"))</f>
        <v/>
      </c>
      <c r="AB245" t="str">
        <f>IF(C245="string",  IF( A245="","",IF(OR(F245="1",H245="1",I245="1"),"","COALESCE (CAST(lower("&amp;A245&amp;") as varchar(" &amp;Options!$B$49 &amp; ")),'')")),AA245)</f>
        <v/>
      </c>
      <c r="AE245" t="str">
        <f t="shared" si="278"/>
        <v/>
      </c>
      <c r="AF245" t="str">
        <f>IF(AE245&lt;&gt;"", HELPER!$B$93 &amp;  "." &amp; AE245,"")</f>
        <v/>
      </c>
      <c r="AG245" t="str">
        <f>IF(AE245&lt;&gt;"", HELPER!$B$94 &amp; "." &amp; AE245,"")</f>
        <v/>
      </c>
      <c r="AH245" t="str">
        <f t="shared" si="279"/>
        <v/>
      </c>
      <c r="AN245" t="str">
        <f t="shared" si="280"/>
        <v/>
      </c>
      <c r="AO245" t="str">
        <f>IF(A245&lt;&gt;"", IF(OR(F245="1",H245="1",I245="1"),""," "&amp; HELPER!$B$94 &amp; "." &amp; A245),"")</f>
        <v/>
      </c>
      <c r="AP245" t="str">
        <f t="shared" si="281"/>
        <v/>
      </c>
      <c r="AS245" t="str">
        <f>IF(A245="","",  HELPER!$B$94 &amp;  "." &amp; A245)</f>
        <v/>
      </c>
      <c r="AT245" t="str">
        <f t="shared" si="282"/>
        <v/>
      </c>
      <c r="AU245" t="str">
        <f t="shared" si="283"/>
        <v/>
      </c>
      <c r="AX245" t="str">
        <f>IF(COLUMNS!J196="","","LEFT JOIN "&amp; Options!$B$23 &amp; "." &amp;  COLUMNS!J196 &amp; " ON ")</f>
        <v/>
      </c>
      <c r="AY245" t="str">
        <f t="shared" si="284"/>
        <v/>
      </c>
      <c r="BA245" t="str">
        <f>IF(AZ245="","", "CAST(" &amp; AZ245 &amp; " AS varchar(" &amp; Options!$B$49 &amp; "))")</f>
        <v/>
      </c>
      <c r="BB245" t="str">
        <f t="shared" ca="1" si="285"/>
        <v/>
      </c>
      <c r="BC245" t="str">
        <f t="shared" si="294"/>
        <v/>
      </c>
      <c r="BF245" t="str">
        <f t="shared" si="286"/>
        <v/>
      </c>
      <c r="BG245" t="str">
        <f t="shared" si="287"/>
        <v/>
      </c>
      <c r="BH245" s="285" t="str">
        <f t="shared" ca="1" si="295"/>
        <v/>
      </c>
      <c r="BJ245" t="str">
        <f t="shared" si="288"/>
        <v/>
      </c>
      <c r="BM245" t="str">
        <f t="shared" si="296"/>
        <v/>
      </c>
      <c r="BN245" t="str">
        <f t="shared" si="297"/>
        <v/>
      </c>
      <c r="BO245" t="str">
        <f t="shared" ca="1" si="289"/>
        <v/>
      </c>
      <c r="BR245" t="str">
        <f t="shared" si="290"/>
        <v/>
      </c>
      <c r="BS245" t="str">
        <f t="shared" ca="1" si="291"/>
        <v/>
      </c>
      <c r="BT245" t="str">
        <f t="shared" si="298"/>
        <v/>
      </c>
      <c r="BU245" t="str">
        <f t="shared" si="292"/>
        <v/>
      </c>
      <c r="BV245">
        <f t="shared" si="293"/>
        <v>0</v>
      </c>
    </row>
    <row r="246" spans="6:74">
      <c r="F246" s="164">
        <f t="shared" ca="1" si="273"/>
        <v>0</v>
      </c>
      <c r="G246" s="164" t="str">
        <f t="array" aca="1" ref="G246" ca="1">IF(TRIM(INDIRECT("Columns!D2"))="","",TRIM(INDIRECT("Columns!D2")))</f>
        <v/>
      </c>
      <c r="S246" t="str">
        <f t="shared" si="274"/>
        <v/>
      </c>
      <c r="V246" t="str">
        <f t="shared" si="275"/>
        <v/>
      </c>
      <c r="Y246" t="str">
        <f t="shared" ca="1" si="276"/>
        <v/>
      </c>
      <c r="Z246" t="str">
        <f t="shared" ca="1" si="277"/>
        <v/>
      </c>
      <c r="AA246" t="str">
        <f>IF( A246="","",IF(OR(F246="1",H246="1",I246="1"),"","COALESCE (CAST("&amp;A246&amp;" as varchar(" &amp; Options!$B$49&amp; ")),'')"))</f>
        <v/>
      </c>
      <c r="AB246" t="str">
        <f>IF(C246="string",  IF( A246="","",IF(OR(F246="1",H246="1",I246="1"),"","COALESCE (CAST(lower("&amp;A246&amp;") as varchar(" &amp;Options!$B$49 &amp; ")),'')")),AA246)</f>
        <v/>
      </c>
      <c r="AE246" t="str">
        <f t="shared" si="278"/>
        <v/>
      </c>
      <c r="AF246" t="str">
        <f>IF(AE246&lt;&gt;"", HELPER!$B$93 &amp;  "." &amp; AE246,"")</f>
        <v/>
      </c>
      <c r="AG246" t="str">
        <f>IF(AE246&lt;&gt;"", HELPER!$B$94 &amp; "." &amp; AE246,"")</f>
        <v/>
      </c>
      <c r="AH246" t="str">
        <f t="shared" si="279"/>
        <v/>
      </c>
      <c r="AN246" t="str">
        <f t="shared" si="280"/>
        <v/>
      </c>
      <c r="AO246" t="str">
        <f>IF(A246&lt;&gt;"", IF(OR(F246="1",H246="1",I246="1"),""," "&amp; HELPER!$B$94 &amp; "." &amp; A246),"")</f>
        <v/>
      </c>
      <c r="AP246" t="str">
        <f t="shared" si="281"/>
        <v/>
      </c>
      <c r="AS246" t="str">
        <f>IF(A246="","",  HELPER!$B$94 &amp;  "." &amp; A246)</f>
        <v/>
      </c>
      <c r="AT246" t="str">
        <f t="shared" si="282"/>
        <v/>
      </c>
      <c r="AU246" t="str">
        <f t="shared" si="283"/>
        <v/>
      </c>
      <c r="AX246" t="str">
        <f>IF(COLUMNS!J197="","","LEFT JOIN "&amp; Options!$B$23 &amp; "." &amp;  COLUMNS!J197 &amp; " ON ")</f>
        <v/>
      </c>
      <c r="AY246" t="str">
        <f t="shared" si="284"/>
        <v/>
      </c>
      <c r="BA246" t="str">
        <f>IF(AZ246="","", "CAST(" &amp; AZ246 &amp; " AS varchar(" &amp; Options!$B$49 &amp; "))")</f>
        <v/>
      </c>
      <c r="BB246" t="str">
        <f t="shared" ca="1" si="285"/>
        <v/>
      </c>
      <c r="BC246" t="str">
        <f t="shared" si="294"/>
        <v/>
      </c>
      <c r="BF246" t="str">
        <f t="shared" si="286"/>
        <v/>
      </c>
      <c r="BG246" t="str">
        <f t="shared" si="287"/>
        <v/>
      </c>
      <c r="BH246" s="285" t="str">
        <f t="shared" ca="1" si="295"/>
        <v/>
      </c>
      <c r="BJ246" t="str">
        <f t="shared" si="288"/>
        <v/>
      </c>
      <c r="BM246" t="str">
        <f t="shared" si="296"/>
        <v/>
      </c>
      <c r="BN246" t="str">
        <f t="shared" si="297"/>
        <v/>
      </c>
      <c r="BO246" t="str">
        <f t="shared" ca="1" si="289"/>
        <v/>
      </c>
      <c r="BR246" t="str">
        <f t="shared" si="290"/>
        <v/>
      </c>
      <c r="BS246" t="str">
        <f t="shared" ca="1" si="291"/>
        <v/>
      </c>
      <c r="BT246" t="str">
        <f t="shared" si="298"/>
        <v/>
      </c>
      <c r="BU246" t="str">
        <f t="shared" si="292"/>
        <v/>
      </c>
      <c r="BV246">
        <f t="shared" si="293"/>
        <v>0</v>
      </c>
    </row>
    <row r="247" spans="6:74">
      <c r="F247" s="164">
        <f t="shared" ca="1" si="273"/>
        <v>0</v>
      </c>
      <c r="G247" s="164" t="str">
        <f t="array" aca="1" ref="G247" ca="1">IF(TRIM(INDIRECT("Columns!D2"))="","",TRIM(INDIRECT("Columns!D2")))</f>
        <v/>
      </c>
      <c r="S247" t="str">
        <f t="shared" si="274"/>
        <v/>
      </c>
      <c r="V247" t="str">
        <f t="shared" si="275"/>
        <v/>
      </c>
      <c r="Y247" t="str">
        <f t="shared" ca="1" si="276"/>
        <v/>
      </c>
      <c r="Z247" t="str">
        <f t="shared" ca="1" si="277"/>
        <v/>
      </c>
      <c r="AA247" t="str">
        <f>IF( A247="","",IF(OR(F247="1",H247="1",I247="1"),"","COALESCE (CAST("&amp;A247&amp;" as varchar(" &amp; Options!$B$49&amp; ")),'')"))</f>
        <v/>
      </c>
      <c r="AB247" t="str">
        <f>IF(C247="string",  IF( A247="","",IF(OR(F247="1",H247="1",I247="1"),"","COALESCE (CAST(lower("&amp;A247&amp;") as varchar(" &amp;Options!$B$49 &amp; ")),'')")),AA247)</f>
        <v/>
      </c>
      <c r="AE247" t="str">
        <f t="shared" si="278"/>
        <v/>
      </c>
      <c r="AF247" t="str">
        <f>IF(AE247&lt;&gt;"", HELPER!$B$93 &amp;  "." &amp; AE247,"")</f>
        <v/>
      </c>
      <c r="AG247" t="str">
        <f>IF(AE247&lt;&gt;"", HELPER!$B$94 &amp; "." &amp; AE247,"")</f>
        <v/>
      </c>
      <c r="AH247" t="str">
        <f t="shared" si="279"/>
        <v/>
      </c>
      <c r="AN247" t="str">
        <f t="shared" si="280"/>
        <v/>
      </c>
      <c r="AO247" t="str">
        <f>IF(A247&lt;&gt;"", IF(OR(F247="1",H247="1",I247="1"),""," "&amp; HELPER!$B$94 &amp; "." &amp; A247),"")</f>
        <v/>
      </c>
      <c r="AP247" t="str">
        <f t="shared" si="281"/>
        <v/>
      </c>
      <c r="AS247" t="str">
        <f>IF(A247="","",  HELPER!$B$94 &amp;  "." &amp; A247)</f>
        <v/>
      </c>
      <c r="AT247" t="str">
        <f t="shared" si="282"/>
        <v/>
      </c>
      <c r="AU247" t="str">
        <f t="shared" si="283"/>
        <v/>
      </c>
      <c r="AX247" t="str">
        <f>IF(COLUMNS!J198="","","LEFT JOIN "&amp; Options!$B$23 &amp; "." &amp;  COLUMNS!J198 &amp; " ON ")</f>
        <v/>
      </c>
      <c r="AY247" t="str">
        <f t="shared" si="284"/>
        <v/>
      </c>
      <c r="BA247" t="str">
        <f>IF(AZ247="","", "CAST(" &amp; AZ247 &amp; " AS varchar(" &amp; Options!$B$49 &amp; "))")</f>
        <v/>
      </c>
      <c r="BB247" t="str">
        <f t="shared" ca="1" si="285"/>
        <v/>
      </c>
      <c r="BC247" t="str">
        <f t="shared" si="294"/>
        <v/>
      </c>
      <c r="BF247" t="str">
        <f t="shared" si="286"/>
        <v/>
      </c>
      <c r="BG247" t="str">
        <f t="shared" si="287"/>
        <v/>
      </c>
      <c r="BH247" s="285" t="str">
        <f t="shared" ca="1" si="295"/>
        <v/>
      </c>
      <c r="BJ247" t="str">
        <f t="shared" si="288"/>
        <v/>
      </c>
      <c r="BM247" t="str">
        <f t="shared" si="296"/>
        <v/>
      </c>
      <c r="BN247" t="str">
        <f t="shared" si="297"/>
        <v/>
      </c>
      <c r="BO247" t="str">
        <f t="shared" ca="1" si="289"/>
        <v/>
      </c>
      <c r="BR247" t="str">
        <f t="shared" si="290"/>
        <v/>
      </c>
      <c r="BS247" t="str">
        <f t="shared" ca="1" si="291"/>
        <v/>
      </c>
      <c r="BT247" t="str">
        <f t="shared" si="298"/>
        <v/>
      </c>
      <c r="BU247" t="str">
        <f t="shared" si="292"/>
        <v/>
      </c>
      <c r="BV247">
        <f t="shared" si="293"/>
        <v>0</v>
      </c>
    </row>
    <row r="248" spans="6:74">
      <c r="F248" s="164">
        <f t="shared" ca="1" si="273"/>
        <v>0</v>
      </c>
      <c r="G248" s="164" t="str">
        <f t="array" aca="1" ref="G248" ca="1">IF(TRIM(INDIRECT("Columns!D2"))="","",TRIM(INDIRECT("Columns!D2")))</f>
        <v/>
      </c>
      <c r="S248" t="str">
        <f t="shared" si="274"/>
        <v/>
      </c>
      <c r="V248" t="str">
        <f t="shared" si="275"/>
        <v/>
      </c>
      <c r="Y248" t="str">
        <f t="shared" ca="1" si="276"/>
        <v/>
      </c>
      <c r="Z248" t="str">
        <f t="shared" ca="1" si="277"/>
        <v/>
      </c>
      <c r="AA248" t="str">
        <f>IF( A248="","",IF(OR(F248="1",H248="1",I248="1"),"","COALESCE (CAST("&amp;A248&amp;" as varchar(" &amp; Options!$B$49&amp; ")),'')"))</f>
        <v/>
      </c>
      <c r="AB248" t="str">
        <f>IF(C248="string",  IF( A248="","",IF(OR(F248="1",H248="1",I248="1"),"","COALESCE (CAST(lower("&amp;A248&amp;") as varchar(" &amp;Options!$B$49 &amp; ")),'')")),AA248)</f>
        <v/>
      </c>
      <c r="AE248" t="str">
        <f t="shared" si="278"/>
        <v/>
      </c>
      <c r="AF248" t="str">
        <f>IF(AE248&lt;&gt;"", HELPER!$B$93 &amp;  "." &amp; AE248,"")</f>
        <v/>
      </c>
      <c r="AG248" t="str">
        <f>IF(AE248&lt;&gt;"", HELPER!$B$94 &amp; "." &amp; AE248,"")</f>
        <v/>
      </c>
      <c r="AH248" t="str">
        <f t="shared" si="279"/>
        <v/>
      </c>
      <c r="AN248" t="str">
        <f t="shared" si="280"/>
        <v/>
      </c>
      <c r="AO248" t="str">
        <f>IF(A248&lt;&gt;"", IF(OR(F248="1",H248="1",I248="1"),""," "&amp; HELPER!$B$94 &amp; "." &amp; A248),"")</f>
        <v/>
      </c>
      <c r="AP248" t="str">
        <f t="shared" si="281"/>
        <v/>
      </c>
      <c r="AS248" t="str">
        <f>IF(A248="","",  HELPER!$B$94 &amp;  "." &amp; A248)</f>
        <v/>
      </c>
      <c r="AT248" t="str">
        <f t="shared" si="282"/>
        <v/>
      </c>
      <c r="AU248" t="str">
        <f t="shared" si="283"/>
        <v/>
      </c>
      <c r="AX248" t="str">
        <f>IF(COLUMNS!J199="","","LEFT JOIN "&amp; Options!$B$23 &amp; "." &amp;  COLUMNS!J199 &amp; " ON ")</f>
        <v/>
      </c>
      <c r="AY248" t="str">
        <f t="shared" si="284"/>
        <v/>
      </c>
      <c r="BA248" t="str">
        <f>IF(AZ248="","", "CAST(" &amp; AZ248 &amp; " AS varchar(" &amp; Options!$B$49 &amp; "))")</f>
        <v/>
      </c>
      <c r="BB248" t="str">
        <f t="shared" ca="1" si="285"/>
        <v/>
      </c>
      <c r="BC248" t="str">
        <f t="shared" si="294"/>
        <v/>
      </c>
      <c r="BF248" t="str">
        <f t="shared" si="286"/>
        <v/>
      </c>
      <c r="BG248" t="str">
        <f t="shared" si="287"/>
        <v/>
      </c>
      <c r="BH248" s="285" t="str">
        <f t="shared" ca="1" si="295"/>
        <v/>
      </c>
      <c r="BJ248" t="str">
        <f t="shared" si="288"/>
        <v/>
      </c>
      <c r="BM248" t="str">
        <f t="shared" si="296"/>
        <v/>
      </c>
      <c r="BN248" t="str">
        <f t="shared" si="297"/>
        <v/>
      </c>
      <c r="BO248" t="str">
        <f t="shared" ca="1" si="289"/>
        <v/>
      </c>
      <c r="BR248" t="str">
        <f t="shared" si="290"/>
        <v/>
      </c>
      <c r="BS248" t="str">
        <f t="shared" ca="1" si="291"/>
        <v/>
      </c>
      <c r="BT248" t="str">
        <f t="shared" si="298"/>
        <v/>
      </c>
      <c r="BU248" t="str">
        <f t="shared" si="292"/>
        <v/>
      </c>
      <c r="BV248">
        <f t="shared" si="293"/>
        <v>0</v>
      </c>
    </row>
    <row r="249" spans="6:74">
      <c r="F249" s="164">
        <f t="shared" ca="1" si="273"/>
        <v>0</v>
      </c>
      <c r="G249" s="164" t="str">
        <f t="array" aca="1" ref="G249" ca="1">IF(TRIM(INDIRECT("Columns!D2"))="","",TRIM(INDIRECT("Columns!D2")))</f>
        <v/>
      </c>
      <c r="S249" t="str">
        <f t="shared" si="274"/>
        <v/>
      </c>
      <c r="V249" t="str">
        <f t="shared" si="275"/>
        <v/>
      </c>
      <c r="Y249" t="str">
        <f t="shared" ca="1" si="276"/>
        <v/>
      </c>
      <c r="Z249" t="str">
        <f t="shared" ca="1" si="277"/>
        <v/>
      </c>
      <c r="AA249" t="str">
        <f>IF( A249="","",IF(OR(F249="1",H249="1",I249="1"),"","COALESCE (CAST("&amp;A249&amp;" as varchar(" &amp; Options!$B$49&amp; ")),'')"))</f>
        <v/>
      </c>
      <c r="AB249" t="str">
        <f>IF(C249="string",  IF( A249="","",IF(OR(F249="1",H249="1",I249="1"),"","COALESCE (CAST(lower("&amp;A249&amp;") as varchar(" &amp;Options!$B$49 &amp; ")),'')")),AA249)</f>
        <v/>
      </c>
      <c r="AE249" t="str">
        <f t="shared" si="278"/>
        <v/>
      </c>
      <c r="AF249" t="str">
        <f>IF(AE249&lt;&gt;"", HELPER!$B$93 &amp;  "." &amp; AE249,"")</f>
        <v/>
      </c>
      <c r="AG249" t="str">
        <f>IF(AE249&lt;&gt;"", HELPER!$B$94 &amp; "." &amp; AE249,"")</f>
        <v/>
      </c>
      <c r="AH249" t="str">
        <f t="shared" si="279"/>
        <v/>
      </c>
      <c r="AN249" t="str">
        <f t="shared" si="280"/>
        <v/>
      </c>
      <c r="AO249" t="str">
        <f>IF(A249&lt;&gt;"", IF(OR(F249="1",H249="1",I249="1"),""," "&amp; HELPER!$B$94 &amp; "." &amp; A249),"")</f>
        <v/>
      </c>
      <c r="AP249" t="str">
        <f t="shared" si="281"/>
        <v/>
      </c>
      <c r="AS249" t="str">
        <f>IF(A249="","",  HELPER!$B$94 &amp;  "." &amp; A249)</f>
        <v/>
      </c>
      <c r="AT249" t="str">
        <f t="shared" si="282"/>
        <v/>
      </c>
      <c r="AU249" t="str">
        <f t="shared" si="283"/>
        <v/>
      </c>
      <c r="AX249" t="str">
        <f>IF(COLUMNS!J200="","","LEFT JOIN "&amp; Options!$B$23 &amp; "." &amp;  COLUMNS!J200 &amp; " ON ")</f>
        <v/>
      </c>
      <c r="AY249" t="str">
        <f t="shared" si="284"/>
        <v/>
      </c>
      <c r="BA249" t="str">
        <f>IF(AZ249="","", "CAST(" &amp; AZ249 &amp; " AS varchar(" &amp; Options!$B$49 &amp; "))")</f>
        <v/>
      </c>
      <c r="BB249" t="str">
        <f t="shared" ca="1" si="285"/>
        <v/>
      </c>
      <c r="BC249" t="str">
        <f t="shared" si="294"/>
        <v/>
      </c>
      <c r="BF249" t="str">
        <f t="shared" si="286"/>
        <v/>
      </c>
      <c r="BG249" t="str">
        <f t="shared" si="287"/>
        <v/>
      </c>
      <c r="BH249" s="285" t="str">
        <f t="shared" ca="1" si="295"/>
        <v/>
      </c>
      <c r="BJ249" t="str">
        <f t="shared" si="288"/>
        <v/>
      </c>
      <c r="BM249" t="str">
        <f t="shared" si="296"/>
        <v/>
      </c>
      <c r="BN249" t="str">
        <f t="shared" si="297"/>
        <v/>
      </c>
      <c r="BO249" t="str">
        <f t="shared" ca="1" si="289"/>
        <v/>
      </c>
      <c r="BR249" t="str">
        <f t="shared" si="290"/>
        <v/>
      </c>
      <c r="BS249" t="str">
        <f t="shared" ca="1" si="291"/>
        <v/>
      </c>
      <c r="BT249" t="str">
        <f t="shared" si="298"/>
        <v/>
      </c>
      <c r="BU249" t="str">
        <f t="shared" si="292"/>
        <v/>
      </c>
      <c r="BV249">
        <f t="shared" si="293"/>
        <v>0</v>
      </c>
    </row>
    <row r="250" spans="6:74">
      <c r="F250" s="164">
        <f t="shared" ca="1" si="273"/>
        <v>0</v>
      </c>
      <c r="G250" s="164" t="str">
        <f t="array" aca="1" ref="G250" ca="1">IF(TRIM(INDIRECT("Columns!D2"))="","",TRIM(INDIRECT("Columns!D2")))</f>
        <v/>
      </c>
      <c r="S250" t="str">
        <f t="shared" si="274"/>
        <v/>
      </c>
      <c r="V250" t="str">
        <f t="shared" si="275"/>
        <v/>
      </c>
      <c r="Y250" t="str">
        <f t="shared" ca="1" si="276"/>
        <v/>
      </c>
      <c r="Z250" t="str">
        <f t="shared" ca="1" si="277"/>
        <v/>
      </c>
      <c r="AA250" t="str">
        <f>IF( A250="","",IF(OR(F250="1",H250="1",I250="1"),"","COALESCE (CAST("&amp;A250&amp;" as varchar(" &amp; Options!$B$49&amp; ")),'')"))</f>
        <v/>
      </c>
      <c r="AB250" t="str">
        <f>IF(C250="string",  IF( A250="","",IF(OR(F250="1",H250="1",I250="1"),"","COALESCE (CAST(lower("&amp;A250&amp;") as varchar(" &amp;Options!$B$49 &amp; ")),'')")),AA250)</f>
        <v/>
      </c>
      <c r="AE250" t="str">
        <f t="shared" si="278"/>
        <v/>
      </c>
      <c r="AF250" t="str">
        <f>IF(AE250&lt;&gt;"", HELPER!$B$93 &amp;  "." &amp; AE250,"")</f>
        <v/>
      </c>
      <c r="AG250" t="str">
        <f>IF(AE250&lt;&gt;"", HELPER!$B$94 &amp; "." &amp; AE250,"")</f>
        <v/>
      </c>
      <c r="AH250" t="str">
        <f t="shared" si="279"/>
        <v/>
      </c>
      <c r="AN250" t="str">
        <f t="shared" si="280"/>
        <v/>
      </c>
      <c r="AO250" t="str">
        <f>IF(A250&lt;&gt;"", IF(OR(F250="1",H250="1",I250="1"),""," "&amp; HELPER!$B$94 &amp; "." &amp; A250),"")</f>
        <v/>
      </c>
      <c r="AP250" t="str">
        <f t="shared" si="281"/>
        <v/>
      </c>
      <c r="AS250" t="str">
        <f>IF(A250="","",  HELPER!$B$94 &amp;  "." &amp; A250)</f>
        <v/>
      </c>
      <c r="AT250" t="str">
        <f t="shared" si="282"/>
        <v/>
      </c>
      <c r="AU250" t="str">
        <f t="shared" si="283"/>
        <v/>
      </c>
      <c r="AX250" t="str">
        <f>IF(COLUMNS!J201="","","LEFT JOIN "&amp; Options!$B$23 &amp; "." &amp;  COLUMNS!J201 &amp; " ON ")</f>
        <v/>
      </c>
      <c r="AY250" t="str">
        <f t="shared" si="284"/>
        <v/>
      </c>
      <c r="BA250" t="str">
        <f>IF(AZ250="","", "CAST(" &amp; AZ250 &amp; " AS varchar(" &amp; Options!$B$49 &amp; "))")</f>
        <v/>
      </c>
      <c r="BB250" t="str">
        <f t="shared" ca="1" si="285"/>
        <v/>
      </c>
      <c r="BC250" t="str">
        <f t="shared" si="294"/>
        <v/>
      </c>
      <c r="BF250" t="str">
        <f t="shared" si="286"/>
        <v/>
      </c>
      <c r="BG250" t="str">
        <f t="shared" si="287"/>
        <v/>
      </c>
      <c r="BH250" s="285" t="str">
        <f t="shared" ca="1" si="295"/>
        <v/>
      </c>
      <c r="BJ250" t="str">
        <f t="shared" si="288"/>
        <v/>
      </c>
      <c r="BM250" t="str">
        <f t="shared" si="296"/>
        <v/>
      </c>
      <c r="BN250" t="str">
        <f t="shared" si="297"/>
        <v/>
      </c>
      <c r="BO250" t="str">
        <f t="shared" ca="1" si="289"/>
        <v/>
      </c>
      <c r="BR250" t="str">
        <f t="shared" si="290"/>
        <v/>
      </c>
      <c r="BS250" t="str">
        <f t="shared" ca="1" si="291"/>
        <v/>
      </c>
      <c r="BT250" t="str">
        <f t="shared" si="298"/>
        <v/>
      </c>
      <c r="BU250" t="str">
        <f t="shared" si="292"/>
        <v/>
      </c>
      <c r="BV250">
        <f t="shared" si="293"/>
        <v>0</v>
      </c>
    </row>
    <row r="251" spans="6:74">
      <c r="F251" s="164">
        <f t="shared" ca="1" si="273"/>
        <v>0</v>
      </c>
      <c r="G251" s="164" t="str">
        <f t="array" aca="1" ref="G251" ca="1">IF(TRIM(INDIRECT("Columns!D2"))="","",TRIM(INDIRECT("Columns!D2")))</f>
        <v/>
      </c>
      <c r="S251" t="str">
        <f t="shared" si="274"/>
        <v/>
      </c>
      <c r="V251" t="str">
        <f t="shared" si="275"/>
        <v/>
      </c>
      <c r="Y251" t="str">
        <f t="shared" ca="1" si="276"/>
        <v/>
      </c>
      <c r="Z251" t="str">
        <f t="shared" ca="1" si="277"/>
        <v/>
      </c>
      <c r="AA251" t="str">
        <f>IF( A251="","",IF(OR(F251="1",H251="1",I251="1"),"","COALESCE (CAST("&amp;A251&amp;" as varchar(" &amp; Options!$B$49&amp; ")),'')"))</f>
        <v/>
      </c>
      <c r="AB251" t="str">
        <f>IF(C251="string",  IF( A251="","",IF(OR(F251="1",H251="1",I251="1"),"","COALESCE (CAST(lower("&amp;A251&amp;") as varchar(" &amp;Options!$B$49 &amp; ")),'')")),AA251)</f>
        <v/>
      </c>
      <c r="AE251" t="str">
        <f t="shared" si="278"/>
        <v/>
      </c>
      <c r="AF251" t="str">
        <f>IF(AE251&lt;&gt;"", HELPER!$B$93 &amp;  "." &amp; AE251,"")</f>
        <v/>
      </c>
      <c r="AG251" t="str">
        <f>IF(AE251&lt;&gt;"", HELPER!$B$94 &amp; "." &amp; AE251,"")</f>
        <v/>
      </c>
      <c r="AH251" t="str">
        <f t="shared" si="279"/>
        <v/>
      </c>
      <c r="AN251" t="str">
        <f t="shared" si="280"/>
        <v/>
      </c>
      <c r="AO251" t="str">
        <f>IF(A251&lt;&gt;"", IF(OR(F251="1",H251="1",I251="1"),""," "&amp; HELPER!$B$94 &amp; "." &amp; A251),"")</f>
        <v/>
      </c>
      <c r="AP251" t="str">
        <f t="shared" si="281"/>
        <v/>
      </c>
      <c r="AS251" t="str">
        <f>IF(A251="","",  HELPER!$B$94 &amp;  "." &amp; A251)</f>
        <v/>
      </c>
      <c r="AT251" t="str">
        <f t="shared" si="282"/>
        <v/>
      </c>
      <c r="AU251" t="str">
        <f t="shared" si="283"/>
        <v/>
      </c>
      <c r="AX251" t="str">
        <f>IF(COLUMNS!J202="","","LEFT JOIN "&amp; Options!$B$23 &amp; "." &amp;  COLUMNS!J202 &amp; " ON ")</f>
        <v/>
      </c>
      <c r="AY251" t="str">
        <f t="shared" si="284"/>
        <v/>
      </c>
      <c r="BA251" t="str">
        <f>IF(AZ251="","", "CAST(" &amp; AZ251 &amp; " AS varchar(" &amp; Options!$B$49 &amp; "))")</f>
        <v/>
      </c>
      <c r="BB251" t="str">
        <f t="shared" ca="1" si="285"/>
        <v/>
      </c>
      <c r="BC251" t="str">
        <f t="shared" si="294"/>
        <v/>
      </c>
      <c r="BF251" t="str">
        <f t="shared" si="286"/>
        <v/>
      </c>
      <c r="BG251" t="str">
        <f t="shared" si="287"/>
        <v/>
      </c>
      <c r="BH251" s="285" t="str">
        <f t="shared" ca="1" si="295"/>
        <v/>
      </c>
      <c r="BJ251" t="str">
        <f t="shared" si="288"/>
        <v/>
      </c>
      <c r="BM251" t="str">
        <f t="shared" si="296"/>
        <v/>
      </c>
      <c r="BN251" t="str">
        <f t="shared" si="297"/>
        <v/>
      </c>
      <c r="BO251" t="str">
        <f t="shared" ca="1" si="289"/>
        <v/>
      </c>
      <c r="BR251" t="str">
        <f t="shared" si="290"/>
        <v/>
      </c>
      <c r="BS251" t="str">
        <f t="shared" ca="1" si="291"/>
        <v/>
      </c>
      <c r="BT251" t="str">
        <f t="shared" si="298"/>
        <v/>
      </c>
      <c r="BU251" t="str">
        <f t="shared" si="292"/>
        <v/>
      </c>
      <c r="BV251">
        <f t="shared" si="293"/>
        <v>0</v>
      </c>
    </row>
    <row r="252" spans="6:74">
      <c r="F252" s="164">
        <f t="shared" ca="1" si="273"/>
        <v>0</v>
      </c>
      <c r="G252" s="164" t="str">
        <f t="array" aca="1" ref="G252" ca="1">IF(TRIM(INDIRECT("Columns!D2"))="","",TRIM(INDIRECT("Columns!D2")))</f>
        <v/>
      </c>
      <c r="S252" t="str">
        <f t="shared" si="274"/>
        <v/>
      </c>
      <c r="V252" t="str">
        <f t="shared" si="275"/>
        <v/>
      </c>
      <c r="Y252" t="str">
        <f t="shared" ca="1" si="276"/>
        <v/>
      </c>
      <c r="Z252" t="str">
        <f t="shared" ca="1" si="277"/>
        <v/>
      </c>
      <c r="AA252" t="str">
        <f>IF( A252="","",IF(OR(F252="1",H252="1",I252="1"),"","COALESCE (CAST("&amp;A252&amp;" as varchar(" &amp; Options!$B$49&amp; ")),'')"))</f>
        <v/>
      </c>
      <c r="AB252" t="str">
        <f>IF(C252="string",  IF( A252="","",IF(OR(F252="1",H252="1",I252="1"),"","COALESCE (CAST(lower("&amp;A252&amp;") as varchar(" &amp;Options!$B$49 &amp; ")),'')")),AA252)</f>
        <v/>
      </c>
      <c r="AE252" t="str">
        <f t="shared" si="278"/>
        <v/>
      </c>
      <c r="AF252" t="str">
        <f>IF(AE252&lt;&gt;"", HELPER!$B$93 &amp;  "." &amp; AE252,"")</f>
        <v/>
      </c>
      <c r="AG252" t="str">
        <f>IF(AE252&lt;&gt;"", HELPER!$B$94 &amp; "." &amp; AE252,"")</f>
        <v/>
      </c>
      <c r="AH252" t="str">
        <f t="shared" si="279"/>
        <v/>
      </c>
      <c r="AN252" t="str">
        <f t="shared" si="280"/>
        <v/>
      </c>
      <c r="AO252" t="str">
        <f>IF(A252&lt;&gt;"", IF(OR(F252="1",H252="1",I252="1"),""," "&amp; HELPER!$B$94 &amp; "." &amp; A252),"")</f>
        <v/>
      </c>
      <c r="AP252" t="str">
        <f t="shared" si="281"/>
        <v/>
      </c>
      <c r="AS252" t="str">
        <f>IF(A252="","",  HELPER!$B$94 &amp;  "." &amp; A252)</f>
        <v/>
      </c>
      <c r="AT252" t="str">
        <f t="shared" si="282"/>
        <v/>
      </c>
      <c r="AU252" t="str">
        <f t="shared" si="283"/>
        <v/>
      </c>
      <c r="AX252" t="str">
        <f>IF(COLUMNS!J203="","","LEFT JOIN "&amp; Options!$B$23 &amp; "." &amp;  COLUMNS!J203 &amp; " ON ")</f>
        <v/>
      </c>
      <c r="AY252" t="str">
        <f t="shared" si="284"/>
        <v/>
      </c>
      <c r="BA252" t="str">
        <f>IF(AZ252="","", "CAST(" &amp; AZ252 &amp; " AS varchar(" &amp; Options!$B$49 &amp; "))")</f>
        <v/>
      </c>
      <c r="BB252" t="str">
        <f t="shared" ca="1" si="285"/>
        <v/>
      </c>
      <c r="BC252" t="str">
        <f t="shared" si="294"/>
        <v/>
      </c>
      <c r="BF252" t="str">
        <f t="shared" si="286"/>
        <v/>
      </c>
      <c r="BG252" t="str">
        <f t="shared" si="287"/>
        <v/>
      </c>
      <c r="BH252" s="285" t="str">
        <f t="shared" ca="1" si="295"/>
        <v/>
      </c>
      <c r="BJ252" t="str">
        <f t="shared" si="288"/>
        <v/>
      </c>
      <c r="BM252" t="str">
        <f t="shared" si="296"/>
        <v/>
      </c>
      <c r="BN252" t="str">
        <f t="shared" si="297"/>
        <v/>
      </c>
      <c r="BO252" t="str">
        <f t="shared" ca="1" si="289"/>
        <v/>
      </c>
      <c r="BR252" t="str">
        <f t="shared" si="290"/>
        <v/>
      </c>
      <c r="BS252" t="str">
        <f t="shared" ca="1" si="291"/>
        <v/>
      </c>
      <c r="BT252" t="str">
        <f t="shared" si="298"/>
        <v/>
      </c>
      <c r="BU252" t="str">
        <f t="shared" si="292"/>
        <v/>
      </c>
      <c r="BV252">
        <f t="shared" si="293"/>
        <v>0</v>
      </c>
    </row>
    <row r="253" spans="6:74">
      <c r="F253" s="164">
        <f t="shared" ca="1" si="273"/>
        <v>0</v>
      </c>
      <c r="G253" s="164" t="str">
        <f t="array" aca="1" ref="G253" ca="1">IF(TRIM(INDIRECT("Columns!D2"))="","",TRIM(INDIRECT("Columns!D2")))</f>
        <v/>
      </c>
      <c r="S253" t="str">
        <f t="shared" si="274"/>
        <v/>
      </c>
      <c r="V253" t="str">
        <f t="shared" si="275"/>
        <v/>
      </c>
      <c r="Y253" t="str">
        <f t="shared" ca="1" si="276"/>
        <v/>
      </c>
      <c r="Z253" t="str">
        <f t="shared" ca="1" si="277"/>
        <v/>
      </c>
      <c r="AA253" t="str">
        <f>IF( A253="","",IF(OR(F253="1",H253="1",I253="1"),"","COALESCE (CAST("&amp;A253&amp;" as varchar(" &amp; Options!$B$49&amp; ")),'')"))</f>
        <v/>
      </c>
      <c r="AB253" t="str">
        <f>IF(C253="string",  IF( A253="","",IF(OR(F253="1",H253="1",I253="1"),"","COALESCE (CAST(lower("&amp;A253&amp;") as varchar(" &amp;Options!$B$49 &amp; ")),'')")),AA253)</f>
        <v/>
      </c>
      <c r="AE253" t="str">
        <f t="shared" si="278"/>
        <v/>
      </c>
      <c r="AF253" t="str">
        <f>IF(AE253&lt;&gt;"", HELPER!$B$93 &amp;  "." &amp; AE253,"")</f>
        <v/>
      </c>
      <c r="AG253" t="str">
        <f>IF(AE253&lt;&gt;"", HELPER!$B$94 &amp; "." &amp; AE253,"")</f>
        <v/>
      </c>
      <c r="AH253" t="str">
        <f t="shared" si="279"/>
        <v/>
      </c>
      <c r="AN253" t="str">
        <f t="shared" si="280"/>
        <v/>
      </c>
      <c r="AO253" t="str">
        <f>IF(A253&lt;&gt;"", IF(OR(F253="1",H253="1",I253="1"),""," "&amp; HELPER!$B$94 &amp; "." &amp; A253),"")</f>
        <v/>
      </c>
      <c r="AP253" t="str">
        <f t="shared" si="281"/>
        <v/>
      </c>
      <c r="AS253" t="str">
        <f>IF(A253="","",  HELPER!$B$94 &amp;  "." &amp; A253)</f>
        <v/>
      </c>
      <c r="AT253" t="str">
        <f t="shared" si="282"/>
        <v/>
      </c>
      <c r="AU253" t="str">
        <f t="shared" si="283"/>
        <v/>
      </c>
      <c r="AX253" t="str">
        <f>IF(COLUMNS!J204="","","LEFT JOIN "&amp; Options!$B$23 &amp; "." &amp;  COLUMNS!J204 &amp; " ON ")</f>
        <v/>
      </c>
      <c r="AY253" t="str">
        <f t="shared" si="284"/>
        <v/>
      </c>
      <c r="BA253" t="str">
        <f>IF(AZ253="","", "CAST(" &amp; AZ253 &amp; " AS varchar(" &amp; Options!$B$49 &amp; "))")</f>
        <v/>
      </c>
      <c r="BB253" t="str">
        <f t="shared" ca="1" si="285"/>
        <v/>
      </c>
      <c r="BC253" t="str">
        <f t="shared" si="294"/>
        <v/>
      </c>
      <c r="BF253" t="str">
        <f t="shared" si="286"/>
        <v/>
      </c>
      <c r="BG253" t="str">
        <f t="shared" si="287"/>
        <v/>
      </c>
      <c r="BH253" s="285" t="str">
        <f t="shared" ca="1" si="295"/>
        <v/>
      </c>
      <c r="BJ253" t="str">
        <f t="shared" si="288"/>
        <v/>
      </c>
      <c r="BM253" t="str">
        <f t="shared" si="296"/>
        <v/>
      </c>
      <c r="BN253" t="str">
        <f t="shared" si="297"/>
        <v/>
      </c>
      <c r="BO253" t="str">
        <f t="shared" ca="1" si="289"/>
        <v/>
      </c>
      <c r="BR253" t="str">
        <f t="shared" si="290"/>
        <v/>
      </c>
      <c r="BS253" t="str">
        <f t="shared" ca="1" si="291"/>
        <v/>
      </c>
      <c r="BT253" t="str">
        <f t="shared" si="298"/>
        <v/>
      </c>
      <c r="BU253" t="str">
        <f t="shared" si="292"/>
        <v/>
      </c>
      <c r="BV253">
        <f t="shared" si="293"/>
        <v>0</v>
      </c>
    </row>
    <row r="254" spans="6:74">
      <c r="F254" s="164">
        <f t="shared" ca="1" si="273"/>
        <v>0</v>
      </c>
      <c r="G254" s="164" t="str">
        <f t="array" aca="1" ref="G254" ca="1">IF(TRIM(INDIRECT("Columns!D2"))="","",TRIM(INDIRECT("Columns!D2")))</f>
        <v/>
      </c>
      <c r="S254" t="str">
        <f t="shared" si="274"/>
        <v/>
      </c>
      <c r="V254" t="str">
        <f t="shared" si="275"/>
        <v/>
      </c>
      <c r="Y254" t="str">
        <f t="shared" ca="1" si="276"/>
        <v/>
      </c>
      <c r="Z254" t="str">
        <f t="shared" ca="1" si="277"/>
        <v/>
      </c>
      <c r="AA254" t="str">
        <f>IF( A254="","",IF(OR(F254="1",H254="1",I254="1"),"","COALESCE (CAST("&amp;A254&amp;" as varchar(" &amp; Options!$B$49&amp; ")),'')"))</f>
        <v/>
      </c>
      <c r="AB254" t="str">
        <f>IF(C254="string",  IF( A254="","",IF(OR(F254="1",H254="1",I254="1"),"","COALESCE (CAST(lower("&amp;A254&amp;") as varchar(" &amp;Options!$B$49 &amp; ")),'')")),AA254)</f>
        <v/>
      </c>
      <c r="AE254" t="str">
        <f t="shared" si="278"/>
        <v/>
      </c>
      <c r="AF254" t="str">
        <f>IF(AE254&lt;&gt;"", HELPER!$B$93 &amp;  "." &amp; AE254,"")</f>
        <v/>
      </c>
      <c r="AG254" t="str">
        <f>IF(AE254&lt;&gt;"", HELPER!$B$94 &amp; "." &amp; AE254,"")</f>
        <v/>
      </c>
      <c r="AH254" t="str">
        <f t="shared" si="279"/>
        <v/>
      </c>
      <c r="AN254" t="str">
        <f t="shared" si="280"/>
        <v/>
      </c>
      <c r="AO254" t="str">
        <f>IF(A254&lt;&gt;"", IF(OR(F254="1",H254="1",I254="1"),""," "&amp; HELPER!$B$94 &amp; "." &amp; A254),"")</f>
        <v/>
      </c>
      <c r="AP254" t="str">
        <f t="shared" si="281"/>
        <v/>
      </c>
      <c r="AS254" t="str">
        <f>IF(A254="","",  HELPER!$B$94 &amp;  "." &amp; A254)</f>
        <v/>
      </c>
      <c r="AT254" t="str">
        <f t="shared" si="282"/>
        <v/>
      </c>
      <c r="AU254" t="str">
        <f t="shared" si="283"/>
        <v/>
      </c>
      <c r="AX254" t="str">
        <f>IF(COLUMNS!J205="","","LEFT JOIN "&amp; Options!$B$23 &amp; "." &amp;  COLUMNS!J205 &amp; " ON ")</f>
        <v/>
      </c>
      <c r="AY254" t="str">
        <f t="shared" si="284"/>
        <v/>
      </c>
      <c r="BA254" t="str">
        <f>IF(AZ254="","", "CAST(" &amp; AZ254 &amp; " AS varchar(" &amp; Options!$B$49 &amp; "))")</f>
        <v/>
      </c>
      <c r="BB254" t="str">
        <f t="shared" ca="1" si="285"/>
        <v/>
      </c>
      <c r="BC254" t="str">
        <f t="shared" si="294"/>
        <v/>
      </c>
      <c r="BF254" t="str">
        <f t="shared" si="286"/>
        <v/>
      </c>
      <c r="BG254" t="str">
        <f t="shared" si="287"/>
        <v/>
      </c>
      <c r="BH254" s="285" t="str">
        <f t="shared" ca="1" si="295"/>
        <v/>
      </c>
      <c r="BJ254" t="str">
        <f t="shared" si="288"/>
        <v/>
      </c>
      <c r="BM254" t="str">
        <f t="shared" si="296"/>
        <v/>
      </c>
      <c r="BN254" t="str">
        <f t="shared" si="297"/>
        <v/>
      </c>
      <c r="BO254" t="str">
        <f t="shared" ca="1" si="289"/>
        <v/>
      </c>
      <c r="BR254" t="str">
        <f t="shared" si="290"/>
        <v/>
      </c>
      <c r="BS254" t="str">
        <f t="shared" ca="1" si="291"/>
        <v/>
      </c>
      <c r="BT254" t="str">
        <f t="shared" si="298"/>
        <v/>
      </c>
      <c r="BU254" t="str">
        <f t="shared" si="292"/>
        <v/>
      </c>
      <c r="BV254">
        <f t="shared" si="293"/>
        <v>0</v>
      </c>
    </row>
    <row r="255" spans="6:74">
      <c r="F255" s="164">
        <f t="shared" ca="1" si="273"/>
        <v>0</v>
      </c>
      <c r="G255" s="164" t="str">
        <f t="array" aca="1" ref="G255" ca="1">IF(TRIM(INDIRECT("Columns!D2"))="","",TRIM(INDIRECT("Columns!D2")))</f>
        <v/>
      </c>
      <c r="S255" t="str">
        <f t="shared" si="274"/>
        <v/>
      </c>
      <c r="V255" t="str">
        <f t="shared" si="275"/>
        <v/>
      </c>
      <c r="Y255" t="str">
        <f t="shared" ca="1" si="276"/>
        <v/>
      </c>
      <c r="Z255" t="str">
        <f t="shared" ca="1" si="277"/>
        <v/>
      </c>
      <c r="AA255" t="str">
        <f>IF( A255="","",IF(OR(F255="1",H255="1",I255="1"),"","COALESCE (CAST("&amp;A255&amp;" as varchar(" &amp; Options!$B$49&amp; ")),'')"))</f>
        <v/>
      </c>
      <c r="AB255" t="str">
        <f>IF(C255="string",  IF( A255="","",IF(OR(F255="1",H255="1",I255="1"),"","COALESCE (CAST(lower("&amp;A255&amp;") as varchar(" &amp;Options!$B$49 &amp; ")),'')")),AA255)</f>
        <v/>
      </c>
      <c r="AE255" t="str">
        <f t="shared" si="278"/>
        <v/>
      </c>
      <c r="AF255" t="str">
        <f>IF(AE255&lt;&gt;"", HELPER!$B$93 &amp;  "." &amp; AE255,"")</f>
        <v/>
      </c>
      <c r="AG255" t="str">
        <f>IF(AE255&lt;&gt;"", HELPER!$B$94 &amp; "." &amp; AE255,"")</f>
        <v/>
      </c>
      <c r="AH255" t="str">
        <f t="shared" si="279"/>
        <v/>
      </c>
      <c r="AN255" t="str">
        <f t="shared" si="280"/>
        <v/>
      </c>
      <c r="AO255" t="str">
        <f>IF(A255&lt;&gt;"", IF(OR(F255="1",H255="1",I255="1"),""," "&amp; HELPER!$B$94 &amp; "." &amp; A255),"")</f>
        <v/>
      </c>
      <c r="AP255" t="str">
        <f t="shared" si="281"/>
        <v/>
      </c>
      <c r="AS255" t="str">
        <f>IF(A255="","",  HELPER!$B$94 &amp;  "." &amp; A255)</f>
        <v/>
      </c>
      <c r="AT255" t="str">
        <f t="shared" si="282"/>
        <v/>
      </c>
      <c r="AU255" t="str">
        <f t="shared" si="283"/>
        <v/>
      </c>
      <c r="AX255" t="str">
        <f>IF(COLUMNS!J206="","","LEFT JOIN "&amp; Options!$B$23 &amp; "." &amp;  COLUMNS!J206 &amp; " ON ")</f>
        <v/>
      </c>
      <c r="AY255" t="str">
        <f t="shared" si="284"/>
        <v/>
      </c>
      <c r="BA255" t="str">
        <f>IF(AZ255="","", "CAST(" &amp; AZ255 &amp; " AS varchar(" &amp; Options!$B$49 &amp; "))")</f>
        <v/>
      </c>
      <c r="BB255" t="str">
        <f t="shared" ca="1" si="285"/>
        <v/>
      </c>
      <c r="BC255" t="str">
        <f t="shared" si="294"/>
        <v/>
      </c>
      <c r="BF255" t="str">
        <f t="shared" si="286"/>
        <v/>
      </c>
      <c r="BG255" t="str">
        <f t="shared" si="287"/>
        <v/>
      </c>
      <c r="BH255" s="285" t="str">
        <f t="shared" ca="1" si="295"/>
        <v/>
      </c>
      <c r="BJ255" t="str">
        <f t="shared" si="288"/>
        <v/>
      </c>
      <c r="BM255" t="str">
        <f t="shared" si="296"/>
        <v/>
      </c>
      <c r="BN255" t="str">
        <f t="shared" si="297"/>
        <v/>
      </c>
      <c r="BO255" t="str">
        <f t="shared" ca="1" si="289"/>
        <v/>
      </c>
      <c r="BR255" t="str">
        <f t="shared" si="290"/>
        <v/>
      </c>
      <c r="BS255" t="str">
        <f t="shared" ca="1" si="291"/>
        <v/>
      </c>
      <c r="BT255" t="str">
        <f t="shared" si="298"/>
        <v/>
      </c>
      <c r="BU255" t="str">
        <f t="shared" si="292"/>
        <v/>
      </c>
      <c r="BV255">
        <f t="shared" si="293"/>
        <v>0</v>
      </c>
    </row>
    <row r="256" spans="6:74">
      <c r="F256" s="164">
        <f t="shared" ca="1" si="273"/>
        <v>0</v>
      </c>
      <c r="G256" s="164" t="str">
        <f t="array" aca="1" ref="G256" ca="1">IF(TRIM(INDIRECT("Columns!D2"))="","",TRIM(INDIRECT("Columns!D2")))</f>
        <v/>
      </c>
      <c r="S256" t="str">
        <f t="shared" si="274"/>
        <v/>
      </c>
      <c r="V256" t="str">
        <f t="shared" si="275"/>
        <v/>
      </c>
      <c r="Y256" t="str">
        <f t="shared" ca="1" si="276"/>
        <v/>
      </c>
      <c r="Z256" t="str">
        <f t="shared" ca="1" si="277"/>
        <v/>
      </c>
      <c r="AA256" t="str">
        <f>IF( A256="","",IF(OR(F256="1",H256="1",I256="1"),"","COALESCE (CAST("&amp;A256&amp;" as varchar(" &amp; Options!$B$49&amp; ")),'')"))</f>
        <v/>
      </c>
      <c r="AB256" t="str">
        <f>IF(C256="string",  IF( A256="","",IF(OR(F256="1",H256="1",I256="1"),"","COALESCE (CAST(lower("&amp;A256&amp;") as varchar(" &amp;Options!$B$49 &amp; ")),'')")),AA256)</f>
        <v/>
      </c>
      <c r="AE256" t="str">
        <f t="shared" si="278"/>
        <v/>
      </c>
      <c r="AF256" t="str">
        <f>IF(AE256&lt;&gt;"", HELPER!$B$93 &amp;  "." &amp; AE256,"")</f>
        <v/>
      </c>
      <c r="AG256" t="str">
        <f>IF(AE256&lt;&gt;"", HELPER!$B$94 &amp; "." &amp; AE256,"")</f>
        <v/>
      </c>
      <c r="AH256" t="str">
        <f t="shared" si="279"/>
        <v/>
      </c>
      <c r="AN256" t="str">
        <f t="shared" si="280"/>
        <v/>
      </c>
      <c r="AO256" t="str">
        <f>IF(A256&lt;&gt;"", IF(OR(F256="1",H256="1",I256="1"),""," "&amp; HELPER!$B$94 &amp; "." &amp; A256),"")</f>
        <v/>
      </c>
      <c r="AP256" t="str">
        <f t="shared" si="281"/>
        <v/>
      </c>
      <c r="AS256" t="str">
        <f>IF(A256="","",  HELPER!$B$94 &amp;  "." &amp; A256)</f>
        <v/>
      </c>
      <c r="AT256" t="str">
        <f t="shared" si="282"/>
        <v/>
      </c>
      <c r="AU256" t="str">
        <f t="shared" si="283"/>
        <v/>
      </c>
      <c r="AX256" t="str">
        <f>IF(COLUMNS!J207="","","LEFT JOIN "&amp; Options!$B$23 &amp; "." &amp;  COLUMNS!J207 &amp; " ON ")</f>
        <v/>
      </c>
      <c r="AY256" t="str">
        <f t="shared" si="284"/>
        <v/>
      </c>
      <c r="BA256" t="str">
        <f>IF(AZ256="","", "CAST(" &amp; AZ256 &amp; " AS varchar(" &amp; Options!$B$49 &amp; "))")</f>
        <v/>
      </c>
      <c r="BB256" t="str">
        <f t="shared" ca="1" si="285"/>
        <v/>
      </c>
      <c r="BC256" t="str">
        <f t="shared" si="294"/>
        <v/>
      </c>
      <c r="BF256" t="str">
        <f t="shared" si="286"/>
        <v/>
      </c>
      <c r="BG256" t="str">
        <f t="shared" si="287"/>
        <v/>
      </c>
      <c r="BH256" s="285" t="str">
        <f t="shared" ca="1" si="295"/>
        <v/>
      </c>
      <c r="BJ256" t="str">
        <f t="shared" si="288"/>
        <v/>
      </c>
      <c r="BM256" t="str">
        <f t="shared" si="296"/>
        <v/>
      </c>
      <c r="BN256" t="str">
        <f t="shared" si="297"/>
        <v/>
      </c>
      <c r="BO256" t="str">
        <f t="shared" ca="1" si="289"/>
        <v/>
      </c>
      <c r="BR256" t="str">
        <f t="shared" si="290"/>
        <v/>
      </c>
      <c r="BS256" t="str">
        <f t="shared" ca="1" si="291"/>
        <v/>
      </c>
      <c r="BT256" t="str">
        <f t="shared" si="298"/>
        <v/>
      </c>
      <c r="BU256" t="str">
        <f t="shared" si="292"/>
        <v/>
      </c>
      <c r="BV256">
        <f t="shared" si="293"/>
        <v>0</v>
      </c>
    </row>
    <row r="257" spans="6:74">
      <c r="F257" s="164">
        <f t="shared" ca="1" si="273"/>
        <v>0</v>
      </c>
      <c r="G257" s="164" t="str">
        <f t="array" aca="1" ref="G257" ca="1">IF(TRIM(INDIRECT("Columns!D2"))="","",TRIM(INDIRECT("Columns!D2")))</f>
        <v/>
      </c>
      <c r="S257" t="str">
        <f t="shared" si="274"/>
        <v/>
      </c>
      <c r="V257" t="str">
        <f t="shared" si="275"/>
        <v/>
      </c>
      <c r="Y257" t="str">
        <f t="shared" ca="1" si="276"/>
        <v/>
      </c>
      <c r="Z257" t="str">
        <f t="shared" ca="1" si="277"/>
        <v/>
      </c>
      <c r="AA257" t="str">
        <f>IF( A257="","",IF(OR(F257="1",H257="1",I257="1"),"","COALESCE (CAST("&amp;A257&amp;" as varchar(" &amp; Options!$B$49&amp; ")),'')"))</f>
        <v/>
      </c>
      <c r="AB257" t="str">
        <f>IF(C257="string",  IF( A257="","",IF(OR(F257="1",H257="1",I257="1"),"","COALESCE (CAST(lower("&amp;A257&amp;") as varchar(" &amp;Options!$B$49 &amp; ")),'')")),AA257)</f>
        <v/>
      </c>
      <c r="AE257" t="str">
        <f t="shared" si="278"/>
        <v/>
      </c>
      <c r="AF257" t="str">
        <f>IF(AE257&lt;&gt;"", HELPER!$B$93 &amp;  "." &amp; AE257,"")</f>
        <v/>
      </c>
      <c r="AG257" t="str">
        <f>IF(AE257&lt;&gt;"", HELPER!$B$94 &amp; "." &amp; AE257,"")</f>
        <v/>
      </c>
      <c r="AH257" t="str">
        <f t="shared" si="279"/>
        <v/>
      </c>
      <c r="AN257" t="str">
        <f t="shared" si="280"/>
        <v/>
      </c>
      <c r="AO257" t="str">
        <f>IF(A257&lt;&gt;"", IF(OR(F257="1",H257="1",I257="1"),""," "&amp; HELPER!$B$94 &amp; "." &amp; A257),"")</f>
        <v/>
      </c>
      <c r="AP257" t="str">
        <f t="shared" si="281"/>
        <v/>
      </c>
      <c r="AS257" t="str">
        <f>IF(A257="","",  HELPER!$B$94 &amp;  "." &amp; A257)</f>
        <v/>
      </c>
      <c r="AT257" t="str">
        <f t="shared" si="282"/>
        <v/>
      </c>
      <c r="AU257" t="str">
        <f t="shared" si="283"/>
        <v/>
      </c>
      <c r="AX257" t="str">
        <f>IF(COLUMNS!J208="","","LEFT JOIN "&amp; Options!$B$23 &amp; "." &amp;  COLUMNS!J208 &amp; " ON ")</f>
        <v/>
      </c>
      <c r="AY257" t="str">
        <f t="shared" si="284"/>
        <v/>
      </c>
      <c r="BA257" t="str">
        <f>IF(AZ257="","", "CAST(" &amp; AZ257 &amp; " AS varchar(" &amp; Options!$B$49 &amp; "))")</f>
        <v/>
      </c>
      <c r="BB257" t="str">
        <f t="shared" ca="1" si="285"/>
        <v/>
      </c>
      <c r="BC257" t="str">
        <f t="shared" si="294"/>
        <v/>
      </c>
      <c r="BF257" t="str">
        <f t="shared" si="286"/>
        <v/>
      </c>
      <c r="BG257" t="str">
        <f t="shared" si="287"/>
        <v/>
      </c>
      <c r="BH257" s="285" t="str">
        <f t="shared" ca="1" si="295"/>
        <v/>
      </c>
      <c r="BJ257" t="str">
        <f t="shared" si="288"/>
        <v/>
      </c>
      <c r="BM257" t="str">
        <f t="shared" si="296"/>
        <v/>
      </c>
      <c r="BN257" t="str">
        <f t="shared" si="297"/>
        <v/>
      </c>
      <c r="BO257" t="str">
        <f t="shared" ca="1" si="289"/>
        <v/>
      </c>
      <c r="BR257" t="str">
        <f t="shared" si="290"/>
        <v/>
      </c>
      <c r="BS257" t="str">
        <f t="shared" ca="1" si="291"/>
        <v/>
      </c>
      <c r="BT257" t="str">
        <f t="shared" si="298"/>
        <v/>
      </c>
      <c r="BU257" t="str">
        <f t="shared" si="292"/>
        <v/>
      </c>
      <c r="BV257">
        <f t="shared" si="293"/>
        <v>0</v>
      </c>
    </row>
    <row r="258" spans="6:74">
      <c r="F258" s="164">
        <f t="shared" ca="1" si="273"/>
        <v>0</v>
      </c>
      <c r="G258" s="164" t="str">
        <f t="array" aca="1" ref="G258" ca="1">IF(TRIM(INDIRECT("Columns!D2"))="","",TRIM(INDIRECT("Columns!D2")))</f>
        <v/>
      </c>
      <c r="S258" t="str">
        <f t="shared" si="274"/>
        <v/>
      </c>
      <c r="V258" t="str">
        <f t="shared" si="275"/>
        <v/>
      </c>
      <c r="Y258" t="str">
        <f t="shared" ca="1" si="276"/>
        <v/>
      </c>
      <c r="Z258" t="str">
        <f t="shared" ca="1" si="277"/>
        <v/>
      </c>
      <c r="AA258" t="str">
        <f>IF( A258="","",IF(OR(F258="1",H258="1",I258="1"),"","COALESCE (CAST("&amp;A258&amp;" as varchar(" &amp; Options!$B$49&amp; ")),'')"))</f>
        <v/>
      </c>
      <c r="AB258" t="str">
        <f>IF(C258="string",  IF( A258="","",IF(OR(F258="1",H258="1",I258="1"),"","COALESCE (CAST(lower("&amp;A258&amp;") as varchar(" &amp;Options!$B$49 &amp; ")),'')")),AA258)</f>
        <v/>
      </c>
      <c r="AE258" t="str">
        <f t="shared" si="278"/>
        <v/>
      </c>
      <c r="AF258" t="str">
        <f>IF(AE258&lt;&gt;"", HELPER!$B$93 &amp;  "." &amp; AE258,"")</f>
        <v/>
      </c>
      <c r="AG258" t="str">
        <f>IF(AE258&lt;&gt;"", HELPER!$B$94 &amp; "." &amp; AE258,"")</f>
        <v/>
      </c>
      <c r="AH258" t="str">
        <f t="shared" si="279"/>
        <v/>
      </c>
      <c r="AN258" t="str">
        <f t="shared" si="280"/>
        <v/>
      </c>
      <c r="AO258" t="str">
        <f>IF(A258&lt;&gt;"", IF(OR(F258="1",H258="1",I258="1"),""," "&amp; HELPER!$B$94 &amp; "." &amp; A258),"")</f>
        <v/>
      </c>
      <c r="AP258" t="str">
        <f t="shared" si="281"/>
        <v/>
      </c>
      <c r="AS258" t="str">
        <f>IF(A258="","",  HELPER!$B$94 &amp;  "." &amp; A258)</f>
        <v/>
      </c>
      <c r="AT258" t="str">
        <f t="shared" si="282"/>
        <v/>
      </c>
      <c r="AU258" t="str">
        <f t="shared" si="283"/>
        <v/>
      </c>
      <c r="AX258" t="str">
        <f>IF(COLUMNS!J209="","","LEFT JOIN "&amp; Options!$B$23 &amp; "." &amp;  COLUMNS!J209 &amp; " ON ")</f>
        <v/>
      </c>
      <c r="AY258" t="str">
        <f t="shared" si="284"/>
        <v/>
      </c>
      <c r="BA258" t="str">
        <f>IF(AZ258="","", "CAST(" &amp; AZ258 &amp; " AS varchar(" &amp; Options!$B$49 &amp; "))")</f>
        <v/>
      </c>
      <c r="BB258" t="str">
        <f t="shared" ca="1" si="285"/>
        <v/>
      </c>
      <c r="BC258" t="str">
        <f t="shared" si="294"/>
        <v/>
      </c>
      <c r="BF258" t="str">
        <f t="shared" si="286"/>
        <v/>
      </c>
      <c r="BG258" t="str">
        <f t="shared" si="287"/>
        <v/>
      </c>
      <c r="BH258" s="285" t="str">
        <f t="shared" ca="1" si="295"/>
        <v/>
      </c>
      <c r="BJ258" t="str">
        <f t="shared" si="288"/>
        <v/>
      </c>
      <c r="BM258" t="str">
        <f t="shared" si="296"/>
        <v/>
      </c>
      <c r="BN258" t="str">
        <f t="shared" si="297"/>
        <v/>
      </c>
      <c r="BO258" t="str">
        <f t="shared" ca="1" si="289"/>
        <v/>
      </c>
      <c r="BR258" t="str">
        <f t="shared" si="290"/>
        <v/>
      </c>
      <c r="BS258" t="str">
        <f t="shared" ca="1" si="291"/>
        <v/>
      </c>
      <c r="BT258" t="str">
        <f t="shared" si="298"/>
        <v/>
      </c>
      <c r="BU258" t="str">
        <f t="shared" si="292"/>
        <v/>
      </c>
      <c r="BV258">
        <f t="shared" si="293"/>
        <v>0</v>
      </c>
    </row>
    <row r="259" spans="6:74">
      <c r="F259" s="164">
        <f t="shared" ca="1" si="273"/>
        <v>0</v>
      </c>
      <c r="G259" s="164" t="str">
        <f t="array" aca="1" ref="G259" ca="1">IF(TRIM(INDIRECT("Columns!D2"))="","",TRIM(INDIRECT("Columns!D2")))</f>
        <v/>
      </c>
      <c r="S259" t="str">
        <f t="shared" si="274"/>
        <v/>
      </c>
      <c r="V259" t="str">
        <f t="shared" si="275"/>
        <v/>
      </c>
      <c r="Y259" t="str">
        <f t="shared" ca="1" si="276"/>
        <v/>
      </c>
      <c r="Z259" t="str">
        <f t="shared" ca="1" si="277"/>
        <v/>
      </c>
      <c r="AA259" t="str">
        <f>IF( A259="","",IF(OR(F259="1",H259="1",I259="1"),"","COALESCE (CAST("&amp;A259&amp;" as varchar(" &amp; Options!$B$49&amp; ")),'')"))</f>
        <v/>
      </c>
      <c r="AB259" t="str">
        <f>IF(C259="string",  IF( A259="","",IF(OR(F259="1",H259="1",I259="1"),"","COALESCE (CAST(lower("&amp;A259&amp;") as varchar(" &amp;Options!$B$49 &amp; ")),'')")),AA259)</f>
        <v/>
      </c>
      <c r="AE259" t="str">
        <f t="shared" si="278"/>
        <v/>
      </c>
      <c r="AF259" t="str">
        <f>IF(AE259&lt;&gt;"", HELPER!$B$93 &amp;  "." &amp; AE259,"")</f>
        <v/>
      </c>
      <c r="AG259" t="str">
        <f>IF(AE259&lt;&gt;"", HELPER!$B$94 &amp; "." &amp; AE259,"")</f>
        <v/>
      </c>
      <c r="AH259" t="str">
        <f t="shared" si="279"/>
        <v/>
      </c>
      <c r="AN259" t="str">
        <f t="shared" si="280"/>
        <v/>
      </c>
      <c r="AO259" t="str">
        <f>IF(A259&lt;&gt;"", IF(OR(F259="1",H259="1",I259="1"),""," "&amp; HELPER!$B$94 &amp; "." &amp; A259),"")</f>
        <v/>
      </c>
      <c r="AP259" t="str">
        <f t="shared" si="281"/>
        <v/>
      </c>
      <c r="AS259" t="str">
        <f>IF(A259="","",  HELPER!$B$94 &amp;  "." &amp; A259)</f>
        <v/>
      </c>
      <c r="AT259" t="str">
        <f t="shared" si="282"/>
        <v/>
      </c>
      <c r="AU259" t="str">
        <f t="shared" si="283"/>
        <v/>
      </c>
      <c r="AX259" t="str">
        <f>IF(COLUMNS!J210="","","LEFT JOIN "&amp; Options!$B$23 &amp; "." &amp;  COLUMNS!J210 &amp; " ON ")</f>
        <v/>
      </c>
      <c r="AY259" t="str">
        <f t="shared" si="284"/>
        <v/>
      </c>
      <c r="BA259" t="str">
        <f>IF(AZ259="","", "CAST(" &amp; AZ259 &amp; " AS varchar(" &amp; Options!$B$49 &amp; "))")</f>
        <v/>
      </c>
      <c r="BB259" t="str">
        <f t="shared" ca="1" si="285"/>
        <v/>
      </c>
      <c r="BC259" t="str">
        <f t="shared" si="294"/>
        <v/>
      </c>
      <c r="BF259" t="str">
        <f t="shared" si="286"/>
        <v/>
      </c>
      <c r="BG259" t="str">
        <f t="shared" si="287"/>
        <v/>
      </c>
      <c r="BH259" s="285" t="str">
        <f t="shared" ca="1" si="295"/>
        <v/>
      </c>
      <c r="BJ259" t="str">
        <f t="shared" si="288"/>
        <v/>
      </c>
      <c r="BM259" t="str">
        <f t="shared" si="296"/>
        <v/>
      </c>
      <c r="BN259" t="str">
        <f t="shared" si="297"/>
        <v/>
      </c>
      <c r="BO259" t="str">
        <f t="shared" ca="1" si="289"/>
        <v/>
      </c>
      <c r="BR259" t="str">
        <f t="shared" si="290"/>
        <v/>
      </c>
      <c r="BS259" t="str">
        <f t="shared" ca="1" si="291"/>
        <v/>
      </c>
      <c r="BT259" t="str">
        <f t="shared" si="298"/>
        <v/>
      </c>
      <c r="BU259" t="str">
        <f t="shared" si="292"/>
        <v/>
      </c>
      <c r="BV259">
        <f t="shared" si="293"/>
        <v>0</v>
      </c>
    </row>
    <row r="260" spans="6:74">
      <c r="F260" s="164">
        <f t="shared" ca="1" si="273"/>
        <v>0</v>
      </c>
      <c r="G260" s="164" t="str">
        <f t="array" aca="1" ref="G260" ca="1">IF(TRIM(INDIRECT("Columns!D2"))="","",TRIM(INDIRECT("Columns!D2")))</f>
        <v/>
      </c>
      <c r="S260" t="str">
        <f t="shared" si="274"/>
        <v/>
      </c>
      <c r="V260" t="str">
        <f t="shared" si="275"/>
        <v/>
      </c>
      <c r="Y260" t="str">
        <f t="shared" ca="1" si="276"/>
        <v/>
      </c>
      <c r="Z260" t="str">
        <f t="shared" ca="1" si="277"/>
        <v/>
      </c>
      <c r="AA260" t="str">
        <f>IF( A260="","",IF(OR(F260="1",H260="1",I260="1"),"","COALESCE (CAST("&amp;A260&amp;" as varchar(" &amp; Options!$B$49&amp; ")),'')"))</f>
        <v/>
      </c>
      <c r="AB260" t="str">
        <f>IF(C260="string",  IF( A260="","",IF(OR(F260="1",H260="1",I260="1"),"","COALESCE (CAST(lower("&amp;A260&amp;") as varchar(" &amp;Options!$B$49 &amp; ")),'')")),AA260)</f>
        <v/>
      </c>
      <c r="AE260" t="str">
        <f t="shared" si="278"/>
        <v/>
      </c>
      <c r="AF260" t="str">
        <f>IF(AE260&lt;&gt;"", HELPER!$B$93 &amp;  "." &amp; AE260,"")</f>
        <v/>
      </c>
      <c r="AG260" t="str">
        <f>IF(AE260&lt;&gt;"", HELPER!$B$94 &amp; "." &amp; AE260,"")</f>
        <v/>
      </c>
      <c r="AH260" t="str">
        <f t="shared" si="279"/>
        <v/>
      </c>
      <c r="AN260" t="str">
        <f t="shared" si="280"/>
        <v/>
      </c>
      <c r="AO260" t="str">
        <f>IF(A260&lt;&gt;"", IF(OR(F260="1",H260="1",I260="1"),""," "&amp; HELPER!$B$94 &amp; "." &amp; A260),"")</f>
        <v/>
      </c>
      <c r="AP260" t="str">
        <f t="shared" si="281"/>
        <v/>
      </c>
      <c r="AS260" t="str">
        <f>IF(A260="","",  HELPER!$B$94 &amp;  "." &amp; A260)</f>
        <v/>
      </c>
      <c r="AT260" t="str">
        <f t="shared" si="282"/>
        <v/>
      </c>
      <c r="AU260" t="str">
        <f t="shared" si="283"/>
        <v/>
      </c>
      <c r="AX260" t="str">
        <f>IF(COLUMNS!J211="","","LEFT JOIN "&amp; Options!$B$23 &amp; "." &amp;  COLUMNS!J211 &amp; " ON ")</f>
        <v/>
      </c>
      <c r="AY260" t="str">
        <f t="shared" si="284"/>
        <v/>
      </c>
      <c r="BA260" t="str">
        <f>IF(AZ260="","", "CAST(" &amp; AZ260 &amp; " AS varchar(" &amp; Options!$B$49 &amp; "))")</f>
        <v/>
      </c>
      <c r="BB260" t="str">
        <f t="shared" ca="1" si="285"/>
        <v/>
      </c>
      <c r="BC260" t="str">
        <f t="shared" si="294"/>
        <v/>
      </c>
      <c r="BF260" t="str">
        <f t="shared" si="286"/>
        <v/>
      </c>
      <c r="BG260" t="str">
        <f t="shared" si="287"/>
        <v/>
      </c>
      <c r="BH260" s="285" t="str">
        <f t="shared" ca="1" si="295"/>
        <v/>
      </c>
      <c r="BJ260" t="str">
        <f t="shared" si="288"/>
        <v/>
      </c>
      <c r="BM260" t="str">
        <f t="shared" si="296"/>
        <v/>
      </c>
      <c r="BN260" t="str">
        <f t="shared" si="297"/>
        <v/>
      </c>
      <c r="BO260" t="str">
        <f t="shared" ca="1" si="289"/>
        <v/>
      </c>
      <c r="BR260" t="str">
        <f t="shared" si="290"/>
        <v/>
      </c>
      <c r="BS260" t="str">
        <f t="shared" ca="1" si="291"/>
        <v/>
      </c>
      <c r="BT260" t="str">
        <f t="shared" si="298"/>
        <v/>
      </c>
      <c r="BU260" t="str">
        <f t="shared" si="292"/>
        <v/>
      </c>
      <c r="BV260">
        <f t="shared" si="293"/>
        <v>0</v>
      </c>
    </row>
    <row r="261" spans="6:74">
      <c r="F261" s="164">
        <f t="shared" ca="1" si="273"/>
        <v>0</v>
      </c>
      <c r="G261" s="164" t="str">
        <f t="array" aca="1" ref="G261" ca="1">IF(TRIM(INDIRECT("Columns!D2"))="","",TRIM(INDIRECT("Columns!D2")))</f>
        <v/>
      </c>
      <c r="S261" t="str">
        <f t="shared" si="274"/>
        <v/>
      </c>
      <c r="V261" t="str">
        <f t="shared" si="275"/>
        <v/>
      </c>
      <c r="Y261" t="str">
        <f t="shared" ca="1" si="276"/>
        <v/>
      </c>
      <c r="Z261" t="str">
        <f t="shared" ca="1" si="277"/>
        <v/>
      </c>
      <c r="AA261" t="str">
        <f>IF( A261="","",IF(OR(F261="1",H261="1",I261="1"),"","COALESCE (CAST("&amp;A261&amp;" as varchar(" &amp; Options!$B$49&amp; ")),'')"))</f>
        <v/>
      </c>
      <c r="AB261" t="str">
        <f>IF(C261="string",  IF( A261="","",IF(OR(F261="1",H261="1",I261="1"),"","COALESCE (CAST(lower("&amp;A261&amp;") as varchar(" &amp;Options!$B$49 &amp; ")),'')")),AA261)</f>
        <v/>
      </c>
      <c r="AE261" t="str">
        <f t="shared" si="278"/>
        <v/>
      </c>
      <c r="AF261" t="str">
        <f>IF(AE261&lt;&gt;"", HELPER!$B$93 &amp;  "." &amp; AE261,"")</f>
        <v/>
      </c>
      <c r="AG261" t="str">
        <f>IF(AE261&lt;&gt;"", HELPER!$B$94 &amp; "." &amp; AE261,"")</f>
        <v/>
      </c>
      <c r="AH261" t="str">
        <f t="shared" si="279"/>
        <v/>
      </c>
      <c r="AN261" t="str">
        <f t="shared" si="280"/>
        <v/>
      </c>
      <c r="AO261" t="str">
        <f>IF(A261&lt;&gt;"", IF(OR(F261="1",H261="1",I261="1"),""," "&amp; HELPER!$B$94 &amp; "." &amp; A261),"")</f>
        <v/>
      </c>
      <c r="AP261" t="str">
        <f t="shared" si="281"/>
        <v/>
      </c>
      <c r="AS261" t="str">
        <f>IF(A261="","",  HELPER!$B$94 &amp;  "." &amp; A261)</f>
        <v/>
      </c>
      <c r="AT261" t="str">
        <f t="shared" si="282"/>
        <v/>
      </c>
      <c r="AU261" t="str">
        <f t="shared" si="283"/>
        <v/>
      </c>
      <c r="AX261" t="str">
        <f>IF(COLUMNS!J212="","","LEFT JOIN "&amp; Options!$B$23 &amp; "." &amp;  COLUMNS!J212 &amp; " ON ")</f>
        <v/>
      </c>
      <c r="AY261" t="str">
        <f t="shared" si="284"/>
        <v/>
      </c>
      <c r="BA261" t="str">
        <f>IF(AZ261="","", "CAST(" &amp; AZ261 &amp; " AS varchar(" &amp; Options!$B$49 &amp; "))")</f>
        <v/>
      </c>
      <c r="BB261" t="str">
        <f t="shared" ca="1" si="285"/>
        <v/>
      </c>
      <c r="BC261" t="str">
        <f t="shared" si="294"/>
        <v/>
      </c>
      <c r="BF261" t="str">
        <f t="shared" si="286"/>
        <v/>
      </c>
      <c r="BG261" t="str">
        <f t="shared" si="287"/>
        <v/>
      </c>
      <c r="BH261" s="285" t="str">
        <f t="shared" ca="1" si="295"/>
        <v/>
      </c>
      <c r="BJ261" t="str">
        <f t="shared" si="288"/>
        <v/>
      </c>
      <c r="BM261" t="str">
        <f t="shared" si="296"/>
        <v/>
      </c>
      <c r="BN261" t="str">
        <f t="shared" si="297"/>
        <v/>
      </c>
      <c r="BO261" t="str">
        <f t="shared" ca="1" si="289"/>
        <v/>
      </c>
      <c r="BR261" t="str">
        <f t="shared" si="290"/>
        <v/>
      </c>
      <c r="BS261" t="str">
        <f t="shared" ca="1" si="291"/>
        <v/>
      </c>
      <c r="BT261" t="str">
        <f t="shared" si="298"/>
        <v/>
      </c>
      <c r="BU261" t="str">
        <f t="shared" si="292"/>
        <v/>
      </c>
      <c r="BV261">
        <f t="shared" si="293"/>
        <v>0</v>
      </c>
    </row>
    <row r="262" spans="6:74">
      <c r="F262" s="164">
        <f t="shared" ca="1" si="273"/>
        <v>0</v>
      </c>
      <c r="G262" s="164" t="str">
        <f t="array" aca="1" ref="G262" ca="1">IF(TRIM(INDIRECT("Columns!D2"))="","",TRIM(INDIRECT("Columns!D2")))</f>
        <v/>
      </c>
      <c r="S262" t="str">
        <f t="shared" si="274"/>
        <v/>
      </c>
      <c r="V262" t="str">
        <f t="shared" si="275"/>
        <v/>
      </c>
      <c r="Y262" t="str">
        <f t="shared" ca="1" si="276"/>
        <v/>
      </c>
      <c r="Z262" t="str">
        <f t="shared" ca="1" si="277"/>
        <v/>
      </c>
      <c r="AA262" t="str">
        <f>IF( A262="","",IF(OR(F262="1",H262="1",I262="1"),"","COALESCE (CAST("&amp;A262&amp;" as varchar(" &amp; Options!$B$49&amp; ")),'')"))</f>
        <v/>
      </c>
      <c r="AB262" t="str">
        <f>IF(C262="string",  IF( A262="","",IF(OR(F262="1",H262="1",I262="1"),"","COALESCE (CAST(lower("&amp;A262&amp;") as varchar(" &amp;Options!$B$49 &amp; ")),'')")),AA262)</f>
        <v/>
      </c>
      <c r="AE262" t="str">
        <f t="shared" si="278"/>
        <v/>
      </c>
      <c r="AF262" t="str">
        <f>IF(AE262&lt;&gt;"", HELPER!$B$93 &amp;  "." &amp; AE262,"")</f>
        <v/>
      </c>
      <c r="AG262" t="str">
        <f>IF(AE262&lt;&gt;"", HELPER!$B$94 &amp; "." &amp; AE262,"")</f>
        <v/>
      </c>
      <c r="AH262" t="str">
        <f t="shared" si="279"/>
        <v/>
      </c>
      <c r="AN262" t="str">
        <f t="shared" si="280"/>
        <v/>
      </c>
      <c r="AO262" t="str">
        <f>IF(A262&lt;&gt;"", IF(OR(F262="1",H262="1",I262="1"),""," "&amp; HELPER!$B$94 &amp; "." &amp; A262),"")</f>
        <v/>
      </c>
      <c r="AP262" t="str">
        <f t="shared" si="281"/>
        <v/>
      </c>
      <c r="AS262" t="str">
        <f>IF(A262="","",  HELPER!$B$94 &amp;  "." &amp; A262)</f>
        <v/>
      </c>
      <c r="AT262" t="str">
        <f t="shared" si="282"/>
        <v/>
      </c>
      <c r="AU262" t="str">
        <f t="shared" si="283"/>
        <v/>
      </c>
      <c r="AX262" t="str">
        <f>IF(COLUMNS!J213="","","LEFT JOIN "&amp; Options!$B$23 &amp; "." &amp;  COLUMNS!J213 &amp; " ON ")</f>
        <v/>
      </c>
      <c r="AY262" t="str">
        <f t="shared" si="284"/>
        <v/>
      </c>
      <c r="BA262" t="str">
        <f>IF(AZ262="","", "CAST(" &amp; AZ262 &amp; " AS varchar(" &amp; Options!$B$49 &amp; "))")</f>
        <v/>
      </c>
      <c r="BB262" t="str">
        <f t="shared" ca="1" si="285"/>
        <v/>
      </c>
      <c r="BC262" t="str">
        <f t="shared" si="294"/>
        <v/>
      </c>
      <c r="BF262" t="str">
        <f t="shared" si="286"/>
        <v/>
      </c>
      <c r="BG262" t="str">
        <f t="shared" si="287"/>
        <v/>
      </c>
      <c r="BH262" s="285" t="str">
        <f t="shared" ca="1" si="295"/>
        <v/>
      </c>
      <c r="BJ262" t="str">
        <f t="shared" si="288"/>
        <v/>
      </c>
      <c r="BM262" t="str">
        <f t="shared" si="296"/>
        <v/>
      </c>
      <c r="BN262" t="str">
        <f t="shared" si="297"/>
        <v/>
      </c>
      <c r="BO262" t="str">
        <f t="shared" ca="1" si="289"/>
        <v/>
      </c>
      <c r="BR262" t="str">
        <f t="shared" si="290"/>
        <v/>
      </c>
      <c r="BS262" t="str">
        <f t="shared" ca="1" si="291"/>
        <v/>
      </c>
      <c r="BT262" t="str">
        <f t="shared" si="298"/>
        <v/>
      </c>
      <c r="BU262" t="str">
        <f t="shared" si="292"/>
        <v/>
      </c>
      <c r="BV262">
        <f t="shared" si="293"/>
        <v>0</v>
      </c>
    </row>
    <row r="263" spans="6:74">
      <c r="F263" s="164">
        <f t="shared" ca="1" si="273"/>
        <v>0</v>
      </c>
      <c r="G263" s="164" t="str">
        <f t="array" aca="1" ref="G263" ca="1">IF(TRIM(INDIRECT("Columns!D2"))="","",TRIM(INDIRECT("Columns!D2")))</f>
        <v/>
      </c>
      <c r="S263" t="str">
        <f t="shared" ref="S263:S275" si="299">IF(A263="","",A263 &amp; " " &amp; IF(C263="array&lt;varchar&gt;","array&lt;string&gt;",C263))</f>
        <v/>
      </c>
      <c r="V263" t="str">
        <f t="shared" ref="V263:V275" si="300">IF(A263="","",IF(F263&lt;&gt;"1",S263,""))</f>
        <v/>
      </c>
      <c r="Y263" t="str">
        <f t="shared" ref="Y263:Y275" ca="1" si="301">IF(F263="1",A263 &amp; " " &amp; C263,"" )</f>
        <v/>
      </c>
      <c r="Z263" t="str">
        <f t="shared" ref="Z263:Z275" ca="1" si="302">IF(F263="1",A263,"")</f>
        <v/>
      </c>
      <c r="AA263" t="str">
        <f>IF( A263="","",IF(OR(F263="1",H263="1",I263="1"),"","COALESCE (CAST("&amp;A263&amp;" as varchar(" &amp; Options!$B$49&amp; ")),'')"))</f>
        <v/>
      </c>
      <c r="AB263" t="str">
        <f>IF(C263="string",  IF( A263="","",IF(OR(F263="1",H263="1",I263="1"),"","COALESCE (CAST(lower("&amp;A263&amp;") as varchar(" &amp;Options!$B$49 &amp; ")),'')")),AA263)</f>
        <v/>
      </c>
      <c r="AE263" t="str">
        <f t="shared" ref="AE263:AE275" si="303">IF(H263="1",A263,"")</f>
        <v/>
      </c>
      <c r="AF263" t="str">
        <f>IF(AE263&lt;&gt;"", HELPER!$B$93 &amp;  "." &amp; AE263,"")</f>
        <v/>
      </c>
      <c r="AG263" t="str">
        <f>IF(AE263&lt;&gt;"", HELPER!$B$94 &amp; "." &amp; AE263,"")</f>
        <v/>
      </c>
      <c r="AH263" t="str">
        <f t="shared" ref="AH263:AH275" si="304">IF(AE263&lt;&gt;"",AF263&amp;" = "&amp;AU263,"")</f>
        <v/>
      </c>
      <c r="AN263" t="str">
        <f t="shared" ref="AN263:AN275" si="305">IF(A263="","", IF(OR(F263="1",H263="1",I263="1"),"", A263))</f>
        <v/>
      </c>
      <c r="AO263" t="str">
        <f>IF(A263&lt;&gt;"", IF(OR(F263="1",H263="1",I263="1"),""," "&amp; HELPER!$B$94 &amp; "." &amp; A263),"")</f>
        <v/>
      </c>
      <c r="AP263" t="str">
        <f t="shared" ref="AP263:AP275" si="306">IF(A263="","", IF(AN263="","",AN263 &amp; " = " &amp; AO263))</f>
        <v/>
      </c>
      <c r="AS263" t="str">
        <f>IF(A263="","",  HELPER!$B$94 &amp;  "." &amp; A263)</f>
        <v/>
      </c>
      <c r="AT263" t="str">
        <f t="shared" ref="AT263:AT275" si="307">IF(I263="1",A263,"")</f>
        <v/>
      </c>
      <c r="AU263" t="str">
        <f t="shared" ref="AU263:AU275" si="308">IF(C263="string","COALESCE(" &amp; AS263 &amp; ",'')",AS263)</f>
        <v/>
      </c>
      <c r="AX263" t="str">
        <f>IF(COLUMNS!J214="","","LEFT JOIN "&amp; Options!$B$23 &amp; "." &amp;  COLUMNS!J214 &amp; " ON ")</f>
        <v/>
      </c>
      <c r="AY263" t="str">
        <f t="shared" ref="AY263:AY269" si="309">IF(A263="","",IF(I263="1","", IF(B263="",A263, B263) &amp;" AS "&amp;A263))</f>
        <v/>
      </c>
      <c r="BA263" t="str">
        <f>IF(AZ263="","", "CAST(" &amp; AZ263 &amp; " AS varchar(" &amp; Options!$B$49 &amp; "))")</f>
        <v/>
      </c>
      <c r="BB263" t="str">
        <f t="shared" ref="BB263:BB275" ca="1" si="310">IF(F263="1",IF(B263="",A263,B263),"")</f>
        <v/>
      </c>
      <c r="BC263" t="str">
        <f>IF(AZ263="","","COALESCE(" &amp;  AZ263 &amp; "," &amp; IF(C263="string","''",0  ) &amp; ") AS " &amp; A263)</f>
        <v/>
      </c>
      <c r="BF263" t="str">
        <f t="shared" ref="BF263:BF275" si="311">IF(A263="","",IF(I263="1","",B263&amp;" AS "&amp;A263))</f>
        <v/>
      </c>
      <c r="BG263" t="str">
        <f t="shared" si="287"/>
        <v/>
      </c>
      <c r="BH263" s="285" t="str">
        <f t="shared" ca="1" si="295"/>
        <v/>
      </c>
      <c r="BJ263" t="str">
        <f t="shared" ref="BJ263:BJ275" si="312">IF(A263="","",IF(I263="1","-1",IF(C263="string","'missing'","0")))</f>
        <v/>
      </c>
      <c r="BM263" t="str">
        <f>IF(A263="","",IF(I263="1","",IF(C263&lt;&gt;D263,  IF(AND(D263="string",C263="timestamp"),"cast(from_iso8601_timestamp(" &amp; BO263 &amp; ") as timestamp) AS " &amp; A263, IF(AND(D263="string",C263="date"),"cast( from_iso8601_timestamp(" &amp; BO263 &amp;") as date) AS " &amp; A263,"")),BO263 &amp; " AS " &amp; A263)))</f>
        <v/>
      </c>
      <c r="BN263" t="str">
        <f>IF(A263="","",IF(I263="1","",IF(C263&lt;&gt;D263,  IF(AND(D263="string",C263="timestamp"),"cast(from_iso8601_timestamp(" &amp; BO263 &amp; ") as timestamp) AS " &amp; A263, IF(AND(D263="string",C263="date"),"cast( from_iso8601_timestamp(" &amp; BO263 &amp;") as date) AS " &amp; A263,"")),BO263 &amp; " AS " &amp; A263)))</f>
        <v/>
      </c>
      <c r="BO263" t="str">
        <f t="shared" ref="BO263:BO275" ca="1" si="313">IF(G263="", IF(B263="","","f." &amp; B263),G263)</f>
        <v/>
      </c>
      <c r="BR263" t="str">
        <f t="shared" ref="BR263:BR275" si="314">IF(M263&lt;&gt;"",A263 &amp; M263,"")</f>
        <v/>
      </c>
      <c r="BS263" t="str">
        <f t="shared" ref="BS263:BS275" ca="1" si="315">IF(F263="1",SUBSTITUTE(BR263,"'",""),"")</f>
        <v/>
      </c>
      <c r="BT263" t="str">
        <f>IF(N263="","", SUBSTITUTE(BR263,"[:date_yyyy_mm_dd]",  N263))</f>
        <v/>
      </c>
      <c r="BU263" t="str">
        <f t="shared" ref="BU263:BU275" si="316">IF(N263="","",SUBSTITUTE(BS263,"[:date_yyyy_mm_dd]",SUBSTITUTE(N263,"'","")))</f>
        <v/>
      </c>
      <c r="BV263">
        <f t="shared" ref="BV263:BV275" si="317">IF(A262="",0,1)</f>
        <v>0</v>
      </c>
    </row>
    <row r="264" spans="6:74">
      <c r="F264" s="164">
        <f t="shared" ca="1" si="273"/>
        <v>0</v>
      </c>
      <c r="G264" s="164" t="str">
        <f t="array" aca="1" ref="G264" ca="1">IF(TRIM(INDIRECT("Columns!D2"))="","",TRIM(INDIRECT("Columns!D2")))</f>
        <v/>
      </c>
      <c r="S264" t="str">
        <f t="shared" si="299"/>
        <v/>
      </c>
      <c r="V264" t="str">
        <f t="shared" si="300"/>
        <v/>
      </c>
      <c r="Y264" t="str">
        <f t="shared" ca="1" si="301"/>
        <v/>
      </c>
      <c r="Z264" t="str">
        <f t="shared" ca="1" si="302"/>
        <v/>
      </c>
      <c r="AA264" t="str">
        <f>IF( A264="","",IF(OR(F264="1",H264="1",I264="1"),"","COALESCE (CAST("&amp;A264&amp;" as varchar(" &amp; Options!$B$49&amp; ")),'')"))</f>
        <v/>
      </c>
      <c r="AB264" t="str">
        <f>IF(C264="string",  IF( A264="","",IF(OR(F264="1",H264="1",I264="1"),"","COALESCE (CAST(lower("&amp;A264&amp;") as varchar(" &amp;Options!$B$49 &amp; ")),'')")),AA264)</f>
        <v/>
      </c>
      <c r="AE264" t="str">
        <f t="shared" si="303"/>
        <v/>
      </c>
      <c r="AF264" t="str">
        <f>IF(AE264&lt;&gt;"", HELPER!$B$93 &amp;  "." &amp; AE264,"")</f>
        <v/>
      </c>
      <c r="AG264" t="str">
        <f>IF(AE264&lt;&gt;"", HELPER!$B$94 &amp; "." &amp; AE264,"")</f>
        <v/>
      </c>
      <c r="AH264" t="str">
        <f t="shared" si="304"/>
        <v/>
      </c>
      <c r="AN264" t="str">
        <f t="shared" si="305"/>
        <v/>
      </c>
      <c r="AO264" t="str">
        <f>IF(A264&lt;&gt;"", IF(OR(F264="1",H264="1",I264="1"),""," "&amp; HELPER!$B$94 &amp; "." &amp; A264),"")</f>
        <v/>
      </c>
      <c r="AP264" t="str">
        <f t="shared" si="306"/>
        <v/>
      </c>
      <c r="AS264" t="str">
        <f>IF(A264="","",  HELPER!$B$94 &amp;  "." &amp; A264)</f>
        <v/>
      </c>
      <c r="AT264" t="str">
        <f t="shared" si="307"/>
        <v/>
      </c>
      <c r="AU264" t="str">
        <f t="shared" si="308"/>
        <v/>
      </c>
      <c r="AX264" t="str">
        <f>IF(COLUMNS!J215="","","LEFT JOIN "&amp; Options!$B$23 &amp; "." &amp;  COLUMNS!J215 &amp; " ON ")</f>
        <v/>
      </c>
      <c r="AY264" t="str">
        <f t="shared" si="309"/>
        <v/>
      </c>
      <c r="BA264" t="str">
        <f>IF(AZ264="","", "CAST(" &amp; AZ264 &amp; " AS varchar(" &amp; Options!$B$49 &amp; "))")</f>
        <v/>
      </c>
      <c r="BB264" t="str">
        <f t="shared" ca="1" si="310"/>
        <v/>
      </c>
      <c r="BC264" t="str">
        <f t="shared" ref="BC264:BC275" si="318">IF(AZ264="","","COALESCE(" &amp; AZ264 &amp; "," &amp; IF(C264="string","''",0 ) &amp; ") AS " &amp; A264)</f>
        <v/>
      </c>
      <c r="BF264" t="str">
        <f t="shared" si="311"/>
        <v/>
      </c>
      <c r="BG264" t="str">
        <f t="shared" si="287"/>
        <v/>
      </c>
      <c r="BH264" s="285" t="str">
        <f ca="1">IF(G264="",   IF(B264="","","COALESCE(" &amp;  B264 &amp; "," &amp; IF(C264="string","''",0  ) &amp; ") AS " &amp; A264),G264 &amp; " AS " &amp;A264 )</f>
        <v/>
      </c>
      <c r="BJ264" t="str">
        <f t="shared" si="312"/>
        <v/>
      </c>
      <c r="BM264" t="str">
        <f t="shared" ref="BM264:BM275" si="319">IF(A264="","",IF(I264="1","",IF(C264&lt;&gt;D264, IF(AND(D264="string",C264="timestamp"),"cast(from_iso8601_timestamp(" &amp; BO264 &amp; ") as timestamp) AS " &amp; A264, IF(AND(D264="string",C264="date"),"cast( from_iso8601_timestamp(" &amp; BO264 &amp;") as date) AS " &amp; A264,"")),BO264 &amp; " AS " &amp; A264)))</f>
        <v/>
      </c>
      <c r="BN264" t="str">
        <f t="shared" ref="BN264:BN275" si="320">IF(A264="","",IF(I264="1","",IF(C264&lt;&gt;D264, IF(AND(D264="string",C264="timestamp"),"cast(from_iso8601_timestamp(" &amp; BO264 &amp; ") as timestamp) AS " &amp; A264, IF(AND(D264="string",C264="date"),"cast( from_iso8601_timestamp(" &amp; BO264 &amp;") as date) AS " &amp; A264,"")),BO264 &amp; " AS " &amp; A264)))</f>
        <v/>
      </c>
      <c r="BO264" t="str">
        <f t="shared" ca="1" si="313"/>
        <v/>
      </c>
      <c r="BR264" t="str">
        <f t="shared" si="314"/>
        <v/>
      </c>
      <c r="BS264" t="str">
        <f t="shared" ca="1" si="315"/>
        <v/>
      </c>
      <c r="BT264" t="str">
        <f t="shared" ref="BT264:BT275" si="321">IF(N264="","", SUBSTITUTE(BR264,"[:date_yyyy_mm_dd]", N264))</f>
        <v/>
      </c>
      <c r="BU264" t="str">
        <f t="shared" si="316"/>
        <v/>
      </c>
      <c r="BV264">
        <f t="shared" si="317"/>
        <v>0</v>
      </c>
    </row>
    <row r="265" spans="6:74">
      <c r="F265" s="164">
        <f t="shared" ca="1" si="273"/>
        <v>0</v>
      </c>
      <c r="G265" s="164" t="str">
        <f t="array" aca="1" ref="G265" ca="1">IF(TRIM(INDIRECT("Columns!D2"))="","",TRIM(INDIRECT("Columns!D2")))</f>
        <v/>
      </c>
      <c r="S265" t="str">
        <f t="shared" si="299"/>
        <v/>
      </c>
      <c r="V265" t="str">
        <f t="shared" si="300"/>
        <v/>
      </c>
      <c r="Y265" t="str">
        <f t="shared" ca="1" si="301"/>
        <v/>
      </c>
      <c r="Z265" t="str">
        <f t="shared" ca="1" si="302"/>
        <v/>
      </c>
      <c r="AA265" t="str">
        <f>IF( A265="","",IF(OR(F265="1",H265="1",I265="1"),"","COALESCE (CAST("&amp;A265&amp;" as varchar(" &amp; Options!$B$49&amp; ")),'')"))</f>
        <v/>
      </c>
      <c r="AB265" t="str">
        <f>IF(C265="string",  IF( A265="","",IF(OR(F265="1",H265="1",I265="1"),"","COALESCE (CAST(lower("&amp;A265&amp;") as varchar(" &amp;Options!$B$49 &amp; ")),'')")),AA265)</f>
        <v/>
      </c>
      <c r="AE265" t="str">
        <f t="shared" si="303"/>
        <v/>
      </c>
      <c r="AF265" t="str">
        <f>IF(AE265&lt;&gt;"", HELPER!$B$93 &amp;  "." &amp; AE265,"")</f>
        <v/>
      </c>
      <c r="AG265" t="str">
        <f>IF(AE265&lt;&gt;"", HELPER!$B$94 &amp; "." &amp; AE265,"")</f>
        <v/>
      </c>
      <c r="AH265" t="str">
        <f t="shared" si="304"/>
        <v/>
      </c>
      <c r="AN265" t="str">
        <f t="shared" si="305"/>
        <v/>
      </c>
      <c r="AO265" t="str">
        <f>IF(A265&lt;&gt;"", IF(OR(F265="1",H265="1",I265="1"),""," "&amp; HELPER!$B$94 &amp; "." &amp; A265),"")</f>
        <v/>
      </c>
      <c r="AP265" t="str">
        <f t="shared" si="306"/>
        <v/>
      </c>
      <c r="AS265" t="str">
        <f>IF(A265="","",  HELPER!$B$94 &amp;  "." &amp; A265)</f>
        <v/>
      </c>
      <c r="AT265" t="str">
        <f t="shared" si="307"/>
        <v/>
      </c>
      <c r="AU265" t="str">
        <f t="shared" si="308"/>
        <v/>
      </c>
      <c r="AX265" t="str">
        <f>IF(COLUMNS!J216="","","LEFT JOIN "&amp; Options!$B$23 &amp; "." &amp;  COLUMNS!J216 &amp; " ON ")</f>
        <v/>
      </c>
      <c r="AY265" t="str">
        <f t="shared" si="309"/>
        <v/>
      </c>
      <c r="BA265" t="str">
        <f>IF(AZ265="","", "CAST(" &amp; AZ265 &amp; " AS varchar(" &amp; Options!$B$49 &amp; "))")</f>
        <v/>
      </c>
      <c r="BB265" t="str">
        <f t="shared" ca="1" si="310"/>
        <v/>
      </c>
      <c r="BC265" t="str">
        <f t="shared" si="318"/>
        <v/>
      </c>
      <c r="BF265" t="str">
        <f t="shared" si="311"/>
        <v/>
      </c>
      <c r="BG265" t="str">
        <f t="shared" si="287"/>
        <v/>
      </c>
      <c r="BH265" s="285" t="str">
        <f t="shared" ref="BH265:BH275" ca="1" si="322">IF(G265="", IF(B265="","","COALESCE(" &amp; B265 &amp; "," &amp; IF(C265="string","''",0 ) &amp; ") AS " &amp; A265),G265 &amp; " AS " &amp;A265 )</f>
        <v/>
      </c>
      <c r="BJ265" t="str">
        <f t="shared" si="312"/>
        <v/>
      </c>
      <c r="BM265" t="str">
        <f t="shared" si="319"/>
        <v/>
      </c>
      <c r="BN265" t="str">
        <f t="shared" si="320"/>
        <v/>
      </c>
      <c r="BO265" t="str">
        <f t="shared" ca="1" si="313"/>
        <v/>
      </c>
      <c r="BR265" t="str">
        <f t="shared" si="314"/>
        <v/>
      </c>
      <c r="BS265" t="str">
        <f t="shared" ca="1" si="315"/>
        <v/>
      </c>
      <c r="BT265" t="str">
        <f t="shared" si="321"/>
        <v/>
      </c>
      <c r="BU265" t="str">
        <f t="shared" si="316"/>
        <v/>
      </c>
      <c r="BV265">
        <f t="shared" si="317"/>
        <v>0</v>
      </c>
    </row>
    <row r="266" spans="6:74">
      <c r="F266" s="164">
        <f t="shared" ca="1" si="273"/>
        <v>0</v>
      </c>
      <c r="G266" s="164" t="str">
        <f t="array" aca="1" ref="G266" ca="1">IF(TRIM(INDIRECT("Columns!D2"))="","",TRIM(INDIRECT("Columns!D2")))</f>
        <v/>
      </c>
      <c r="S266" t="str">
        <f t="shared" si="299"/>
        <v/>
      </c>
      <c r="V266" t="str">
        <f t="shared" si="300"/>
        <v/>
      </c>
      <c r="Y266" t="str">
        <f t="shared" ca="1" si="301"/>
        <v/>
      </c>
      <c r="Z266" t="str">
        <f t="shared" ca="1" si="302"/>
        <v/>
      </c>
      <c r="AA266" t="str">
        <f>IF( A266="","",IF(OR(F266="1",H266="1",I266="1"),"","COALESCE (CAST("&amp;A266&amp;" as varchar(" &amp; Options!$B$49&amp; ")),'')"))</f>
        <v/>
      </c>
      <c r="AB266" t="str">
        <f>IF(C266="string",  IF( A266="","",IF(OR(F266="1",H266="1",I266="1"),"","COALESCE (CAST(lower("&amp;A266&amp;") as varchar(" &amp;Options!$B$49 &amp; ")),'')")),AA266)</f>
        <v/>
      </c>
      <c r="AE266" t="str">
        <f t="shared" si="303"/>
        <v/>
      </c>
      <c r="AF266" t="str">
        <f>IF(AE266&lt;&gt;"", HELPER!$B$93 &amp;  "." &amp; AE266,"")</f>
        <v/>
      </c>
      <c r="AG266" t="str">
        <f>IF(AE266&lt;&gt;"", HELPER!$B$94 &amp; "." &amp; AE266,"")</f>
        <v/>
      </c>
      <c r="AH266" t="str">
        <f t="shared" si="304"/>
        <v/>
      </c>
      <c r="AN266" t="str">
        <f t="shared" si="305"/>
        <v/>
      </c>
      <c r="AO266" t="str">
        <f>IF(A266&lt;&gt;"", IF(OR(F266="1",H266="1",I266="1"),""," "&amp; HELPER!$B$94 &amp; "." &amp; A266),"")</f>
        <v/>
      </c>
      <c r="AP266" t="str">
        <f t="shared" si="306"/>
        <v/>
      </c>
      <c r="AS266" t="str">
        <f>IF(A266="","",  HELPER!$B$94 &amp;  "." &amp; A266)</f>
        <v/>
      </c>
      <c r="AT266" t="str">
        <f t="shared" si="307"/>
        <v/>
      </c>
      <c r="AU266" t="str">
        <f t="shared" si="308"/>
        <v/>
      </c>
      <c r="AX266" t="str">
        <f>IF(COLUMNS!J217="","","LEFT JOIN "&amp; Options!$B$23 &amp; "." &amp;  COLUMNS!J217 &amp; " ON ")</f>
        <v/>
      </c>
      <c r="AY266" t="str">
        <f t="shared" si="309"/>
        <v/>
      </c>
      <c r="BA266" t="str">
        <f>IF(AZ266="","", "CAST(" &amp; AZ266 &amp; " AS varchar(" &amp; Options!$B$49 &amp; "))")</f>
        <v/>
      </c>
      <c r="BB266" t="str">
        <f t="shared" ca="1" si="310"/>
        <v/>
      </c>
      <c r="BC266" t="str">
        <f t="shared" si="318"/>
        <v/>
      </c>
      <c r="BF266" t="str">
        <f t="shared" si="311"/>
        <v/>
      </c>
      <c r="BG266" t="str">
        <f t="shared" si="287"/>
        <v/>
      </c>
      <c r="BH266" s="285" t="str">
        <f t="shared" ca="1" si="322"/>
        <v/>
      </c>
      <c r="BJ266" t="str">
        <f t="shared" si="312"/>
        <v/>
      </c>
      <c r="BM266" t="str">
        <f t="shared" si="319"/>
        <v/>
      </c>
      <c r="BN266" t="str">
        <f t="shared" si="320"/>
        <v/>
      </c>
      <c r="BO266" t="str">
        <f t="shared" ca="1" si="313"/>
        <v/>
      </c>
      <c r="BR266" t="str">
        <f t="shared" si="314"/>
        <v/>
      </c>
      <c r="BS266" t="str">
        <f t="shared" ca="1" si="315"/>
        <v/>
      </c>
      <c r="BT266" t="str">
        <f t="shared" si="321"/>
        <v/>
      </c>
      <c r="BU266" t="str">
        <f t="shared" si="316"/>
        <v/>
      </c>
      <c r="BV266">
        <f t="shared" si="317"/>
        <v>0</v>
      </c>
    </row>
    <row r="267" spans="6:74">
      <c r="F267" s="164">
        <f t="shared" ca="1" si="273"/>
        <v>0</v>
      </c>
      <c r="G267" s="164" t="str">
        <f t="array" aca="1" ref="G267" ca="1">IF(TRIM(INDIRECT("Columns!D2"))="","",TRIM(INDIRECT("Columns!D2")))</f>
        <v/>
      </c>
      <c r="S267" t="str">
        <f t="shared" si="299"/>
        <v/>
      </c>
      <c r="V267" t="str">
        <f t="shared" si="300"/>
        <v/>
      </c>
      <c r="Y267" t="str">
        <f t="shared" ca="1" si="301"/>
        <v/>
      </c>
      <c r="Z267" t="str">
        <f t="shared" ca="1" si="302"/>
        <v/>
      </c>
      <c r="AA267" t="str">
        <f>IF( A267="","",IF(OR(F267="1",H267="1",I267="1"),"","COALESCE (CAST("&amp;A267&amp;" as varchar(" &amp; Options!$B$49&amp; ")),'')"))</f>
        <v/>
      </c>
      <c r="AB267" t="str">
        <f>IF(C267="string",  IF( A267="","",IF(OR(F267="1",H267="1",I267="1"),"","COALESCE (CAST(lower("&amp;A267&amp;") as varchar(" &amp;Options!$B$49 &amp; ")),'')")),AA267)</f>
        <v/>
      </c>
      <c r="AE267" t="str">
        <f t="shared" si="303"/>
        <v/>
      </c>
      <c r="AF267" t="str">
        <f>IF(AE267&lt;&gt;"", HELPER!$B$93 &amp;  "." &amp; AE267,"")</f>
        <v/>
      </c>
      <c r="AG267" t="str">
        <f>IF(AE267&lt;&gt;"", HELPER!$B$94 &amp; "." &amp; AE267,"")</f>
        <v/>
      </c>
      <c r="AH267" t="str">
        <f t="shared" si="304"/>
        <v/>
      </c>
      <c r="AN267" t="str">
        <f t="shared" si="305"/>
        <v/>
      </c>
      <c r="AO267" t="str">
        <f>IF(A267&lt;&gt;"", IF(OR(F267="1",H267="1",I267="1"),""," "&amp; HELPER!$B$94 &amp; "." &amp; A267),"")</f>
        <v/>
      </c>
      <c r="AP267" t="str">
        <f t="shared" si="306"/>
        <v/>
      </c>
      <c r="AS267" t="str">
        <f>IF(A267="","",  HELPER!$B$94 &amp;  "." &amp; A267)</f>
        <v/>
      </c>
      <c r="AT267" t="str">
        <f t="shared" si="307"/>
        <v/>
      </c>
      <c r="AU267" t="str">
        <f t="shared" si="308"/>
        <v/>
      </c>
      <c r="AX267" t="str">
        <f>IF(COLUMNS!J218="","","LEFT JOIN "&amp; Options!$B$23 &amp; "." &amp;  COLUMNS!J218 &amp; " ON ")</f>
        <v/>
      </c>
      <c r="AY267" t="str">
        <f t="shared" si="309"/>
        <v/>
      </c>
      <c r="BA267" t="str">
        <f>IF(AZ267="","", "CAST(" &amp; AZ267 &amp; " AS varchar(" &amp; Options!$B$49 &amp; "))")</f>
        <v/>
      </c>
      <c r="BB267" t="str">
        <f t="shared" ca="1" si="310"/>
        <v/>
      </c>
      <c r="BC267" t="str">
        <f t="shared" si="318"/>
        <v/>
      </c>
      <c r="BF267" t="str">
        <f t="shared" si="311"/>
        <v/>
      </c>
      <c r="BG267" t="str">
        <f t="shared" si="287"/>
        <v/>
      </c>
      <c r="BH267" s="285" t="str">
        <f t="shared" ca="1" si="322"/>
        <v/>
      </c>
      <c r="BJ267" t="str">
        <f t="shared" si="312"/>
        <v/>
      </c>
      <c r="BM267" t="str">
        <f t="shared" si="319"/>
        <v/>
      </c>
      <c r="BN267" t="str">
        <f t="shared" si="320"/>
        <v/>
      </c>
      <c r="BO267" t="str">
        <f t="shared" ca="1" si="313"/>
        <v/>
      </c>
      <c r="BR267" t="str">
        <f t="shared" si="314"/>
        <v/>
      </c>
      <c r="BS267" t="str">
        <f t="shared" ca="1" si="315"/>
        <v/>
      </c>
      <c r="BT267" t="str">
        <f t="shared" si="321"/>
        <v/>
      </c>
      <c r="BU267" t="str">
        <f t="shared" si="316"/>
        <v/>
      </c>
      <c r="BV267">
        <f t="shared" si="317"/>
        <v>0</v>
      </c>
    </row>
    <row r="268" spans="6:74">
      <c r="F268" s="164">
        <f t="shared" ca="1" si="273"/>
        <v>0</v>
      </c>
      <c r="G268" s="164" t="str">
        <f t="array" aca="1" ref="G268" ca="1">IF(TRIM(INDIRECT("Columns!D2"))="","",TRIM(INDIRECT("Columns!D2")))</f>
        <v/>
      </c>
      <c r="S268" t="str">
        <f t="shared" si="299"/>
        <v/>
      </c>
      <c r="V268" t="str">
        <f t="shared" si="300"/>
        <v/>
      </c>
      <c r="Y268" t="str">
        <f t="shared" ca="1" si="301"/>
        <v/>
      </c>
      <c r="Z268" t="str">
        <f t="shared" ca="1" si="302"/>
        <v/>
      </c>
      <c r="AA268" t="str">
        <f>IF( A268="","",IF(OR(F268="1",H268="1",I268="1"),"","COALESCE (CAST("&amp;A268&amp;" as varchar(" &amp; Options!$B$49&amp; ")),'')"))</f>
        <v/>
      </c>
      <c r="AB268" t="str">
        <f>IF(C268="string",  IF( A268="","",IF(OR(F268="1",H268="1",I268="1"),"","COALESCE (CAST(lower("&amp;A268&amp;") as varchar(" &amp;Options!$B$49 &amp; ")),'')")),AA268)</f>
        <v/>
      </c>
      <c r="AE268" t="str">
        <f t="shared" si="303"/>
        <v/>
      </c>
      <c r="AF268" t="str">
        <f>IF(AE268&lt;&gt;"", HELPER!$B$93 &amp;  "." &amp; AE268,"")</f>
        <v/>
      </c>
      <c r="AG268" t="str">
        <f>IF(AE268&lt;&gt;"", HELPER!$B$94 &amp; "." &amp; AE268,"")</f>
        <v/>
      </c>
      <c r="AH268" t="str">
        <f t="shared" si="304"/>
        <v/>
      </c>
      <c r="AN268" t="str">
        <f t="shared" si="305"/>
        <v/>
      </c>
      <c r="AO268" t="str">
        <f>IF(A268&lt;&gt;"", IF(OR(F268="1",H268="1",I268="1"),""," "&amp; HELPER!$B$94 &amp; "." &amp; A268),"")</f>
        <v/>
      </c>
      <c r="AP268" t="str">
        <f t="shared" si="306"/>
        <v/>
      </c>
      <c r="AS268" t="str">
        <f>IF(A268="","",  HELPER!$B$94 &amp;  "." &amp; A268)</f>
        <v/>
      </c>
      <c r="AT268" t="str">
        <f t="shared" si="307"/>
        <v/>
      </c>
      <c r="AU268" t="str">
        <f t="shared" si="308"/>
        <v/>
      </c>
      <c r="AX268" t="str">
        <f>IF(COLUMNS!J219="","","LEFT JOIN "&amp; Options!$B$23 &amp; "." &amp;  COLUMNS!J219 &amp; " ON ")</f>
        <v/>
      </c>
      <c r="AY268" t="str">
        <f t="shared" si="309"/>
        <v/>
      </c>
      <c r="BA268" t="str">
        <f>IF(AZ268="","", "CAST(" &amp; AZ268 &amp; " AS varchar(" &amp; Options!$B$49 &amp; "))")</f>
        <v/>
      </c>
      <c r="BB268" t="str">
        <f t="shared" ca="1" si="310"/>
        <v/>
      </c>
      <c r="BC268" t="str">
        <f t="shared" si="318"/>
        <v/>
      </c>
      <c r="BF268" t="str">
        <f t="shared" si="311"/>
        <v/>
      </c>
      <c r="BH268" s="285" t="str">
        <f t="shared" ca="1" si="322"/>
        <v/>
      </c>
      <c r="BJ268" t="str">
        <f t="shared" si="312"/>
        <v/>
      </c>
      <c r="BM268" t="str">
        <f t="shared" si="319"/>
        <v/>
      </c>
      <c r="BN268" t="str">
        <f t="shared" si="320"/>
        <v/>
      </c>
      <c r="BO268" t="str">
        <f t="shared" ca="1" si="313"/>
        <v/>
      </c>
      <c r="BR268" t="str">
        <f t="shared" si="314"/>
        <v/>
      </c>
      <c r="BS268" t="str">
        <f t="shared" ca="1" si="315"/>
        <v/>
      </c>
      <c r="BT268" t="str">
        <f t="shared" si="321"/>
        <v/>
      </c>
      <c r="BU268" t="str">
        <f t="shared" si="316"/>
        <v/>
      </c>
      <c r="BV268">
        <f t="shared" si="317"/>
        <v>0</v>
      </c>
    </row>
    <row r="269" spans="6:74">
      <c r="F269" s="164">
        <f t="shared" ca="1" si="273"/>
        <v>0</v>
      </c>
      <c r="G269" s="164" t="str">
        <f t="array" aca="1" ref="G269" ca="1">IF(TRIM(INDIRECT("Columns!D2"))="","",TRIM(INDIRECT("Columns!D2")))</f>
        <v/>
      </c>
      <c r="S269" t="str">
        <f t="shared" si="299"/>
        <v/>
      </c>
      <c r="V269" t="str">
        <f t="shared" si="300"/>
        <v/>
      </c>
      <c r="Y269" t="str">
        <f t="shared" ca="1" si="301"/>
        <v/>
      </c>
      <c r="Z269" t="str">
        <f t="shared" ca="1" si="302"/>
        <v/>
      </c>
      <c r="AA269" t="str">
        <f>IF( A269="","",IF(OR(F269="1",H269="1",I269="1"),"","COALESCE (CAST("&amp;A269&amp;" as varchar(" &amp; Options!$B$49&amp; ")),'')"))</f>
        <v/>
      </c>
      <c r="AB269" t="str">
        <f>IF(C269="string",  IF( A269="","",IF(OR(F269="1",H269="1",I269="1"),"","COALESCE (CAST(lower("&amp;A269&amp;") as varchar(" &amp;Options!$B$49 &amp; ")),'')")),AA269)</f>
        <v/>
      </c>
      <c r="AE269" t="str">
        <f t="shared" si="303"/>
        <v/>
      </c>
      <c r="AF269" t="str">
        <f>IF(AE269&lt;&gt;"", HELPER!$B$93 &amp;  "." &amp; AE269,"")</f>
        <v/>
      </c>
      <c r="AG269" t="str">
        <f>IF(AE269&lt;&gt;"", HELPER!$B$94 &amp; "." &amp; AE269,"")</f>
        <v/>
      </c>
      <c r="AH269" t="str">
        <f t="shared" si="304"/>
        <v/>
      </c>
      <c r="AN269" t="str">
        <f t="shared" si="305"/>
        <v/>
      </c>
      <c r="AO269" t="str">
        <f>IF(A269&lt;&gt;"", IF(OR(F269="1",H269="1",I269="1"),""," "&amp; HELPER!$B$94 &amp; "." &amp; A269),"")</f>
        <v/>
      </c>
      <c r="AP269" t="str">
        <f t="shared" si="306"/>
        <v/>
      </c>
      <c r="AS269" t="str">
        <f>IF(A269="","",  HELPER!$B$94 &amp;  "." &amp; A269)</f>
        <v/>
      </c>
      <c r="AT269" t="str">
        <f t="shared" si="307"/>
        <v/>
      </c>
      <c r="AU269" t="str">
        <f t="shared" si="308"/>
        <v/>
      </c>
      <c r="AX269" t="str">
        <f>IF(COLUMNS!J220="","","LEFT JOIN "&amp; Options!$B$23 &amp; "." &amp;  COLUMNS!J220 &amp; " ON ")</f>
        <v/>
      </c>
      <c r="AY269" t="str">
        <f t="shared" si="309"/>
        <v/>
      </c>
      <c r="BA269" t="str">
        <f>IF(AZ269="","", "CAST(" &amp; AZ269 &amp; " AS varchar(" &amp; Options!$B$49 &amp; "))")</f>
        <v/>
      </c>
      <c r="BB269" t="str">
        <f t="shared" ca="1" si="310"/>
        <v/>
      </c>
      <c r="BC269" t="str">
        <f t="shared" si="318"/>
        <v/>
      </c>
      <c r="BF269" t="str">
        <f t="shared" si="311"/>
        <v/>
      </c>
      <c r="BH269" s="285" t="str">
        <f t="shared" ca="1" si="322"/>
        <v/>
      </c>
      <c r="BJ269" t="str">
        <f t="shared" si="312"/>
        <v/>
      </c>
      <c r="BM269" t="str">
        <f t="shared" si="319"/>
        <v/>
      </c>
      <c r="BN269" t="str">
        <f t="shared" si="320"/>
        <v/>
      </c>
      <c r="BO269" t="str">
        <f t="shared" ca="1" si="313"/>
        <v/>
      </c>
      <c r="BR269" t="str">
        <f t="shared" si="314"/>
        <v/>
      </c>
      <c r="BS269" t="str">
        <f t="shared" ca="1" si="315"/>
        <v/>
      </c>
      <c r="BT269" t="str">
        <f t="shared" si="321"/>
        <v/>
      </c>
      <c r="BU269" t="str">
        <f t="shared" si="316"/>
        <v/>
      </c>
      <c r="BV269">
        <f t="shared" si="317"/>
        <v>0</v>
      </c>
    </row>
    <row r="270" spans="6:74">
      <c r="F270" s="164">
        <f t="shared" ca="1" si="273"/>
        <v>0</v>
      </c>
      <c r="G270" s="164" t="str">
        <f t="array" aca="1" ref="G270" ca="1">IF(TRIM(INDIRECT("Columns!D2"))="","",TRIM(INDIRECT("Columns!D2")))</f>
        <v/>
      </c>
      <c r="S270" t="str">
        <f t="shared" si="299"/>
        <v/>
      </c>
      <c r="V270" t="str">
        <f t="shared" si="300"/>
        <v/>
      </c>
      <c r="Y270" t="str">
        <f t="shared" ca="1" si="301"/>
        <v/>
      </c>
      <c r="Z270" t="str">
        <f t="shared" ca="1" si="302"/>
        <v/>
      </c>
      <c r="AA270" t="str">
        <f>IF( A270="","",IF(OR(F270="1",H270="1",I270="1"),"","COALESCE (CAST("&amp;A270&amp;" as varchar(" &amp; Options!$B$49&amp; ")),'')"))</f>
        <v/>
      </c>
      <c r="AB270" t="str">
        <f>IF(C270="string",  IF( A270="","",IF(OR(F270="1",H270="1",I270="1"),"","COALESCE (CAST(lower("&amp;A270&amp;") as varchar(" &amp;Options!$B$49 &amp; ")),'')")),AA270)</f>
        <v/>
      </c>
      <c r="AE270" t="str">
        <f t="shared" si="303"/>
        <v/>
      </c>
      <c r="AF270" t="str">
        <f>IF(AE270&lt;&gt;"", HELPER!$B$93 &amp;  "." &amp; AE270,"")</f>
        <v/>
      </c>
      <c r="AG270" t="str">
        <f>IF(AE270&lt;&gt;"", HELPER!$B$94 &amp; "." &amp; AE270,"")</f>
        <v/>
      </c>
      <c r="AH270" t="str">
        <f t="shared" si="304"/>
        <v/>
      </c>
      <c r="AN270" t="str">
        <f t="shared" si="305"/>
        <v/>
      </c>
      <c r="AO270" t="str">
        <f>IF(A270&lt;&gt;"", IF(OR(F270="1",H270="1",I270="1"),""," "&amp; HELPER!$B$94 &amp; "." &amp; A270),"")</f>
        <v/>
      </c>
      <c r="AP270" t="str">
        <f t="shared" si="306"/>
        <v/>
      </c>
      <c r="AS270" t="str">
        <f>IF(A270="","",  HELPER!$B$94 &amp;  "." &amp; A270)</f>
        <v/>
      </c>
      <c r="AT270" t="str">
        <f t="shared" si="307"/>
        <v/>
      </c>
      <c r="AU270" t="str">
        <f t="shared" si="308"/>
        <v/>
      </c>
      <c r="AX270" t="str">
        <f>IF(COLUMNS!J221="","","LEFT JOIN "&amp; Options!$B$23 &amp; "." &amp;  COLUMNS!J221 &amp; " ON ")</f>
        <v/>
      </c>
      <c r="BA270" t="str">
        <f>IF(AZ270="","", "CAST(" &amp; AZ270 &amp; " AS varchar(" &amp; Options!$B$49 &amp; "))")</f>
        <v/>
      </c>
      <c r="BB270" t="str">
        <f t="shared" ca="1" si="310"/>
        <v/>
      </c>
      <c r="BC270" t="str">
        <f t="shared" si="318"/>
        <v/>
      </c>
      <c r="BF270" t="str">
        <f t="shared" si="311"/>
        <v/>
      </c>
      <c r="BH270" s="285" t="str">
        <f t="shared" ca="1" si="322"/>
        <v/>
      </c>
      <c r="BJ270" t="str">
        <f t="shared" si="312"/>
        <v/>
      </c>
      <c r="BM270" t="str">
        <f t="shared" si="319"/>
        <v/>
      </c>
      <c r="BN270" t="str">
        <f t="shared" si="320"/>
        <v/>
      </c>
      <c r="BO270" t="str">
        <f t="shared" ca="1" si="313"/>
        <v/>
      </c>
      <c r="BR270" t="str">
        <f t="shared" si="314"/>
        <v/>
      </c>
      <c r="BS270" t="str">
        <f t="shared" ca="1" si="315"/>
        <v/>
      </c>
      <c r="BT270" t="str">
        <f t="shared" si="321"/>
        <v/>
      </c>
      <c r="BU270" t="str">
        <f t="shared" si="316"/>
        <v/>
      </c>
      <c r="BV270">
        <f t="shared" si="317"/>
        <v>0</v>
      </c>
    </row>
    <row r="271" spans="6:74">
      <c r="F271" s="164">
        <f t="shared" ca="1" si="273"/>
        <v>0</v>
      </c>
      <c r="G271" s="164" t="str">
        <f t="array" aca="1" ref="G271" ca="1">IF(TRIM(INDIRECT("Columns!D2"))="","",TRIM(INDIRECT("Columns!D2")))</f>
        <v/>
      </c>
      <c r="S271" t="str">
        <f t="shared" si="299"/>
        <v/>
      </c>
      <c r="V271" t="str">
        <f t="shared" si="300"/>
        <v/>
      </c>
      <c r="Y271" t="str">
        <f t="shared" ca="1" si="301"/>
        <v/>
      </c>
      <c r="Z271" t="str">
        <f t="shared" ca="1" si="302"/>
        <v/>
      </c>
      <c r="AA271" t="str">
        <f>IF( A271="","",IF(OR(F271="1",H271="1",I271="1"),"","COALESCE (CAST("&amp;A271&amp;" as varchar(" &amp; Options!$B$49&amp; ")),'')"))</f>
        <v/>
      </c>
      <c r="AB271" t="str">
        <f>IF(C271="string",  IF( A271="","",IF(OR(F271="1",H271="1",I271="1"),"","COALESCE (CAST(lower("&amp;A271&amp;") as varchar(" &amp;Options!$B$49 &amp; ")),'')")),AA271)</f>
        <v/>
      </c>
      <c r="AE271" t="str">
        <f t="shared" si="303"/>
        <v/>
      </c>
      <c r="AF271" t="str">
        <f>IF(AE271&lt;&gt;"", HELPER!$B$93 &amp;  "." &amp; AE271,"")</f>
        <v/>
      </c>
      <c r="AG271" t="str">
        <f>IF(AE271&lt;&gt;"", HELPER!$B$94 &amp; "." &amp; AE271,"")</f>
        <v/>
      </c>
      <c r="AH271" t="str">
        <f t="shared" si="304"/>
        <v/>
      </c>
      <c r="AN271" t="str">
        <f t="shared" si="305"/>
        <v/>
      </c>
      <c r="AO271" t="str">
        <f>IF(A271&lt;&gt;"", IF(OR(F271="1",H271="1",I271="1"),""," "&amp; HELPER!$B$94 &amp; "." &amp; A271),"")</f>
        <v/>
      </c>
      <c r="AP271" t="str">
        <f t="shared" si="306"/>
        <v/>
      </c>
      <c r="AS271" t="str">
        <f>IF(A271="","",  HELPER!$B$94 &amp;  "." &amp; A271)</f>
        <v/>
      </c>
      <c r="AT271" t="str">
        <f t="shared" si="307"/>
        <v/>
      </c>
      <c r="AU271" t="str">
        <f t="shared" si="308"/>
        <v/>
      </c>
      <c r="AX271" t="str">
        <f>IF(COLUMNS!J222="","","LEFT JOIN "&amp; Options!$B$23 &amp; "." &amp;  COLUMNS!J222 &amp; " ON ")</f>
        <v/>
      </c>
      <c r="BA271" t="str">
        <f>IF(AZ271="","", "CAST(" &amp; AZ271 &amp; " AS varchar(" &amp; Options!$B$49 &amp; "))")</f>
        <v/>
      </c>
      <c r="BB271" t="str">
        <f t="shared" ca="1" si="310"/>
        <v/>
      </c>
      <c r="BC271" t="str">
        <f t="shared" si="318"/>
        <v/>
      </c>
      <c r="BF271" t="str">
        <f t="shared" si="311"/>
        <v/>
      </c>
      <c r="BH271" s="285" t="str">
        <f t="shared" ca="1" si="322"/>
        <v/>
      </c>
      <c r="BJ271" t="str">
        <f t="shared" si="312"/>
        <v/>
      </c>
      <c r="BM271" t="str">
        <f t="shared" si="319"/>
        <v/>
      </c>
      <c r="BN271" t="str">
        <f t="shared" si="320"/>
        <v/>
      </c>
      <c r="BO271" t="str">
        <f t="shared" ca="1" si="313"/>
        <v/>
      </c>
      <c r="BR271" t="str">
        <f t="shared" si="314"/>
        <v/>
      </c>
      <c r="BS271" t="str">
        <f t="shared" ca="1" si="315"/>
        <v/>
      </c>
      <c r="BT271" t="str">
        <f t="shared" si="321"/>
        <v/>
      </c>
      <c r="BU271" t="str">
        <f t="shared" si="316"/>
        <v/>
      </c>
      <c r="BV271">
        <f t="shared" si="317"/>
        <v>0</v>
      </c>
    </row>
    <row r="272" spans="6:74">
      <c r="F272" s="164">
        <f t="shared" ca="1" si="273"/>
        <v>0</v>
      </c>
      <c r="S272" t="str">
        <f t="shared" si="299"/>
        <v/>
      </c>
      <c r="V272" t="str">
        <f t="shared" si="300"/>
        <v/>
      </c>
      <c r="Y272" t="str">
        <f t="shared" ca="1" si="301"/>
        <v/>
      </c>
      <c r="Z272" t="str">
        <f t="shared" ca="1" si="302"/>
        <v/>
      </c>
      <c r="AA272" t="str">
        <f>IF( A272="","",IF(OR(F272="1",H272="1",I272="1"),"","COALESCE (CAST("&amp;A272&amp;" as varchar(" &amp; Options!$B$49&amp; ")),'')"))</f>
        <v/>
      </c>
      <c r="AB272" t="str">
        <f>IF(C272="string",  IF( A272="","",IF(OR(F272="1",H272="1",I272="1"),"","COALESCE (CAST(lower("&amp;A272&amp;") as varchar(" &amp;Options!$B$49 &amp; ")),'')")),AA272)</f>
        <v/>
      </c>
      <c r="AE272" t="str">
        <f t="shared" si="303"/>
        <v/>
      </c>
      <c r="AF272" t="str">
        <f>IF(AE272&lt;&gt;"", HELPER!$B$93 &amp;  "." &amp; AE272,"")</f>
        <v/>
      </c>
      <c r="AG272" t="str">
        <f>IF(AE272&lt;&gt;"", HELPER!$B$94 &amp; "." &amp; AE272,"")</f>
        <v/>
      </c>
      <c r="AH272" t="str">
        <f t="shared" si="304"/>
        <v/>
      </c>
      <c r="AN272" t="str">
        <f t="shared" si="305"/>
        <v/>
      </c>
      <c r="AO272" t="str">
        <f>IF(A272&lt;&gt;"", IF(OR(F272="1",H272="1",I272="1"),""," "&amp; HELPER!$B$94 &amp; "." &amp; A272),"")</f>
        <v/>
      </c>
      <c r="AP272" t="str">
        <f t="shared" si="306"/>
        <v/>
      </c>
      <c r="AS272" t="str">
        <f>IF(A272="","",  HELPER!$B$94 &amp;  "." &amp; A272)</f>
        <v/>
      </c>
      <c r="AT272" t="str">
        <f t="shared" si="307"/>
        <v/>
      </c>
      <c r="AU272" t="str">
        <f t="shared" si="308"/>
        <v/>
      </c>
      <c r="AX272" t="str">
        <f>IF(COLUMNS!J223="","","LEFT JOIN "&amp; Options!$B$23 &amp; "." &amp;  COLUMNS!J223 &amp; " ON ")</f>
        <v/>
      </c>
      <c r="BA272" t="str">
        <f>IF(AZ272="","", "CAST(" &amp; AZ272 &amp; " AS varchar(" &amp; Options!$B$49 &amp; "))")</f>
        <v/>
      </c>
      <c r="BB272" t="str">
        <f t="shared" ca="1" si="310"/>
        <v/>
      </c>
      <c r="BC272" t="str">
        <f t="shared" si="318"/>
        <v/>
      </c>
      <c r="BF272" t="str">
        <f t="shared" si="311"/>
        <v/>
      </c>
      <c r="BH272" s="285" t="str">
        <f t="shared" si="322"/>
        <v/>
      </c>
      <c r="BJ272" t="str">
        <f t="shared" si="312"/>
        <v/>
      </c>
      <c r="BM272" t="str">
        <f t="shared" si="319"/>
        <v/>
      </c>
      <c r="BN272" t="str">
        <f t="shared" si="320"/>
        <v/>
      </c>
      <c r="BO272" t="str">
        <f t="shared" si="313"/>
        <v/>
      </c>
      <c r="BR272" t="str">
        <f t="shared" si="314"/>
        <v/>
      </c>
      <c r="BS272" t="str">
        <f t="shared" ca="1" si="315"/>
        <v/>
      </c>
      <c r="BT272" t="str">
        <f t="shared" si="321"/>
        <v/>
      </c>
      <c r="BU272" t="str">
        <f t="shared" si="316"/>
        <v/>
      </c>
      <c r="BV272">
        <f t="shared" si="317"/>
        <v>0</v>
      </c>
    </row>
    <row r="273" spans="6:74">
      <c r="F273" s="164">
        <f t="shared" ca="1" si="273"/>
        <v>0</v>
      </c>
      <c r="S273" t="str">
        <f t="shared" si="299"/>
        <v/>
      </c>
      <c r="V273" t="str">
        <f t="shared" si="300"/>
        <v/>
      </c>
      <c r="Y273" t="str">
        <f t="shared" ca="1" si="301"/>
        <v/>
      </c>
      <c r="Z273" t="str">
        <f t="shared" ca="1" si="302"/>
        <v/>
      </c>
      <c r="AA273" t="str">
        <f>IF( A273="","",IF(OR(F273="1",H273="1",I273="1"),"","COALESCE (CAST("&amp;A273&amp;" as varchar(" &amp; Options!$B$49&amp; ")),'')"))</f>
        <v/>
      </c>
      <c r="AB273" t="str">
        <f>IF(C273="string",  IF( A273="","",IF(OR(F273="1",H273="1",I273="1"),"","COALESCE (CAST(lower("&amp;A273&amp;") as varchar(" &amp;Options!$B$49 &amp; ")),'')")),AA273)</f>
        <v/>
      </c>
      <c r="AE273" t="str">
        <f t="shared" si="303"/>
        <v/>
      </c>
      <c r="AF273" t="str">
        <f>IF(AE273&lt;&gt;"", HELPER!$B$93 &amp;  "." &amp; AE273,"")</f>
        <v/>
      </c>
      <c r="AG273" t="str">
        <f>IF(AE273&lt;&gt;"", HELPER!$B$94 &amp; "." &amp; AE273,"")</f>
        <v/>
      </c>
      <c r="AH273" t="str">
        <f t="shared" si="304"/>
        <v/>
      </c>
      <c r="AN273" t="str">
        <f t="shared" si="305"/>
        <v/>
      </c>
      <c r="AO273" t="str">
        <f>IF(A273&lt;&gt;"", IF(OR(F273="1",H273="1",I273="1"),""," "&amp; HELPER!$B$94 &amp; "." &amp; A273),"")</f>
        <v/>
      </c>
      <c r="AP273" t="str">
        <f t="shared" si="306"/>
        <v/>
      </c>
      <c r="AS273" t="str">
        <f>IF(A273="","",  HELPER!$B$94 &amp;  "." &amp; A273)</f>
        <v/>
      </c>
      <c r="AT273" t="str">
        <f t="shared" si="307"/>
        <v/>
      </c>
      <c r="AU273" t="str">
        <f t="shared" si="308"/>
        <v/>
      </c>
      <c r="AX273" t="str">
        <f>IF(COLUMNS!J224="","","LEFT JOIN "&amp; Options!$B$23 &amp; "." &amp;  COLUMNS!J224 &amp; " ON ")</f>
        <v/>
      </c>
      <c r="BA273" t="str">
        <f>IF(AZ273="","", "CAST(" &amp; AZ273 &amp; " AS varchar(" &amp; Options!$B$49 &amp; "))")</f>
        <v/>
      </c>
      <c r="BB273" t="str">
        <f t="shared" ca="1" si="310"/>
        <v/>
      </c>
      <c r="BC273" t="str">
        <f t="shared" si="318"/>
        <v/>
      </c>
      <c r="BF273" t="str">
        <f t="shared" si="311"/>
        <v/>
      </c>
      <c r="BH273" s="285" t="str">
        <f t="shared" si="322"/>
        <v/>
      </c>
      <c r="BJ273" t="str">
        <f t="shared" si="312"/>
        <v/>
      </c>
      <c r="BM273" t="str">
        <f t="shared" si="319"/>
        <v/>
      </c>
      <c r="BN273" t="str">
        <f t="shared" si="320"/>
        <v/>
      </c>
      <c r="BO273" t="str">
        <f t="shared" si="313"/>
        <v/>
      </c>
      <c r="BR273" t="str">
        <f t="shared" si="314"/>
        <v/>
      </c>
      <c r="BS273" t="str">
        <f t="shared" ca="1" si="315"/>
        <v/>
      </c>
      <c r="BT273" t="str">
        <f t="shared" si="321"/>
        <v/>
      </c>
      <c r="BU273" t="str">
        <f t="shared" si="316"/>
        <v/>
      </c>
      <c r="BV273">
        <f t="shared" si="317"/>
        <v>0</v>
      </c>
    </row>
    <row r="274" spans="6:74">
      <c r="F274" s="164">
        <f t="shared" ca="1" si="273"/>
        <v>0</v>
      </c>
      <c r="S274" t="str">
        <f t="shared" si="299"/>
        <v/>
      </c>
      <c r="V274" t="str">
        <f t="shared" si="300"/>
        <v/>
      </c>
      <c r="Y274" t="str">
        <f t="shared" ca="1" si="301"/>
        <v/>
      </c>
      <c r="Z274" t="str">
        <f t="shared" ca="1" si="302"/>
        <v/>
      </c>
      <c r="AA274" t="str">
        <f>IF( A274="","",IF(OR(F274="1",H274="1",I274="1"),"","COALESCE (CAST("&amp;A274&amp;" as varchar(" &amp; Options!$B$49&amp; ")),'')"))</f>
        <v/>
      </c>
      <c r="AB274" t="str">
        <f>IF(C274="string",  IF( A274="","",IF(OR(F274="1",H274="1",I274="1"),"","COALESCE (CAST(lower("&amp;A274&amp;") as varchar(" &amp;Options!$B$49 &amp; ")),'')")),AA274)</f>
        <v/>
      </c>
      <c r="AE274" t="str">
        <f t="shared" si="303"/>
        <v/>
      </c>
      <c r="AF274" t="str">
        <f>IF(AE274&lt;&gt;"", HELPER!$B$93 &amp;  "." &amp; AE274,"")</f>
        <v/>
      </c>
      <c r="AG274" t="str">
        <f>IF(AE274&lt;&gt;"", HELPER!$B$94 &amp; "." &amp; AE274,"")</f>
        <v/>
      </c>
      <c r="AH274" t="str">
        <f t="shared" si="304"/>
        <v/>
      </c>
      <c r="AN274" t="str">
        <f t="shared" si="305"/>
        <v/>
      </c>
      <c r="AO274" t="str">
        <f>IF(A274&lt;&gt;"", IF(OR(F274="1",H274="1",I274="1"),""," "&amp; HELPER!$B$94 &amp; "." &amp; A274),"")</f>
        <v/>
      </c>
      <c r="AP274" t="str">
        <f t="shared" si="306"/>
        <v/>
      </c>
      <c r="AS274" t="str">
        <f>IF(A274="","",  HELPER!$B$94 &amp;  "." &amp; A274)</f>
        <v/>
      </c>
      <c r="AT274" t="str">
        <f t="shared" si="307"/>
        <v/>
      </c>
      <c r="AU274" t="str">
        <f t="shared" si="308"/>
        <v/>
      </c>
      <c r="AX274" t="str">
        <f>IF(COLUMNS!J225="","","LEFT JOIN "&amp; Options!$B$23 &amp; "." &amp;  COLUMNS!J225 &amp; " ON ")</f>
        <v/>
      </c>
      <c r="BA274" t="str">
        <f>IF(AZ274="","", "CAST(" &amp; AZ274 &amp; " AS varchar(" &amp; Options!$B$49 &amp; "))")</f>
        <v/>
      </c>
      <c r="BB274" t="str">
        <f t="shared" ca="1" si="310"/>
        <v/>
      </c>
      <c r="BC274" t="str">
        <f t="shared" si="318"/>
        <v/>
      </c>
      <c r="BF274" t="str">
        <f t="shared" si="311"/>
        <v/>
      </c>
      <c r="BH274" s="285" t="str">
        <f t="shared" si="322"/>
        <v/>
      </c>
      <c r="BJ274" t="str">
        <f t="shared" si="312"/>
        <v/>
      </c>
      <c r="BM274" t="str">
        <f t="shared" si="319"/>
        <v/>
      </c>
      <c r="BN274" t="str">
        <f t="shared" si="320"/>
        <v/>
      </c>
      <c r="BO274" t="str">
        <f t="shared" si="313"/>
        <v/>
      </c>
      <c r="BR274" t="str">
        <f t="shared" si="314"/>
        <v/>
      </c>
      <c r="BS274" t="str">
        <f t="shared" ca="1" si="315"/>
        <v/>
      </c>
      <c r="BT274" t="str">
        <f t="shared" si="321"/>
        <v/>
      </c>
      <c r="BU274" t="str">
        <f t="shared" si="316"/>
        <v/>
      </c>
      <c r="BV274">
        <f t="shared" si="317"/>
        <v>0</v>
      </c>
    </row>
    <row r="275" spans="6:74">
      <c r="F275" s="164">
        <f t="shared" ca="1" si="273"/>
        <v>0</v>
      </c>
      <c r="S275" t="str">
        <f t="shared" si="299"/>
        <v/>
      </c>
      <c r="V275" t="str">
        <f t="shared" si="300"/>
        <v/>
      </c>
      <c r="Y275" t="str">
        <f t="shared" ca="1" si="301"/>
        <v/>
      </c>
      <c r="Z275" t="str">
        <f t="shared" ca="1" si="302"/>
        <v/>
      </c>
      <c r="AA275" t="str">
        <f>IF( A275="","",IF(OR(F275="1",H275="1",I275="1"),"","COALESCE (CAST("&amp;A275&amp;" as varchar(" &amp; Options!$B$49&amp; ")),'')"))</f>
        <v/>
      </c>
      <c r="AB275" t="str">
        <f>IF(C275="string",  IF( A275="","",IF(OR(F275="1",H275="1",I275="1"),"","COALESCE (CAST(lower("&amp;A275&amp;") as varchar(" &amp;Options!$B$49 &amp; ")),'')")),AA275)</f>
        <v/>
      </c>
      <c r="AE275" t="str">
        <f t="shared" si="303"/>
        <v/>
      </c>
      <c r="AF275" t="str">
        <f>IF(AE275&lt;&gt;"", HELPER!$B$93 &amp;  "." &amp; AE275,"")</f>
        <v/>
      </c>
      <c r="AG275" t="str">
        <f>IF(AE275&lt;&gt;"", HELPER!$B$94 &amp; "." &amp; AE275,"")</f>
        <v/>
      </c>
      <c r="AH275" t="str">
        <f t="shared" si="304"/>
        <v/>
      </c>
      <c r="AN275" t="str">
        <f t="shared" si="305"/>
        <v/>
      </c>
      <c r="AO275" t="str">
        <f>IF(A275&lt;&gt;"", IF(OR(F275="1",H275="1",I275="1"),""," "&amp; HELPER!$B$94 &amp; "." &amp; A275),"")</f>
        <v/>
      </c>
      <c r="AP275" t="str">
        <f t="shared" si="306"/>
        <v/>
      </c>
      <c r="AS275" t="str">
        <f>IF(A275="","",  HELPER!$B$94 &amp;  "." &amp; A275)</f>
        <v/>
      </c>
      <c r="AT275" t="str">
        <f t="shared" si="307"/>
        <v/>
      </c>
      <c r="AU275" t="str">
        <f t="shared" si="308"/>
        <v/>
      </c>
      <c r="AX275" t="str">
        <f>IF(COLUMNS!J226="","","LEFT JOIN "&amp; Options!$B$23 &amp; "." &amp;  COLUMNS!J226 &amp; " ON ")</f>
        <v/>
      </c>
      <c r="BA275" t="str">
        <f>IF(AZ275="","", "CAST(" &amp; AZ275 &amp; " AS varchar(" &amp; Options!$B$49 &amp; "))")</f>
        <v/>
      </c>
      <c r="BB275" t="str">
        <f t="shared" ca="1" si="310"/>
        <v/>
      </c>
      <c r="BC275" t="str">
        <f t="shared" si="318"/>
        <v/>
      </c>
      <c r="BF275" t="str">
        <f t="shared" si="311"/>
        <v/>
      </c>
      <c r="BH275" s="285" t="str">
        <f t="shared" si="322"/>
        <v/>
      </c>
      <c r="BJ275" t="str">
        <f t="shared" si="312"/>
        <v/>
      </c>
      <c r="BM275" t="str">
        <f t="shared" si="319"/>
        <v/>
      </c>
      <c r="BN275" t="str">
        <f t="shared" si="320"/>
        <v/>
      </c>
      <c r="BO275" t="str">
        <f t="shared" si="313"/>
        <v/>
      </c>
      <c r="BR275" t="str">
        <f t="shared" si="314"/>
        <v/>
      </c>
      <c r="BS275" t="str">
        <f t="shared" ca="1" si="315"/>
        <v/>
      </c>
      <c r="BT275" t="str">
        <f t="shared" si="321"/>
        <v/>
      </c>
      <c r="BU275" t="str">
        <f t="shared" si="316"/>
        <v/>
      </c>
      <c r="BV275">
        <f t="shared" si="317"/>
        <v>0</v>
      </c>
    </row>
    <row r="276" spans="6:74">
      <c r="F276" s="164">
        <f t="shared" ca="1" si="273"/>
        <v>0</v>
      </c>
    </row>
    <row r="277" spans="6:74">
      <c r="F277" s="164">
        <f t="shared" ca="1" si="273"/>
        <v>0</v>
      </c>
    </row>
    <row r="278" spans="6:74">
      <c r="F278" s="164">
        <f t="shared" ca="1" si="273"/>
        <v>0</v>
      </c>
    </row>
    <row r="279" spans="6:74">
      <c r="F279" s="164">
        <f t="shared" ca="1" si="273"/>
        <v>0</v>
      </c>
    </row>
    <row r="280" spans="6:74">
      <c r="F280" s="164">
        <f t="shared" ca="1" si="273"/>
        <v>0</v>
      </c>
    </row>
    <row r="281" spans="6:74">
      <c r="F281" s="164">
        <f t="shared" ca="1" si="273"/>
        <v>0</v>
      </c>
    </row>
    <row r="282" spans="6:74">
      <c r="F282" s="164">
        <f t="shared" ref="F282:F345" ca="1" si="323">IF(F131="1",VALUE(F131),0)</f>
        <v>0</v>
      </c>
    </row>
    <row r="283" spans="6:74">
      <c r="F283" s="164">
        <f t="shared" ca="1" si="323"/>
        <v>0</v>
      </c>
    </row>
    <row r="284" spans="6:74">
      <c r="F284" s="164">
        <f t="shared" ca="1" si="323"/>
        <v>0</v>
      </c>
    </row>
    <row r="285" spans="6:74">
      <c r="F285" s="164">
        <f t="shared" ca="1" si="323"/>
        <v>0</v>
      </c>
    </row>
    <row r="286" spans="6:74">
      <c r="F286" s="164">
        <f t="shared" ca="1" si="323"/>
        <v>0</v>
      </c>
    </row>
    <row r="287" spans="6:74">
      <c r="F287" s="164">
        <f t="shared" ca="1" si="323"/>
        <v>0</v>
      </c>
    </row>
    <row r="288" spans="6:74">
      <c r="F288" s="164">
        <f t="shared" ca="1" si="323"/>
        <v>0</v>
      </c>
    </row>
    <row r="289" spans="6:6">
      <c r="F289" s="164">
        <f t="shared" ca="1" si="323"/>
        <v>0</v>
      </c>
    </row>
    <row r="290" spans="6:6">
      <c r="F290" s="164">
        <f t="shared" ca="1" si="323"/>
        <v>0</v>
      </c>
    </row>
    <row r="291" spans="6:6">
      <c r="F291" s="164">
        <f t="shared" ca="1" si="323"/>
        <v>0</v>
      </c>
    </row>
    <row r="292" spans="6:6">
      <c r="F292" s="164">
        <f t="shared" ca="1" si="323"/>
        <v>0</v>
      </c>
    </row>
    <row r="293" spans="6:6">
      <c r="F293" s="164">
        <f t="shared" ca="1" si="323"/>
        <v>0</v>
      </c>
    </row>
    <row r="294" spans="6:6">
      <c r="F294" s="164">
        <f t="shared" ca="1" si="323"/>
        <v>0</v>
      </c>
    </row>
    <row r="295" spans="6:6">
      <c r="F295" s="164">
        <f t="shared" ca="1" si="323"/>
        <v>0</v>
      </c>
    </row>
    <row r="296" spans="6:6">
      <c r="F296" s="164">
        <f t="shared" ca="1" si="323"/>
        <v>0</v>
      </c>
    </row>
    <row r="297" spans="6:6">
      <c r="F297" s="164">
        <f t="shared" ca="1" si="323"/>
        <v>0</v>
      </c>
    </row>
    <row r="298" spans="6:6">
      <c r="F298" s="164">
        <f t="shared" ca="1" si="323"/>
        <v>0</v>
      </c>
    </row>
    <row r="299" spans="6:6">
      <c r="F299" s="164">
        <f t="shared" ca="1" si="323"/>
        <v>0</v>
      </c>
    </row>
    <row r="300" spans="6:6">
      <c r="F300" s="164">
        <f t="shared" ca="1" si="323"/>
        <v>0</v>
      </c>
    </row>
    <row r="301" spans="6:6">
      <c r="F301" s="164">
        <f t="shared" ca="1" si="323"/>
        <v>0</v>
      </c>
    </row>
    <row r="302" spans="6:6">
      <c r="F302" s="164">
        <f t="shared" ca="1" si="323"/>
        <v>0</v>
      </c>
    </row>
    <row r="303" spans="6:6">
      <c r="F303" s="164">
        <f t="shared" ca="1" si="323"/>
        <v>0</v>
      </c>
    </row>
    <row r="304" spans="6:6">
      <c r="F304" s="164">
        <f t="shared" ca="1" si="323"/>
        <v>0</v>
      </c>
    </row>
    <row r="305" spans="6:6">
      <c r="F305" s="164">
        <f t="shared" ca="1" si="323"/>
        <v>0</v>
      </c>
    </row>
    <row r="306" spans="6:6">
      <c r="F306" s="164">
        <f t="shared" ca="1" si="323"/>
        <v>0</v>
      </c>
    </row>
    <row r="307" spans="6:6">
      <c r="F307" s="164">
        <f t="shared" ca="1" si="323"/>
        <v>0</v>
      </c>
    </row>
    <row r="308" spans="6:6">
      <c r="F308" s="164">
        <f t="shared" ca="1" si="323"/>
        <v>0</v>
      </c>
    </row>
    <row r="309" spans="6:6">
      <c r="F309" s="164">
        <f t="shared" ca="1" si="323"/>
        <v>0</v>
      </c>
    </row>
    <row r="310" spans="6:6">
      <c r="F310" s="164">
        <f t="shared" ca="1" si="323"/>
        <v>0</v>
      </c>
    </row>
    <row r="311" spans="6:6">
      <c r="F311" s="164">
        <f t="shared" ca="1" si="323"/>
        <v>0</v>
      </c>
    </row>
    <row r="312" spans="6:6">
      <c r="F312" s="164">
        <f t="shared" ca="1" si="323"/>
        <v>0</v>
      </c>
    </row>
    <row r="313" spans="6:6">
      <c r="F313" s="164">
        <f t="shared" ca="1" si="323"/>
        <v>0</v>
      </c>
    </row>
    <row r="314" spans="6:6">
      <c r="F314" s="164">
        <f t="shared" ca="1" si="323"/>
        <v>0</v>
      </c>
    </row>
    <row r="315" spans="6:6">
      <c r="F315" s="164">
        <f t="shared" ca="1" si="323"/>
        <v>0</v>
      </c>
    </row>
    <row r="316" spans="6:6">
      <c r="F316" s="164">
        <f t="shared" ca="1" si="323"/>
        <v>0</v>
      </c>
    </row>
    <row r="317" spans="6:6">
      <c r="F317" s="164">
        <f t="shared" ca="1" si="323"/>
        <v>0</v>
      </c>
    </row>
    <row r="318" spans="6:6">
      <c r="F318" s="164">
        <f t="shared" ca="1" si="323"/>
        <v>0</v>
      </c>
    </row>
    <row r="319" spans="6:6">
      <c r="F319" s="164">
        <f t="shared" ca="1" si="323"/>
        <v>0</v>
      </c>
    </row>
    <row r="320" spans="6:6">
      <c r="F320" s="164">
        <f t="shared" ca="1" si="323"/>
        <v>0</v>
      </c>
    </row>
    <row r="321" spans="6:6">
      <c r="F321" s="164">
        <f t="shared" ca="1" si="323"/>
        <v>0</v>
      </c>
    </row>
    <row r="322" spans="6:6">
      <c r="F322" s="164">
        <f t="shared" ca="1" si="323"/>
        <v>0</v>
      </c>
    </row>
    <row r="323" spans="6:6">
      <c r="F323" s="164">
        <f t="shared" ca="1" si="323"/>
        <v>0</v>
      </c>
    </row>
    <row r="324" spans="6:6">
      <c r="F324" s="164">
        <f t="shared" ca="1" si="323"/>
        <v>0</v>
      </c>
    </row>
    <row r="325" spans="6:6">
      <c r="F325" s="164">
        <f t="shared" ca="1" si="323"/>
        <v>0</v>
      </c>
    </row>
    <row r="326" spans="6:6">
      <c r="F326" s="164">
        <f t="shared" ca="1" si="323"/>
        <v>0</v>
      </c>
    </row>
    <row r="327" spans="6:6">
      <c r="F327" s="164">
        <f t="shared" ca="1" si="323"/>
        <v>0</v>
      </c>
    </row>
    <row r="328" spans="6:6">
      <c r="F328" s="164">
        <f t="shared" ca="1" si="323"/>
        <v>0</v>
      </c>
    </row>
    <row r="329" spans="6:6">
      <c r="F329" s="164">
        <f t="shared" ca="1" si="323"/>
        <v>0</v>
      </c>
    </row>
    <row r="330" spans="6:6">
      <c r="F330" s="164">
        <f t="shared" ca="1" si="323"/>
        <v>0</v>
      </c>
    </row>
    <row r="331" spans="6:6">
      <c r="F331" s="164">
        <f t="shared" ca="1" si="323"/>
        <v>0</v>
      </c>
    </row>
    <row r="332" spans="6:6">
      <c r="F332" s="164">
        <f t="shared" ca="1" si="323"/>
        <v>0</v>
      </c>
    </row>
    <row r="333" spans="6:6">
      <c r="F333" s="164">
        <f t="shared" ca="1" si="323"/>
        <v>0</v>
      </c>
    </row>
    <row r="334" spans="6:6">
      <c r="F334" s="164">
        <f t="shared" ca="1" si="323"/>
        <v>0</v>
      </c>
    </row>
    <row r="335" spans="6:6">
      <c r="F335" s="164">
        <f t="shared" ca="1" si="323"/>
        <v>0</v>
      </c>
    </row>
    <row r="336" spans="6:6">
      <c r="F336" s="164">
        <f t="shared" ca="1" si="323"/>
        <v>0</v>
      </c>
    </row>
    <row r="337" spans="6:6">
      <c r="F337" s="164">
        <f t="shared" ca="1" si="323"/>
        <v>0</v>
      </c>
    </row>
    <row r="338" spans="6:6">
      <c r="F338" s="164">
        <f t="shared" ca="1" si="323"/>
        <v>0</v>
      </c>
    </row>
    <row r="339" spans="6:6">
      <c r="F339" s="164">
        <f t="shared" ca="1" si="323"/>
        <v>0</v>
      </c>
    </row>
    <row r="340" spans="6:6">
      <c r="F340" s="164">
        <f t="shared" ca="1" si="323"/>
        <v>0</v>
      </c>
    </row>
    <row r="341" spans="6:6">
      <c r="F341" s="164">
        <f t="shared" ca="1" si="323"/>
        <v>0</v>
      </c>
    </row>
    <row r="342" spans="6:6">
      <c r="F342" s="164">
        <f t="shared" ca="1" si="323"/>
        <v>0</v>
      </c>
    </row>
    <row r="343" spans="6:6">
      <c r="F343" s="164">
        <f t="shared" ca="1" si="323"/>
        <v>0</v>
      </c>
    </row>
    <row r="344" spans="6:6">
      <c r="F344" s="164">
        <f t="shared" ca="1" si="323"/>
        <v>0</v>
      </c>
    </row>
    <row r="345" spans="6:6">
      <c r="F345" s="164">
        <f t="shared" ca="1" si="323"/>
        <v>0</v>
      </c>
    </row>
    <row r="346" spans="6:6">
      <c r="F346" s="164">
        <f t="shared" ref="F346:F409" ca="1" si="324">IF(F195="1",VALUE(F195),0)</f>
        <v>0</v>
      </c>
    </row>
    <row r="347" spans="6:6">
      <c r="F347" s="164">
        <f t="shared" ca="1" si="324"/>
        <v>0</v>
      </c>
    </row>
    <row r="348" spans="6:6">
      <c r="F348" s="164">
        <f t="shared" ca="1" si="324"/>
        <v>0</v>
      </c>
    </row>
    <row r="349" spans="6:6">
      <c r="F349" s="164">
        <f t="shared" ca="1" si="324"/>
        <v>0</v>
      </c>
    </row>
    <row r="350" spans="6:6">
      <c r="F350" s="164">
        <f t="shared" ca="1" si="324"/>
        <v>0</v>
      </c>
    </row>
    <row r="351" spans="6:6">
      <c r="F351" s="164">
        <f t="shared" ca="1" si="324"/>
        <v>0</v>
      </c>
    </row>
    <row r="352" spans="6:6">
      <c r="F352" s="164">
        <f t="shared" ca="1" si="324"/>
        <v>0</v>
      </c>
    </row>
    <row r="353" spans="6:6">
      <c r="F353" s="164">
        <f t="shared" ca="1" si="324"/>
        <v>0</v>
      </c>
    </row>
    <row r="354" spans="6:6">
      <c r="F354" s="164">
        <f t="shared" ca="1" si="324"/>
        <v>0</v>
      </c>
    </row>
    <row r="355" spans="6:6">
      <c r="F355" s="164">
        <f t="shared" ca="1" si="324"/>
        <v>0</v>
      </c>
    </row>
    <row r="356" spans="6:6">
      <c r="F356" s="164">
        <f t="shared" ca="1" si="324"/>
        <v>0</v>
      </c>
    </row>
    <row r="357" spans="6:6">
      <c r="F357" s="164">
        <f t="shared" ca="1" si="324"/>
        <v>0</v>
      </c>
    </row>
    <row r="358" spans="6:6">
      <c r="F358" s="164">
        <f t="shared" ca="1" si="324"/>
        <v>0</v>
      </c>
    </row>
    <row r="359" spans="6:6">
      <c r="F359" s="164">
        <f t="shared" ca="1" si="324"/>
        <v>0</v>
      </c>
    </row>
    <row r="360" spans="6:6">
      <c r="F360" s="164">
        <f t="shared" ca="1" si="324"/>
        <v>0</v>
      </c>
    </row>
    <row r="361" spans="6:6">
      <c r="F361" s="164">
        <f t="shared" ca="1" si="324"/>
        <v>0</v>
      </c>
    </row>
    <row r="362" spans="6:6">
      <c r="F362" s="164">
        <f t="shared" ca="1" si="324"/>
        <v>0</v>
      </c>
    </row>
    <row r="363" spans="6:6">
      <c r="F363" s="164">
        <f t="shared" ca="1" si="324"/>
        <v>0</v>
      </c>
    </row>
    <row r="364" spans="6:6">
      <c r="F364" s="164">
        <f t="shared" ca="1" si="324"/>
        <v>0</v>
      </c>
    </row>
    <row r="365" spans="6:6">
      <c r="F365" s="164">
        <f t="shared" ca="1" si="324"/>
        <v>0</v>
      </c>
    </row>
    <row r="366" spans="6:6">
      <c r="F366" s="164">
        <f t="shared" ca="1" si="324"/>
        <v>0</v>
      </c>
    </row>
    <row r="367" spans="6:6">
      <c r="F367" s="164">
        <f t="shared" ca="1" si="324"/>
        <v>0</v>
      </c>
    </row>
    <row r="368" spans="6:6">
      <c r="F368" s="164">
        <f t="shared" ca="1" si="324"/>
        <v>0</v>
      </c>
    </row>
    <row r="369" spans="6:6">
      <c r="F369" s="164">
        <f t="shared" ca="1" si="324"/>
        <v>0</v>
      </c>
    </row>
    <row r="370" spans="6:6">
      <c r="F370" s="164">
        <f t="shared" ca="1" si="324"/>
        <v>0</v>
      </c>
    </row>
    <row r="371" spans="6:6">
      <c r="F371" s="164">
        <f t="shared" ca="1" si="324"/>
        <v>0</v>
      </c>
    </row>
    <row r="372" spans="6:6">
      <c r="F372" s="164">
        <f t="shared" ca="1" si="324"/>
        <v>0</v>
      </c>
    </row>
    <row r="373" spans="6:6">
      <c r="F373" s="164">
        <f t="shared" ca="1" si="324"/>
        <v>0</v>
      </c>
    </row>
    <row r="374" spans="6:6">
      <c r="F374" s="164">
        <f t="shared" ca="1" si="324"/>
        <v>0</v>
      </c>
    </row>
    <row r="375" spans="6:6">
      <c r="F375" s="164">
        <f t="shared" ca="1" si="324"/>
        <v>0</v>
      </c>
    </row>
    <row r="376" spans="6:6">
      <c r="F376" s="164">
        <f t="shared" ca="1" si="324"/>
        <v>0</v>
      </c>
    </row>
    <row r="377" spans="6:6">
      <c r="F377" s="164">
        <f t="shared" ca="1" si="324"/>
        <v>0</v>
      </c>
    </row>
    <row r="378" spans="6:6">
      <c r="F378" s="164">
        <f t="shared" ca="1" si="324"/>
        <v>0</v>
      </c>
    </row>
    <row r="379" spans="6:6">
      <c r="F379" s="164">
        <f t="shared" ca="1" si="324"/>
        <v>0</v>
      </c>
    </row>
    <row r="380" spans="6:6">
      <c r="F380" s="164">
        <f t="shared" ca="1" si="324"/>
        <v>0</v>
      </c>
    </row>
    <row r="381" spans="6:6">
      <c r="F381" s="164">
        <f t="shared" ca="1" si="324"/>
        <v>0</v>
      </c>
    </row>
    <row r="382" spans="6:6">
      <c r="F382" s="164">
        <f t="shared" ca="1" si="324"/>
        <v>0</v>
      </c>
    </row>
    <row r="383" spans="6:6">
      <c r="F383" s="164">
        <f t="shared" ca="1" si="324"/>
        <v>0</v>
      </c>
    </row>
    <row r="384" spans="6:6">
      <c r="F384" s="164">
        <f t="shared" ca="1" si="324"/>
        <v>0</v>
      </c>
    </row>
    <row r="385" spans="6:6">
      <c r="F385" s="164">
        <f t="shared" ca="1" si="324"/>
        <v>0</v>
      </c>
    </row>
    <row r="386" spans="6:6">
      <c r="F386" s="164">
        <f t="shared" ca="1" si="324"/>
        <v>0</v>
      </c>
    </row>
    <row r="387" spans="6:6">
      <c r="F387" s="164">
        <f t="shared" ca="1" si="324"/>
        <v>0</v>
      </c>
    </row>
    <row r="388" spans="6:6">
      <c r="F388" s="164">
        <f t="shared" ca="1" si="324"/>
        <v>0</v>
      </c>
    </row>
    <row r="389" spans="6:6">
      <c r="F389" s="164">
        <f t="shared" ca="1" si="324"/>
        <v>0</v>
      </c>
    </row>
    <row r="390" spans="6:6">
      <c r="F390" s="164">
        <f t="shared" ca="1" si="324"/>
        <v>0</v>
      </c>
    </row>
    <row r="391" spans="6:6">
      <c r="F391" s="164">
        <f t="shared" ca="1" si="324"/>
        <v>0</v>
      </c>
    </row>
    <row r="392" spans="6:6">
      <c r="F392" s="164">
        <f t="shared" ca="1" si="324"/>
        <v>0</v>
      </c>
    </row>
    <row r="393" spans="6:6">
      <c r="F393" s="164">
        <f t="shared" ca="1" si="324"/>
        <v>0</v>
      </c>
    </row>
    <row r="394" spans="6:6">
      <c r="F394" s="164">
        <f t="shared" ca="1" si="324"/>
        <v>0</v>
      </c>
    </row>
    <row r="395" spans="6:6">
      <c r="F395" s="164">
        <f t="shared" ca="1" si="324"/>
        <v>0</v>
      </c>
    </row>
    <row r="396" spans="6:6">
      <c r="F396" s="164">
        <f t="shared" ca="1" si="324"/>
        <v>0</v>
      </c>
    </row>
    <row r="397" spans="6:6">
      <c r="F397" s="164">
        <f t="shared" ca="1" si="324"/>
        <v>0</v>
      </c>
    </row>
    <row r="398" spans="6:6">
      <c r="F398" s="164">
        <f t="shared" ca="1" si="324"/>
        <v>0</v>
      </c>
    </row>
    <row r="399" spans="6:6">
      <c r="F399" s="164">
        <f t="shared" ca="1" si="324"/>
        <v>0</v>
      </c>
    </row>
    <row r="400" spans="6:6">
      <c r="F400" s="164">
        <f t="shared" ca="1" si="324"/>
        <v>0</v>
      </c>
    </row>
    <row r="401" spans="6:6">
      <c r="F401" s="164">
        <f t="shared" ca="1" si="324"/>
        <v>0</v>
      </c>
    </row>
    <row r="402" spans="6:6">
      <c r="F402" s="164">
        <f t="shared" ca="1" si="324"/>
        <v>0</v>
      </c>
    </row>
    <row r="403" spans="6:6">
      <c r="F403" s="164">
        <f t="shared" ca="1" si="324"/>
        <v>0</v>
      </c>
    </row>
    <row r="404" spans="6:6">
      <c r="F404" s="164">
        <f t="shared" ca="1" si="324"/>
        <v>0</v>
      </c>
    </row>
    <row r="405" spans="6:6">
      <c r="F405" s="164">
        <f t="shared" ca="1" si="324"/>
        <v>0</v>
      </c>
    </row>
    <row r="406" spans="6:6">
      <c r="F406" s="164">
        <f t="shared" ca="1" si="324"/>
        <v>0</v>
      </c>
    </row>
    <row r="407" spans="6:6">
      <c r="F407" s="164">
        <f t="shared" ca="1" si="324"/>
        <v>0</v>
      </c>
    </row>
    <row r="408" spans="6:6">
      <c r="F408" s="164">
        <f t="shared" ca="1" si="324"/>
        <v>0</v>
      </c>
    </row>
    <row r="409" spans="6:6">
      <c r="F409" s="164">
        <f t="shared" ca="1" si="324"/>
        <v>0</v>
      </c>
    </row>
    <row r="410" spans="6:6">
      <c r="F410" s="164">
        <f t="shared" ref="F410:F426" ca="1" si="325">IF(F259="1",VALUE(F259),0)</f>
        <v>0</v>
      </c>
    </row>
    <row r="411" spans="6:6">
      <c r="F411" s="164">
        <f t="shared" ca="1" si="325"/>
        <v>0</v>
      </c>
    </row>
    <row r="412" spans="6:6">
      <c r="F412" s="164">
        <f t="shared" ca="1" si="325"/>
        <v>0</v>
      </c>
    </row>
    <row r="413" spans="6:6">
      <c r="F413" s="164">
        <f t="shared" ca="1" si="325"/>
        <v>0</v>
      </c>
    </row>
    <row r="414" spans="6:6">
      <c r="F414" s="164">
        <f t="shared" ca="1" si="325"/>
        <v>0</v>
      </c>
    </row>
    <row r="415" spans="6:6">
      <c r="F415" s="164">
        <f t="shared" ca="1" si="325"/>
        <v>0</v>
      </c>
    </row>
    <row r="416" spans="6:6">
      <c r="F416" s="164">
        <f t="shared" ca="1" si="325"/>
        <v>0</v>
      </c>
    </row>
    <row r="417" spans="6:6">
      <c r="F417" s="164">
        <f t="shared" ca="1" si="325"/>
        <v>0</v>
      </c>
    </row>
    <row r="418" spans="6:6">
      <c r="F418" s="164">
        <f t="shared" ca="1" si="325"/>
        <v>0</v>
      </c>
    </row>
    <row r="419" spans="6:6">
      <c r="F419" s="164">
        <f t="shared" ca="1" si="325"/>
        <v>0</v>
      </c>
    </row>
    <row r="420" spans="6:6">
      <c r="F420" s="164">
        <f t="shared" ca="1" si="325"/>
        <v>0</v>
      </c>
    </row>
    <row r="421" spans="6:6">
      <c r="F421" s="164">
        <f t="shared" ca="1" si="325"/>
        <v>0</v>
      </c>
    </row>
    <row r="422" spans="6:6">
      <c r="F422" s="164">
        <f t="shared" ca="1" si="325"/>
        <v>0</v>
      </c>
    </row>
    <row r="423" spans="6:6">
      <c r="F423" s="164">
        <f t="shared" ca="1" si="325"/>
        <v>0</v>
      </c>
    </row>
    <row r="424" spans="6:6">
      <c r="F424" s="164">
        <f t="shared" ca="1" si="325"/>
        <v>0</v>
      </c>
    </row>
    <row r="425" spans="6:6">
      <c r="F425" s="164">
        <f t="shared" ca="1" si="325"/>
        <v>0</v>
      </c>
    </row>
    <row r="426" spans="6:6">
      <c r="F426" s="164">
        <f t="shared" ca="1" si="325"/>
        <v>0</v>
      </c>
    </row>
  </sheetData>
  <pageMargins left="0.7" right="0.7" top="0.75" bottom="0.75" header="0.3" footer="0.3"/>
  <pageSetup paperSize="9"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rgb="FFC00000"/>
  </sheetPr>
  <dimension ref="A1:B86"/>
  <sheetViews>
    <sheetView topLeftCell="A53" zoomScale="120" zoomScaleNormal="120" workbookViewId="0">
      <selection activeCell="B60" sqref="B60"/>
    </sheetView>
  </sheetViews>
  <sheetFormatPr defaultRowHeight="15"/>
  <cols>
    <col min="1" max="1" width="40.140625" style="283" customWidth="1"/>
    <col min="2" max="2" width="167.28515625" style="283" customWidth="1"/>
  </cols>
  <sheetData>
    <row r="1" spans="1:2">
      <c r="A1" t="s">
        <v>672</v>
      </c>
      <c r="B1" t="s">
        <v>673</v>
      </c>
    </row>
    <row r="2" spans="1:2">
      <c r="A2" t="s">
        <v>674</v>
      </c>
      <c r="B2" t="str">
        <f>Options!B23</f>
        <v>uc0039</v>
      </c>
    </row>
    <row r="3" spans="1:2">
      <c r="A3" t="s">
        <v>459</v>
      </c>
      <c r="B3" t="str">
        <f>HELPER!B129</f>
        <v xml:space="preserve">uc0039.source_factVCSSLast90_[:date_yyyymmdd]_v </v>
      </c>
    </row>
    <row r="4" spans="1:2">
      <c r="A4" t="s">
        <v>675</v>
      </c>
      <c r="B4" t="str">
        <f>Options!B25 &amp; B1</f>
        <v>factVCSSLast90_history</v>
      </c>
    </row>
    <row r="5" spans="1:2">
      <c r="A5" t="s">
        <v>676</v>
      </c>
      <c r="B5" t="str">
        <f>Options!B23 &amp; "." &amp; B4</f>
        <v>uc0039.factVCSSLast90_history</v>
      </c>
    </row>
    <row r="6" spans="1:2">
      <c r="A6" t="s">
        <v>677</v>
      </c>
      <c r="B6" t="str">
        <f>"wk" &amp; Options!B24 &amp; 'SCD4'!B1</f>
        <v>wkfactVCSSLast90_history</v>
      </c>
    </row>
    <row r="7" spans="1:2">
      <c r="A7" t="s">
        <v>678</v>
      </c>
      <c r="B7" t="str">
        <f>B6 &amp; " bigint"</f>
        <v>wkfactVCSSLast90_history bigint</v>
      </c>
    </row>
    <row r="8" spans="1:2">
      <c r="A8" t="s">
        <v>487</v>
      </c>
      <c r="B8" t="str">
        <f>"s3://"&amp;Options!B28&amp;"/"&amp;Options!B29&amp;"/"&amp;B4</f>
        <v>s3://uc0039-vgcs-odl-prod/db/factVCSSLast90_history</v>
      </c>
    </row>
    <row r="9" spans="1:2" ht="100.5" customHeight="1">
      <c r="A9" t="s">
        <v>679</v>
      </c>
      <c r="B9" s="10" t="str">
        <f ca="1">COLHELPER!W152 &amp; ", " &amp; HELPER!B30</f>
        <v>, hashkey string, load_date  Timestamp, last_modified_timestamp  Timestamp, IsCurrent int</v>
      </c>
    </row>
    <row r="10" spans="1:2" ht="100.5" customHeight="1">
      <c r="A10" t="s">
        <v>680</v>
      </c>
      <c r="B10" s="285" t="str">
        <f ca="1">COLHELPER!X152 &amp;"," &amp; HELPER!B31</f>
        <v>,hashkey, load_date , last_modified_timestamp  , IsCurrent</v>
      </c>
    </row>
    <row r="11" spans="1:2" ht="45.75" customHeight="1">
      <c r="A11" t="s">
        <v>681</v>
      </c>
      <c r="B11" t="str">
        <f ca="1">COLHELPER!AQ152</f>
        <v/>
      </c>
    </row>
    <row r="12" spans="1:2" ht="45.75" customHeight="1"/>
    <row r="13" spans="1:2" ht="139.5" customHeight="1">
      <c r="A13" s="285" t="s">
        <v>682</v>
      </c>
      <c r="B13" s="10" t="str">
        <f ca="1">HELPER!B3 &amp; " " &amp; B5 &amp; " (" &amp; B9 &amp; ") "  &amp; " "  &amp;  HELPER!B47 &amp;  " " &amp; " LOCATION '" &amp; B8 &amp; "' " &amp; HELPER!B72</f>
        <v>CREATE TABLE IF NOT EXISTS  uc0039.factVCSSLast90_history (, hashkey string, load_date  Timestamp, last_modified_timestamp  Timestamp, IsCurrent int)    LOCATION 's3://uc0039-vgcs-odl-prod/db/factVCSSLast90_history' TBLPROPERTIES ( 'vacuum_max_snapshot_age_seconds' = '259200', 'optimize_rewrite_delete_file_threshold' = '50', 'write_target_data_file_size_bytes' = '536870912','table_type'='iceberg','format'='parquet')</v>
      </c>
    </row>
    <row r="16" spans="1:2">
      <c r="A16" t="s">
        <v>683</v>
      </c>
      <c r="B16" t="str">
        <f>Options!B4 &amp; "." &amp; HELPER!B5</f>
        <v>uc0039.stage_factVCSSLast90_v</v>
      </c>
    </row>
    <row r="17" spans="1:2" ht="33" customHeight="1">
      <c r="A17" t="s">
        <v>684</v>
      </c>
      <c r="B17" t="str">
        <f ca="1">HELPER!B39</f>
        <v>lower(to_hex(md5(to_utf8(concat(,'')))))</v>
      </c>
    </row>
    <row r="18" spans="1:2" s="285" customFormat="1" ht="124.5" customHeight="1">
      <c r="A18" s="285" t="s">
        <v>685</v>
      </c>
      <c r="B18" s="285" t="str">
        <f ca="1">"WHEN NOT MATCHED THEN INSERT (" &amp; B10 &amp; ")"</f>
        <v>WHEN NOT MATCHED THEN INSERT (,hashkey, load_date , last_modified_timestamp  , IsCurrent)</v>
      </c>
    </row>
    <row r="19" spans="1:2" s="285" customFormat="1" ht="124.5" customHeight="1">
      <c r="A19" s="285" t="s">
        <v>686</v>
      </c>
      <c r="B19" s="285" t="str">
        <f ca="1">COLHELPER!AJ152</f>
        <v/>
      </c>
    </row>
    <row r="20" spans="1:2" s="285" customFormat="1" ht="20.25" customHeight="1">
      <c r="A20" s="285" t="s">
        <v>687</v>
      </c>
      <c r="B20" s="285" t="str">
        <f>HELPER!B106</f>
        <v>ABS(from_big_endian_64(xxhash64(CAST(cast(uuid() as varchar) as varbinary))))</v>
      </c>
    </row>
    <row r="21" spans="1:2" s="285" customFormat="1" ht="21" customHeight="1">
      <c r="A21" s="285" t="s">
        <v>688</v>
      </c>
      <c r="B21" s="285" t="str">
        <f>HELPER!B106 &amp; " AS " &amp; B6</f>
        <v>ABS(from_big_endian_64(xxhash64(CAST(cast(uuid() as varchar) as varbinary)))) AS wkfactVCSSLast90_history</v>
      </c>
    </row>
    <row r="22" spans="1:2" s="285" customFormat="1" ht="124.5" customHeight="1">
      <c r="A22" s="285" t="s">
        <v>689</v>
      </c>
      <c r="B22" s="285" t="str">
        <f ca="1">"src." &amp; B6 &amp; ", " &amp; COLHELPER!AK152 &amp; ", "   &amp; "src." &amp; Options!B43 &amp;  ", "  &amp; "src." &amp; Options!B44 &amp; ", " &amp; "src." &amp;  USERINPUT_DEFAULT_LAST_MODIFIED_TIMESTAMP_COL_NAME &amp; " , 1 "</f>
        <v xml:space="preserve">src.wkfactVCSSLast90_history, , src.hashkey, src.load_date, src.last_modified_timestamp , 1 </v>
      </c>
    </row>
    <row r="23" spans="1:2" s="285" customFormat="1" ht="124.5" customHeight="1">
      <c r="A23" s="285" t="s">
        <v>690</v>
      </c>
      <c r="B23" s="24" t="str">
        <f ca="1">"(SELECT " &amp;B21 &amp; ", "   &amp; B19&amp; ", "  &amp;B17   &amp; " " &amp; Options!B43 &amp; " , max("&amp;USERINPUT_DEFAULT_LAST_MODIFIED_TIMESTAMP_COL_NAME &amp; ") " &amp; USERINPUT_DEFAULT_LAST_MODIFIED_TIMESTAMP_COL_NAME &amp; ", MAX("&amp; Options!B44 &amp;") as " &amp; Options!B44  &amp; ", 1 IsCurrent FROM " &amp; B16 &amp; " GROUP BY " &amp; B19 &amp; ")"</f>
        <v>(SELECT ABS(from_big_endian_64(xxhash64(CAST(cast(uuid() as varchar) as varbinary)))) AS wkfactVCSSLast90_history, , lower(to_hex(md5(to_utf8(concat(,''))))) hashkey , max(last_modified_timestamp) last_modified_timestamp, MAX(load_date) as load_date, 1 IsCurrent FROM uc0039.stage_factVCSSLast90_v GROUP BY )</v>
      </c>
    </row>
    <row r="24" spans="1:2" ht="257.25" customHeight="1">
      <c r="A24" s="285" t="s">
        <v>691</v>
      </c>
      <c r="B24" s="10" t="str">
        <f ca="1">"MERGE INTO "&amp;B5&amp;" AS "&amp;HELPER!$B$93&amp;" "&amp;"  USING " &amp; B23 &amp; " as "&amp;HELPER!B94&amp;" ON "&amp; COLHELPER!AM152 &amp;" "&amp;B18&amp;" VALUES ("&amp;B22&amp;")"</f>
        <v>MERGE INTO uc0039.factVCSSLast90_history AS trg   USING (SELECT ABS(from_big_endian_64(xxhash64(CAST(cast(uuid() as varchar) as varbinary)))) AS wkfactVCSSLast90_history, , lower(to_hex(md5(to_utf8(concat(,''))))) hashkey , max(last_modified_timestamp) last_modified_timestamp, MAX(load_date) as load_date, 1 IsCurrent FROM uc0039.stage_factVCSSLast90_v GROUP BY ) as src ON  WHEN NOT MATCHED THEN INSERT (,hashkey, load_date , last_modified_timestamp  , IsCurrent) VALUES (src.wkfactVCSSLast90_history, , src.hashkey, src.load_date, src.last_modified_timestamp , 1 )</v>
      </c>
    </row>
    <row r="25" spans="1:2">
      <c r="A25" t="s">
        <v>692</v>
      </c>
      <c r="B25" t="str">
        <f>"CAST(current_timestamp as timestamp)"</f>
        <v>CAST(current_timestamp as timestamp)</v>
      </c>
    </row>
    <row r="26" spans="1:2">
      <c r="A26" t="s">
        <v>693</v>
      </c>
      <c r="B26" t="str">
        <f>"UPDATE " &amp; B5 &amp; " SET iscurrent=0"</f>
        <v>UPDATE uc0039.factVCSSLast90_history SET iscurrent=0</v>
      </c>
    </row>
    <row r="27" spans="1:2" ht="112.5" customHeight="1">
      <c r="A27" t="s">
        <v>694</v>
      </c>
      <c r="B27" s="285" t="str">
        <f>'UPDATE ISCURRENT'!B11</f>
        <v/>
      </c>
    </row>
    <row r="28" spans="1:2">
      <c r="A28" t="s">
        <v>695</v>
      </c>
      <c r="B28" t="str">
        <f>"drop table if exists " &amp; B5</f>
        <v>drop table if exists uc0039.factVCSSLast90_history</v>
      </c>
    </row>
    <row r="30" spans="1:2">
      <c r="A30" t="s">
        <v>696</v>
      </c>
      <c r="B30" t="str">
        <f ca="1">_xlfn.TEXTJOIN(",",TRUE,COLHELPER!BK2:BK150) &amp; ",'', " &amp;B25 &amp; "," &amp;B25  &amp; "," &amp;B25 &amp;",1"</f>
        <v>0,'missing','', CAST(current_timestamp as timestamp),CAST(current_timestamp as timestamp),CAST(current_timestamp as timestamp),1</v>
      </c>
    </row>
    <row r="31" spans="1:2">
      <c r="A31" t="s">
        <v>697</v>
      </c>
      <c r="B31" t="str">
        <f ca="1">B10</f>
        <v>,hashkey, load_date , last_modified_timestamp  , IsCurrent</v>
      </c>
    </row>
    <row r="32" spans="1:2" ht="118.5" customHeight="1">
      <c r="B32" s="10" t="str">
        <f ca="1">"INSERT INTO " &amp; B5 &amp; "(" &amp; B31 &amp; ") VALUES (" &amp; B30 &amp; ")"</f>
        <v>INSERT INTO uc0039.factVCSSLast90_history(,hashkey, load_date , last_modified_timestamp  , IsCurrent) VALUES (0,'missing','', CAST(current_timestamp as timestamp),CAST(current_timestamp as timestamp),CAST(current_timestamp as timestamp),1)</v>
      </c>
    </row>
    <row r="33" spans="1:2">
      <c r="A33" s="156" t="s">
        <v>698</v>
      </c>
      <c r="B33" s="30">
        <f>Options!B108</f>
        <v>1</v>
      </c>
    </row>
    <row r="34" spans="1:2">
      <c r="A34" s="130" t="s">
        <v>699</v>
      </c>
      <c r="B34" t="str">
        <f>B2 &amp; "." &amp; 'SCD4'!B35</f>
        <v>uc0039.factfactVCSSLast90factVCSSLast90history</v>
      </c>
    </row>
    <row r="35" spans="1:2">
      <c r="B35" t="str">
        <f>"fact" &amp; Options!B24 &amp; Options!B24 &amp; "history"</f>
        <v>factfactVCSSLast90factVCSSLast90history</v>
      </c>
    </row>
    <row r="36" spans="1:2">
      <c r="A36" t="s">
        <v>700</v>
      </c>
      <c r="B36" t="str">
        <f>"s3://"&amp;Options!B28&amp;"/"&amp;Options!B29&amp;"/"&amp;B35</f>
        <v>s3://uc0039-vgcs-odl-prod/db/factfactVCSSLast90factVCSSLast90history</v>
      </c>
    </row>
    <row r="37" spans="1:2" ht="146.25" customHeight="1">
      <c r="A37" s="285" t="s">
        <v>701</v>
      </c>
      <c r="B37" s="10" t="str">
        <f ca="1">HELPER!B3&amp;" "&amp;Options!B4&amp;"."&amp;'SCD4'!B35&amp;" ("&amp;HELPER!B21&amp;" bigint, "&amp;'SCD4'!B7&amp;", isLatest int, ValidFromDate timestamp, ValidToDate timestamp)" &amp;" LOCATION '"&amp;B36&amp;"' "&amp;HELPER!B72</f>
        <v>CREATE TABLE IF NOT EXISTS  uc0039.factfactVCSSLast90factVCSSLast90history ( bigint, wkfactVCSSLast90_history bigint, isLatest int, ValidFromDate timestamp, ValidToDate timestamp) LOCATION 's3://uc0039-vgcs-odl-prod/db/factfactVCSSLast90factVCSSLast90history' TBLPROPERTIES ( 'vacuum_max_snapshot_age_seconds' = '259200', 'optimize_rewrite_delete_file_threshold' = '50', 'write_target_data_file_size_bytes' = '536870912','table_type'='iceberg','format'='parquet')</v>
      </c>
    </row>
    <row r="38" spans="1:2">
      <c r="A38" t="s">
        <v>702</v>
      </c>
      <c r="B38" s="197" t="str">
        <f>"drop table if exists " &amp;B2 &amp; "." &amp; 'SCD4'!B35</f>
        <v>drop table if exists uc0039.factfactVCSSLast90factVCSSLast90history</v>
      </c>
    </row>
    <row r="39" spans="1:2">
      <c r="A39" t="s">
        <v>703</v>
      </c>
      <c r="B39" t="str">
        <f ca="1">HELPER!B21 &amp; ", " &amp; 'SCD4'!B6 &amp; ", islatest, " &amp;  "ValidFromDate, ValidToDate"</f>
        <v>, wkfactVCSSLast90_history, islatest, ValidFromDate, ValidToDate</v>
      </c>
    </row>
    <row r="40" spans="1:2">
      <c r="A40" t="s">
        <v>704</v>
      </c>
      <c r="B40" t="str">
        <f ca="1">"src." &amp; HELPER!B21 &amp; ", src." &amp; B6 &amp; ",0 , src.ValidFromDate"</f>
        <v>src., src.wkfactVCSSLast90_history,0 , src.ValidFromDate</v>
      </c>
    </row>
    <row r="41" spans="1:2" ht="105.75" customHeight="1">
      <c r="B41" s="285" t="str">
        <f ca="1">"SELECT d."&amp;HELPER!B21&amp;", m."&amp;B6&amp; ", 0 isLatest,  d." &amp; USERINPUT_DEFAULT_LAST_MODIFIED_TIMESTAMP_COL_NAME &amp; " ValidFromDate  FROM "&amp;B2&amp;"."&amp;Options!B25&amp;" d INNER JOIN "&amp;'SCD4'!B5&amp;" m on " &amp; COLHELPER!AI152</f>
        <v xml:space="preserve">SELECT d., m.wkfactVCSSLast90_history, 0 isLatest,  d.last_modified_timestamp ValidFromDate  FROM uc0039.factVCSSLast90 d INNER JOIN uc0039.factVCSSLast90_history m on </v>
      </c>
    </row>
    <row r="42" spans="1:2">
      <c r="A42" t="s">
        <v>705</v>
      </c>
      <c r="B42" t="str">
        <f>"drop table if exists " &amp; Options!B2 &amp; "." &amp; B4</f>
        <v>drop table if exists uc0039.factVCSSLast90_history</v>
      </c>
    </row>
    <row r="44" spans="1:2" ht="93" customHeight="1">
      <c r="A44" t="s">
        <v>706</v>
      </c>
      <c r="B44" s="10" t="str">
        <f ca="1">"MERGE INTO " &amp;B2 &amp; "." &amp; 'SCD4'!B35 &amp; "  as trg USING ( " &amp; 'SCD4'!B41 &amp; ") as src
 ON trg.islatest=1 AND trg. " &amp; HELPER!B21 &amp; " =  src." &amp; HELPER!B21 &amp; " AND src." &amp; B6 &amp; " = trg." &amp; B6 &amp; " AND src.ValidFromDate&lt;=trg.ValidFromDate  WHEN NOT MATCHED THEN " &amp; B46</f>
        <v>MERGE INTO uc0039.factfactVCSSLast90factVCSSLast90history  as trg USING ( SELECT d., m.wkfactVCSSLast90_history, 0 isLatest,  d.last_modified_timestamp ValidFromDate  FROM uc0039.factVCSSLast90 d INNER JOIN uc0039.factVCSSLast90_history m on ) as src
 ON trg.islatest=1 AND trg.  =  src. AND src.wkfactVCSSLast90_history = trg.wkfactVCSSLast90_history AND src.ValidFromDate&lt;=trg.ValidFromDate  WHEN NOT MATCHED THEN INSERT (, wkfactVCSSLast90_history, islatest, ValidFromDate, ValidToDate) VALUES (src., src.wkfactVCSSLast90_history,0 , src.ValidFromDate,null)</v>
      </c>
    </row>
    <row r="46" spans="1:2">
      <c r="A46" t="s">
        <v>707</v>
      </c>
      <c r="B46" t="str">
        <f ca="1">"INSERT (" &amp; B39 &amp; ") VALUES (" &amp; B40 &amp; ",null" &amp; ")"</f>
        <v>INSERT (, wkfactVCSSLast90_history, islatest, ValidFromDate, ValidToDate) VALUES (src., src.wkfactVCSSLast90_history,0 , src.ValidFromDate,null)</v>
      </c>
    </row>
    <row r="48" spans="1:2" ht="66" customHeight="1">
      <c r="A48" t="s">
        <v>708</v>
      </c>
      <c r="B48" s="285" t="str">
        <f ca="1">"SELECT "&amp;HELPER!B21&amp;",   max(ValidFromDate) as ValidFromDate  FROM " &amp; Options!B4 &amp; "." &amp; 'SCD4'!B35 &amp; " GROUP BY " &amp;HELPER!B21</f>
        <v xml:space="preserve">SELECT ,   max(ValidFromDate) as ValidFromDate  FROM uc0039.factfactVCSSLast90factVCSSLast90history GROUP BY </v>
      </c>
    </row>
    <row r="49" spans="1:2">
      <c r="A49" t="s">
        <v>709</v>
      </c>
      <c r="B49" t="str">
        <f>"UPDATE " &amp;B34 &amp; " SET islatest=0 where isLatest=1"</f>
        <v>UPDATE uc0039.factfactVCSSLast90factVCSSLast90history SET islatest=0 where isLatest=1</v>
      </c>
    </row>
    <row r="50" spans="1:2" ht="87" customHeight="1">
      <c r="A50" s="285" t="s">
        <v>710</v>
      </c>
      <c r="B50" s="10" t="str">
        <f ca="1">"MERGE INTO " &amp;B34  &amp; " as trg USING (" &amp; B48 &amp; ") as src ON trg. " &amp; HELPER!B21 &amp; " =  src." &amp; HELPER!B21 &amp; " AND src.ValidFromDate=trg.ValidFromDate  WHEN MATCHED THEN UPDATE Set IsLatest=1, ValidToDate=null"</f>
        <v>MERGE INTO uc0039.factfactVCSSLast90factVCSSLast90history as trg USING (SELECT ,   max(ValidFromDate) as ValidFromDate  FROM uc0039.factfactVCSSLast90factVCSSLast90history GROUP BY ) as src ON trg.  =  src. AND src.ValidFromDate=trg.ValidFromDate  WHEN MATCHED THEN UPDATE Set IsLatest=1, ValidToDate=null</v>
      </c>
    </row>
    <row r="51" spans="1:2">
      <c r="A51" t="s">
        <v>711</v>
      </c>
      <c r="B51" t="s">
        <v>712</v>
      </c>
    </row>
    <row r="52" spans="1:2" ht="49.5" customHeight="1">
      <c r="A52" s="285" t="s">
        <v>713</v>
      </c>
    </row>
    <row r="53" spans="1:2">
      <c r="A53" t="s">
        <v>711</v>
      </c>
    </row>
    <row r="55" spans="1:2">
      <c r="A55" s="30" t="s">
        <v>714</v>
      </c>
      <c r="B55" s="30"/>
    </row>
    <row r="56" spans="1:2">
      <c r="A56" s="278" t="s">
        <v>715</v>
      </c>
      <c r="B56" s="278" t="s">
        <v>716</v>
      </c>
    </row>
    <row r="57" spans="1:2">
      <c r="A57" t="s">
        <v>717</v>
      </c>
      <c r="B57" s="278" t="str">
        <f>B34 &amp; "_initialload_v"</f>
        <v>uc0039.factfactVCSSLast90factVCSSLast90history_initialload_v</v>
      </c>
    </row>
    <row r="58" spans="1:2">
      <c r="B58" s="278" t="str">
        <f>"drop table " &amp; B34</f>
        <v>drop table uc0039.factfactVCSSLast90factVCSSLast90history</v>
      </c>
    </row>
    <row r="59" spans="1:2" ht="45.75" customHeight="1">
      <c r="A59" s="278" t="s">
        <v>718</v>
      </c>
      <c r="B59" s="277" t="str">
        <f ca="1">"WITH t1 as (select distinct " &amp; B19 &amp; ", max(" &amp; USERINPUT_LAST_MODIFIED_TIMESTAMP_COL_NAME&amp; ") as " &amp; USERINPUT_DEFAULT_LAST_MODIFIED_TIMESTAMP_COL_NAME&amp; " , max(" &amp;USERINPUT_LAST_MODIFIED_TIMESTAMP_COL_NAME &amp; ") as " &amp; Options!B44 &amp; " FROM " &amp; B56 &amp; " GROUP BY " &amp; B19 &amp; " ) SELECT " &amp; B21 &amp; ",  " &amp; B17 &amp; " as " &amp;Options!B43 &amp; ", t1.* from t1"</f>
        <v>WITH t1 as (select distinct , max(timestamp) as last_modified_timestamp , max(timestamp) as load_date FROM odl_dwh_raw.common_dim_vehicle_tea2plus_history GROUP BY  ) SELECT ABS(from_big_endian_64(xxhash64(CAST(cast(uuid() as varchar) as varbinary)))) AS wkfactVCSSLast90_history,  lower(to_hex(md5(to_utf8(concat(,''))))) as hashkey, t1.* from t1</v>
      </c>
    </row>
    <row r="60" spans="1:2" ht="100.5" customHeight="1">
      <c r="A60" s="276" t="s">
        <v>719</v>
      </c>
      <c r="B60" s="275" t="str">
        <f ca="1">"MERGE INTO "&amp;B5&amp;" AS "&amp;HELPER!$B$93&amp;" "&amp;"  USING (" &amp; B59 &amp; ") as "&amp;HELPER!B94&amp;" ON "&amp; COLHELPER!AM152 &amp;" "&amp;B18&amp;" VALUES ("&amp;B22&amp;")"</f>
        <v>MERGE INTO uc0039.factVCSSLast90_history AS trg   USING (WITH t1 as (select distinct , max(timestamp) as last_modified_timestamp , max(timestamp) as load_date FROM odl_dwh_raw.common_dim_vehicle_tea2plus_history GROUP BY  ) SELECT ABS(from_big_endian_64(xxhash64(CAST(cast(uuid() as varchar) as varbinary)))) AS wkfactVCSSLast90_history,  lower(to_hex(md5(to_utf8(concat(,''))))) as hashkey, t1.* from t1) as src ON  WHEN NOT MATCHED THEN INSERT (,hashkey, load_date , last_modified_timestamp  , IsCurrent) VALUES (src.wkfactVCSSLast90_history, , src.hashkey, src.load_date, src.last_modified_timestamp , 1 )</v>
      </c>
    </row>
    <row r="61" spans="1:2" ht="268.5" customHeight="1">
      <c r="A61" s="276" t="s">
        <v>720</v>
      </c>
      <c r="B61" s="275" t="str">
        <f>"CREATE OR REPLACE VIEW " &amp;B57 &amp; " as " &amp;B62</f>
        <v>CREATE OR REPLACE VIEW uc0039.factfactVCSSLast90factVCSSLast90history_initialload_v as WITH
  _md AS (
   SELECT DISTINCT
     vehicleplatformid
   , mainswpartnumber
   , last_modified_timestamp ValidFromDate
   FROM
     odl_dwh_raw.common_dim_vehicle_tea2plus_history
) 
, _final AS (
   SELECT
     d.wkvehicle
   , hist.wkVehicle_history
   , _md.ValidFromDate
   FROM
     ((_md
   INNER JOIN uc0039.dimVehicle d ON (_md.vehicleplatformid = d.vehicleplatformid))
   INNER JOIN uc0039.dimVehicle_history hist ON (_md.mainswpartnumber = hist.tea2_mainswpartnumber))
) 
, _w AS (
   SELECT
     *
   , (COALESCE(lead(validfromdate) OVER (PARTITION BY wkVehicle ORDER BY validfromdate ASC), CAST(current_timestamp AS timestamp)) - INTERVAL  '1' SECOND) ValidToDate
   , COALESCE(lead(wkvehicle_history) OVER (PARTITION BY wkVehicle ORDER BY validfromdate ASC), 0) next_wkvehicle_history
   FROM
     _final
   ORDER BY validfromdate DESC
) 
SELECT
  wkvehicle
, wkvehicle_history
, next_wkvehicle_history
, validfromdate
, validtodate
, 0 isLatest
FROM
  _w
WHERE (wkVehicle_history &lt;&gt; next_wkVehicle_History)</v>
      </c>
    </row>
    <row r="62" spans="1:2" ht="114" customHeight="1">
      <c r="A62" s="285" t="s">
        <v>721</v>
      </c>
      <c r="B62" s="277" t="s">
        <v>722</v>
      </c>
    </row>
    <row r="63" spans="1:2" ht="94.5" customHeight="1">
      <c r="A63" s="274" t="s">
        <v>723</v>
      </c>
      <c r="B63" s="275" t="str">
        <f ca="1">"INSERT INTO " &amp;B34 &amp; "(" &amp;B39 &amp; ") SELECT " &amp; B39 &amp; " FROM " &amp; B57</f>
        <v>INSERT INTO uc0039.factfactVCSSLast90factVCSSLast90history(, wkfactVCSSLast90_history, islatest, ValidFromDate, ValidToDate) SELECT , wkfactVCSSLast90_history, islatest, ValidFromDate, ValidToDate FROM uc0039.factfactVCSSLast90factVCSSLast90history_initialload_v</v>
      </c>
    </row>
    <row r="66" spans="1:2">
      <c r="B66" t="s">
        <v>724</v>
      </c>
    </row>
    <row r="68" spans="1:2">
      <c r="B68" s="2" t="s">
        <v>725</v>
      </c>
    </row>
    <row r="71" spans="1:2">
      <c r="B71" t="str">
        <f>"select * from " &amp; B34 &amp; " WHERE wkVehicle=" &amp; B68</f>
        <v>select * from uc0039.factfactVCSSLast90factVCSSLast90history WHERE wkVehicle=310648B61FBDCF0AAC7830DDD5BE2770</v>
      </c>
    </row>
    <row r="74" spans="1:2" ht="60" customHeight="1">
      <c r="A74" t="s">
        <v>726</v>
      </c>
      <c r="B74" s="144" t="s">
        <v>727</v>
      </c>
    </row>
    <row r="75" spans="1:2">
      <c r="B75" t="s">
        <v>728</v>
      </c>
    </row>
    <row r="77" spans="1:2" ht="90" customHeight="1">
      <c r="B77" s="144" t="s">
        <v>729</v>
      </c>
    </row>
    <row r="80" spans="1:2">
      <c r="B80" t="s">
        <v>730</v>
      </c>
    </row>
    <row r="81" spans="1:2">
      <c r="B81" t="s">
        <v>731</v>
      </c>
    </row>
    <row r="82" spans="1:2">
      <c r="A82" t="s">
        <v>732</v>
      </c>
      <c r="B82" t="s">
        <v>733</v>
      </c>
    </row>
    <row r="83" spans="1:2" ht="60" customHeight="1">
      <c r="B83" s="144" t="s">
        <v>734</v>
      </c>
    </row>
    <row r="86" spans="1:2">
      <c r="B86" t="s">
        <v>735</v>
      </c>
    </row>
  </sheetData>
  <pageMargins left="0.7" right="0.7" top="0.75" bottom="0.75" header="0.3" footer="0.3"/>
  <pageSetup paperSize="9" orientation="portrai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C00000"/>
  </sheetPr>
  <dimension ref="A1:G21"/>
  <sheetViews>
    <sheetView workbookViewId="0">
      <selection activeCell="B1" sqref="B1"/>
    </sheetView>
  </sheetViews>
  <sheetFormatPr defaultRowHeight="15"/>
  <cols>
    <col min="1" max="1" width="24" style="283" customWidth="1"/>
    <col min="2" max="2" width="63.42578125" style="283" customWidth="1"/>
    <col min="3" max="3" width="17" style="283" bestFit="1" customWidth="1"/>
    <col min="5" max="5" width="57.7109375" style="283" customWidth="1"/>
    <col min="6" max="6" width="15.42578125" style="283" bestFit="1" customWidth="1"/>
  </cols>
  <sheetData>
    <row r="1" spans="1:7">
      <c r="A1" t="s">
        <v>736</v>
      </c>
      <c r="B1">
        <v>115</v>
      </c>
      <c r="C1" s="99">
        <v>45301</v>
      </c>
    </row>
    <row r="2" spans="1:7">
      <c r="A2" t="s">
        <v>737</v>
      </c>
      <c r="B2" t="s">
        <v>738</v>
      </c>
    </row>
    <row r="3" spans="1:7">
      <c r="A3" t="s">
        <v>739</v>
      </c>
      <c r="B3" s="99"/>
    </row>
    <row r="7" spans="1:7">
      <c r="F7" t="str">
        <f>$B$2</f>
        <v>Skidbladner</v>
      </c>
    </row>
    <row r="10" spans="1:7">
      <c r="A10" t="s">
        <v>740</v>
      </c>
    </row>
    <row r="11" spans="1:7">
      <c r="A11" t="s">
        <v>741</v>
      </c>
      <c r="B11" t="s">
        <v>742</v>
      </c>
    </row>
    <row r="12" spans="1:7">
      <c r="B12" t="s">
        <v>743</v>
      </c>
    </row>
    <row r="13" spans="1:7">
      <c r="B13" t="s">
        <v>744</v>
      </c>
    </row>
    <row r="14" spans="1:7">
      <c r="B14" t="s">
        <v>745</v>
      </c>
      <c r="G14" t="str">
        <f t="array" aca="1" ref="G14" ca="1">INDIRECT("B2")</f>
        <v>Skidbladner</v>
      </c>
    </row>
    <row r="15" spans="1:7">
      <c r="B15" t="s">
        <v>746</v>
      </c>
    </row>
    <row r="16" spans="1:7">
      <c r="B16" t="s">
        <v>747</v>
      </c>
    </row>
    <row r="17" spans="2:2">
      <c r="B17" t="s">
        <v>748</v>
      </c>
    </row>
    <row r="18" spans="2:2">
      <c r="B18" t="s">
        <v>749</v>
      </c>
    </row>
    <row r="20" spans="2:2">
      <c r="B20" t="s">
        <v>750</v>
      </c>
    </row>
    <row r="21" spans="2:2">
      <c r="B21" t="s">
        <v>751</v>
      </c>
    </row>
  </sheetData>
  <pageMargins left="0.7" right="0.7" top="0.75" bottom="0.75" header="0.3" footer="0.3"/>
  <pageSetup paperSize="9" orientation="portrai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rgb="FFFFC000"/>
  </sheetPr>
  <dimension ref="A1:G11"/>
  <sheetViews>
    <sheetView topLeftCell="C5" workbookViewId="0">
      <selection activeCell="F5" sqref="F5"/>
    </sheetView>
  </sheetViews>
  <sheetFormatPr defaultRowHeight="15"/>
  <cols>
    <col min="1" max="1" width="149" style="283" customWidth="1"/>
    <col min="2" max="2" width="89.28515625" style="283" customWidth="1"/>
    <col min="3" max="3" width="75" style="283" customWidth="1"/>
    <col min="5" max="5" width="47.85546875" style="283" customWidth="1"/>
    <col min="6" max="6" width="65.7109375" style="283" customWidth="1"/>
    <col min="7" max="7" width="48.140625" style="283" customWidth="1"/>
  </cols>
  <sheetData>
    <row r="1" spans="1:7">
      <c r="A1" s="30" t="s">
        <v>752</v>
      </c>
      <c r="B1" s="30"/>
      <c r="C1" s="30"/>
    </row>
    <row r="2" spans="1:7" ht="350.25" customHeight="1">
      <c r="A2" s="195" t="str">
        <f ca="1">IF(Options!B51=1,"MERGE INTO "&amp;HELPER!B133&amp;" as "&amp;HELPER!B93&amp;" USING "&amp; HELPER!B129 &amp;" as "&amp;HELPER!B94&amp;" ON "&amp;HELPER!B53&amp;" WHEN NOT MATCHED THEN INSERT ( "&amp;HELPER!B18&amp;") VALUES ("&amp;HELPER!B80&amp;") WHEN MATCHED THEN UPDATE SET "&amp;HELPER!B82,"")</f>
        <v>MERGE INTO uc0039.factVCSSLast90 as trg USING uc0039.source_factVCSSLast90_[:date_yyyymmdd]_v  as src ON trg.wkVehicle = src.wkVehicle WHEN NOT MATCHED THEN INSERT ( wkVehicle, has_communicated_last_90_days, lake_arrival_date,load_date, hashkey) VALUES (src.wkVehicle, src.has_communicated_last_90_days, COALESCE(src.lake_arrival_date,''), src.load_date,src.hashkey) WHEN MATCHED THEN UPDATE SET has_communicated_last_90_days =  src.has_communicated_last_90_days, load_date= src .load_date</v>
      </c>
      <c r="B2" s="195"/>
      <c r="C2" s="195"/>
      <c r="G2" s="285" t="s">
        <v>753</v>
      </c>
    </row>
    <row r="4" spans="1:7">
      <c r="A4" s="30" t="s">
        <v>754</v>
      </c>
      <c r="B4" s="30" t="s">
        <v>755</v>
      </c>
      <c r="C4" s="30" t="s">
        <v>756</v>
      </c>
      <c r="E4" t="s">
        <v>757</v>
      </c>
      <c r="F4" s="30" t="s">
        <v>758</v>
      </c>
    </row>
    <row r="5" spans="1:7" ht="392.25" customHeight="1">
      <c r="A5" s="195" t="str">
        <f ca="1">IF(Options!B51=1,"MERGE INTO "&amp;HELPER!B133&amp;" as "&amp;HELPER!$B$93&amp;" USING "&amp;HELPER!B129&amp;" as "&amp;HELPER!B94&amp;" ON "&amp;HELPER!$B$54&amp;" "&amp;B5&amp;" "&amp;IF(C5="","",C5)," ")</f>
        <v>MERGE INTO uc0039.factVCSSLast90 as trg USING uc0039.source_factVCSSLast90_[:date_yyyymmdd]_v  as src ON trg.wkVehicle = src.wkVehicle  WHEN NOT MATCHED THEN INSERT ( wkVehicle, has_communicated_last_90_days, lake_arrival_date,load_date, hashkey) VALUES (src.wkVehicle, src.has_communicated_last_90_days, COALESCE(src.lake_arrival_date,''), src.load_date,src.hashkey) WHEN MATCHED  AND trg.last_modified_timestamp &lt;&gt;  src.last_modified_timestamp THEN UPDATE SET has_communicated_last_90_days =  src.has_communicated_last_90_days,last_modified_timestamp = src.last_modified_timestamp</v>
      </c>
      <c r="B5" s="285" t="str">
        <f ca="1">"WHEN NOT MATCHED THEN INSERT ( "&amp;HELPER!B18&amp;") VALUES ("&amp;HELPER!B80&amp;")"</f>
        <v>WHEN NOT MATCHED THEN INSERT ( wkVehicle, has_communicated_last_90_days, lake_arrival_date,load_date, hashkey) VALUES (src.wkVehicle, src.has_communicated_last_90_days, COALESCE(src.lake_arrival_date,''), src.load_date,src.hashkey)</v>
      </c>
      <c r="C5" s="285" t="str">
        <f ca="1">E5</f>
        <v>WHEN MATCHED  AND trg.last_modified_timestamp &lt;&gt;  src.last_modified_timestamp THEN UPDATE SET has_communicated_last_90_days =  src.has_communicated_last_90_days,last_modified_timestamp = src.last_modified_timestamp</v>
      </c>
      <c r="E5" s="285" t="str">
        <f ca="1">IF(F5="","","WHEN MATCHED " &amp;HELPER!E54 &amp; " THEN UPDATE SET " &amp; F5)</f>
        <v>WHEN MATCHED  AND trg.last_modified_timestamp &lt;&gt;  src.last_modified_timestamp THEN UPDATE SET has_communicated_last_90_days =  src.has_communicated_last_90_days,last_modified_timestamp = src.last_modified_timestamp</v>
      </c>
      <c r="F5" s="10" t="str">
        <f ca="1">IF(MERGE_UPDATE_COLUMN_LIST="","", MERGE_UPDATE_COLUMN_LIST &amp; HELPER!F54)</f>
        <v>has_communicated_last_90_days =  src.has_communicated_last_90_days,last_modified_timestamp = src.last_modified_timestamp</v>
      </c>
      <c r="G5" s="285" t="s">
        <v>759</v>
      </c>
    </row>
    <row r="6" spans="1:7" ht="208.5" customHeight="1">
      <c r="A6" s="285" t="str">
        <f ca="1">IF(Options!B51=1,"MERGE INTO "&amp;HELPER!B133&amp;" as "&amp;HELPER!$B$93&amp;" USING "&amp;HELPER!B130&amp;" as "&amp;HELPER!B94&amp;" ON "&amp;HELPER!$B$54&amp;" WHEN NOT MATCHED THEN INSERT ( "&amp;HELPER!B18&amp;") VALUES ("&amp;HELPER!B80&amp;")","")&amp;IF(C5="","",C5)</f>
        <v>MERGE INTO uc0039.factVCSSLast90 as trg USING (select * from uc0039.source_factVCSSLast90_[:date_yyyymmdd]_v  WHERE CAST(load_date as date) = CAST('[:date_yyyy_mm_dd]' as date)) as src ON trg.wkVehicle = src.wkVehicle  WHEN NOT MATCHED THEN INSERT ( wkVehicle, has_communicated_last_90_days, lake_arrival_date,load_date, hashkey) VALUES (src.wkVehicle, src.has_communicated_last_90_days, COALESCE(src.lake_arrival_date,''), src.load_date,src.hashkey)WHEN MATCHED  AND trg.last_modified_timestamp &lt;&gt;  src.last_modified_timestamp THEN UPDATE SET has_communicated_last_90_days =  src.has_communicated_last_90_days,last_modified_timestamp = src.last_modified_timestamp</v>
      </c>
      <c r="B6" s="285"/>
      <c r="C6" s="285"/>
      <c r="G6" s="285" t="s">
        <v>760</v>
      </c>
    </row>
    <row r="7" spans="1:7">
      <c r="A7" s="30" t="s">
        <v>761</v>
      </c>
      <c r="B7" s="30" t="s">
        <v>359</v>
      </c>
      <c r="C7" s="30"/>
    </row>
    <row r="8" spans="1:7" ht="321" customHeight="1">
      <c r="A8" s="13" t="str">
        <f>IF(Options!B51=1, IF(Options!B31=1, "MERGE INTO " &amp; HELPER!B133 &amp; " as "&amp; HELPER!B93 &amp; " USING (SELECT " &amp; HELPER!B7 &amp; ", MAX(" &amp;Options!B45 &amp; ") As " &amp; Options!B45 &amp; " FROM " &amp;HELPER!B133 &amp; " GROUP BY " &amp; HELPER!B7 &amp; ") as " &amp; HELPER!B94 &amp; " ON " &amp; HELPER!B94  &amp; "."&amp; Options!B45 &amp; "= " &amp;HELPER!B93&amp;"." &amp; Options!B45 &amp; " AND " &amp; HELPER!B53,"") &amp; " WHEN MATCHED THEN UPDATE SET iscurrent=1","")</f>
        <v xml:space="preserve"> WHEN MATCHED THEN UPDATE SET iscurrent=1</v>
      </c>
      <c r="B8" s="195" t="str">
        <f>IF(Options!B51=1, IF(Options!B31=1, "MERGE INTO " &amp; 'SCD4'!B5 &amp; " as "&amp; HELPER!B93 &amp; " USING (SELECT " &amp; HELPER!B7 &amp; ", MAX(" &amp;Options!B45 &amp; ") As " &amp; Options!B45 &amp; " FROM " &amp;'SCD4'!B5 &amp; " GROUP BY " &amp; HELPER!B7 &amp; ") as " &amp; HELPER!B94 &amp; " ON " &amp; HELPER!B94  &amp; "."&amp; Options!B45 &amp; "= " &amp;HELPER!B93&amp;"." &amp; Options!B45 &amp; " AND " &amp; HELPER!B53,"") &amp; " WHEN MATCHED THEN UPDATE SET iscurrent=1","")</f>
        <v xml:space="preserve"> WHEN MATCHED THEN UPDATE SET iscurrent=1</v>
      </c>
      <c r="C8" s="195"/>
      <c r="G8" s="220" t="s">
        <v>762</v>
      </c>
    </row>
    <row r="10" spans="1:7">
      <c r="A10" s="30"/>
      <c r="B10" s="30"/>
      <c r="C10" s="30"/>
    </row>
    <row r="11" spans="1:7" ht="349.5" customHeight="1">
      <c r="A11" s="109"/>
      <c r="B11" s="109"/>
      <c r="C11" s="109"/>
      <c r="G11" s="220"/>
    </row>
  </sheetData>
  <pageMargins left="0.7" right="0.7" top="0.75" bottom="0.75" header="0.3" footer="0.3"/>
  <pageSetup paperSize="9" orientation="portrai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rgb="FFFFC000"/>
  </sheetPr>
  <dimension ref="A1:A2"/>
  <sheetViews>
    <sheetView workbookViewId="0">
      <selection activeCell="A2" sqref="A2"/>
    </sheetView>
  </sheetViews>
  <sheetFormatPr defaultRowHeight="15"/>
  <cols>
    <col min="1" max="1" width="151" style="283" customWidth="1"/>
  </cols>
  <sheetData>
    <row r="1" spans="1:1">
      <c r="A1" s="30" t="s">
        <v>763</v>
      </c>
    </row>
    <row r="2" spans="1:1" ht="281.25" customHeight="1">
      <c r="A2" s="195" t="e">
        <f ca="1">'INITIAL LOAD'!A2 &amp; " WHERE " &amp;HELPER!B8 &amp; " NOT IN(SELECT " &amp;HELPER!B8 &amp; " FROM " &amp;Options!B23 &amp; "." &amp; Options!B25 &amp;")"</f>
        <v>#REF!</v>
      </c>
    </row>
  </sheetData>
  <pageMargins left="0.7" right="0.7" top="0.75" bottom="0.75" header="0.3" footer="0.3"/>
  <pageSetup paperSize="9" orientation="portrai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3"/>
  <sheetViews>
    <sheetView workbookViewId="0">
      <selection activeCell="A5" sqref="A5"/>
    </sheetView>
  </sheetViews>
  <sheetFormatPr defaultRowHeight="15"/>
  <cols>
    <col min="1" max="1" width="152.85546875" style="283" customWidth="1"/>
  </cols>
  <sheetData>
    <row r="1" spans="1:1">
      <c r="A1" s="30" t="s">
        <v>764</v>
      </c>
    </row>
    <row r="2" spans="1:1" ht="271.5" customHeight="1">
      <c r="A2" s="195" t="e">
        <f ca="1">"INSERT INTO " &amp; Options!B23 &amp; "." &amp; Options!B25 &amp; "(" &amp; HELPER!B18 &amp; ") SELECT " &amp;HELPER!B18 &amp; " FROM " &amp; Options!#REF!</f>
        <v>#REF!</v>
      </c>
    </row>
    <row r="3" spans="1:1">
      <c r="A3" s="2"/>
    </row>
  </sheetData>
  <pageMargins left="0.7" right="0.7" top="0.75" bottom="0.75" header="0.3" footer="0.3"/>
  <pageSetup paperSize="9" orientation="portrai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
  <sheetViews>
    <sheetView workbookViewId="0">
      <selection activeCell="O25" sqref="O25"/>
    </sheetView>
  </sheetViews>
  <sheetFormatPr defaultRowHeight="15"/>
  <sheetData/>
  <pageMargins left="0.7" right="0.7" top="0.75" bottom="0.75" header="0.3" footer="0.3"/>
  <pageSetup paperSize="9"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rgb="FFC00000"/>
  </sheetPr>
  <dimension ref="A1:C11"/>
  <sheetViews>
    <sheetView topLeftCell="B5" workbookViewId="0">
      <selection activeCell="B11" sqref="B11"/>
    </sheetView>
  </sheetViews>
  <sheetFormatPr defaultRowHeight="15"/>
  <cols>
    <col min="1" max="1" width="9.140625" style="285" customWidth="1"/>
    <col min="2" max="2" width="124.140625" style="285" customWidth="1"/>
    <col min="3" max="3" width="72.28515625" style="285" customWidth="1"/>
    <col min="4" max="8" width="9.140625" style="285" customWidth="1"/>
    <col min="9" max="16384" width="9.140625" style="285"/>
  </cols>
  <sheetData>
    <row r="1" spans="1:3">
      <c r="A1" s="285" t="s">
        <v>765</v>
      </c>
      <c r="B1" s="13" t="str">
        <f>IF(Options!B51=1,IF(Options!B31=1, "UPDATE " &amp; HELPER!B133 &amp; " SET iscurrent=0",""),"")</f>
        <v/>
      </c>
      <c r="C1" s="285" t="s">
        <v>766</v>
      </c>
    </row>
    <row r="3" spans="1:3" ht="21.75" customHeight="1">
      <c r="B3" s="14"/>
    </row>
    <row r="4" spans="1:3">
      <c r="B4" s="14"/>
    </row>
    <row r="5" spans="1:3" ht="45.75" customHeight="1">
      <c r="B5" s="14"/>
    </row>
    <row r="7" spans="1:3" ht="141" customHeight="1">
      <c r="A7" s="285" t="s">
        <v>767</v>
      </c>
      <c r="B7" s="13" t="str">
        <f>IF(Options!B31=1, 'MERGE INTO'!A8,"")</f>
        <v/>
      </c>
      <c r="C7" s="285" t="s">
        <v>768</v>
      </c>
    </row>
    <row r="10" spans="1:3">
      <c r="B10" s="285" t="s">
        <v>769</v>
      </c>
    </row>
    <row r="11" spans="1:3" ht="150" customHeight="1">
      <c r="B11" s="285" t="str">
        <f>IF(Options!B31=1, 'MERGE INTO'!B8,"")</f>
        <v/>
      </c>
    </row>
  </sheetData>
  <pageMargins left="0.7" right="0.7" top="0.75" bottom="0.75" header="0.3" footer="0.3"/>
  <pageSetup paperSize="9" orientation="portrai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
  <sheetViews>
    <sheetView workbookViewId="0">
      <selection activeCell="A12" sqref="A12"/>
    </sheetView>
  </sheetViews>
  <sheetFormatPr defaultRowHeight="15"/>
  <cols>
    <col min="1" max="1" width="95.42578125" style="283" customWidth="1"/>
  </cols>
  <sheetData>
    <row r="1" spans="1:1" ht="177.75" customHeight="1">
      <c r="A1" s="195" t="str">
        <f ca="1">"CREATE OR REPLACE VIEW " &amp; HELPER!B49 &amp; " AS  WITH t1 AS (SELECT " &amp; HELPER!B9 &amp; " FROM " &amp; Options!B23 &amp; "." &amp; Options!B25 &amp; " GROUP BY " &amp; HELPER!B7 &amp; ") SELECT d.* FROM " &amp; Options!B23 &amp; "." &amp; Options!B25 &amp; " d INNER JOIN t1 ON " &amp; HELPER!B53 &amp; " AND d." &amp; Options!B44 &amp; " = t1.max_" &amp; Options!B44</f>
        <v>CREATE OR REPLACE VIEW NIY AS  WITH t1 AS (SELECT wkVehicle, MAX(load_date) as max_load_date FROM uc0039.factVCSSLast90 GROUP BY wkVehicle) SELECT d.* FROM uc0039.factVCSSLast90 d INNER JOIN t1 ON trg.wkVehicle = src.wkVehicle AND d.load_date = t1.max_load_date</v>
      </c>
    </row>
  </sheetData>
  <pageMargins left="0.7" right="0.7" top="0.75" bottom="0.75" header="0.3" footer="0.3"/>
  <pageSetup paperSize="9" orientation="portrai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B3:B34"/>
  <sheetViews>
    <sheetView topLeftCell="B7" workbookViewId="0">
      <selection activeCell="B30" sqref="B30"/>
    </sheetView>
  </sheetViews>
  <sheetFormatPr defaultRowHeight="15"/>
  <cols>
    <col min="2" max="2" width="160.28515625" style="283" customWidth="1"/>
  </cols>
  <sheetData>
    <row r="3" spans="2:2">
      <c r="B3" t="str">
        <f>"SELECT * FROM """&amp;Options!B23&amp;"""."""&amp;Options!B25&amp;"$files"""</f>
        <v>SELECT * FROM "uc0039"."factVCSSLast90$files"</v>
      </c>
    </row>
    <row r="5" spans="2:2">
      <c r="B5" t="str">
        <f>"SELECT * FROM """&amp;Options!B23&amp;"""."""&amp;Options!B25&amp;"$manifests"""</f>
        <v>SELECT * FROM "uc0039"."factVCSSLast90$manifests"</v>
      </c>
    </row>
    <row r="7" spans="2:2">
      <c r="B7" t="str">
        <f>"SELECT * FROM """&amp;Options!B23&amp;"""."""&amp;Options!B25&amp;"$history"""</f>
        <v>SELECT * FROM "uc0039"."factVCSSLast90$history"</v>
      </c>
    </row>
    <row r="8" spans="2:2">
      <c r="B8" s="4" t="s">
        <v>770</v>
      </c>
    </row>
    <row r="9" spans="2:2">
      <c r="B9" t="str">
        <f>"SELECT * FROM """&amp;Options!B23&amp;"""."""&amp;Options!B25&amp;"$partitions"""</f>
        <v>SELECT * FROM "uc0039"."factVCSSLast90$partitions"</v>
      </c>
    </row>
    <row r="10" spans="2:2">
      <c r="B10" s="4" t="s">
        <v>771</v>
      </c>
    </row>
    <row r="11" spans="2:2">
      <c r="B11" t="str">
        <f>"SELECT * FROM """&amp;Options!B23&amp;"""."""&amp;Options!B25&amp;"$snapshots"""</f>
        <v>SELECT * FROM "uc0039"."factVCSSLast90$snapshots"</v>
      </c>
    </row>
    <row r="13" spans="2:2">
      <c r="B13" t="str">
        <f>"SELECT * FROM """&amp;Options!B23&amp;"""."""&amp;Options!B25&amp;"$refs"""</f>
        <v>SELECT * FROM "uc0039"."factVCSSLast90$refs"</v>
      </c>
    </row>
    <row r="15" spans="2:2" ht="20.25" customHeight="1">
      <c r="B15" s="8" t="s">
        <v>772</v>
      </c>
    </row>
    <row r="16" spans="2:2">
      <c r="B16" t="str">
        <f>"OPTIMIZE " &amp; Options!B23 &amp; "." &amp; Options!B25 &amp; " REWRITE DATA USING BIN_PACK "</f>
        <v xml:space="preserve">OPTIMIZE uc0039.factVCSSLast90 REWRITE DATA USING BIN_PACK </v>
      </c>
    </row>
    <row r="19" spans="2:2">
      <c r="B19" s="4" t="s">
        <v>773</v>
      </c>
    </row>
    <row r="20" spans="2:2" ht="46.5" customHeight="1">
      <c r="B20" s="285" t="str">
        <f>"ALTER TABLE " &amp; Options!B23 &amp; "." &amp; Options!B25 &amp; " SET " &amp; HELPER!B72</f>
        <v>ALTER TABLE uc0039.factVCSSLast90 SET TBLPROPERTIES ( 'vacuum_max_snapshot_age_seconds' = '259200', 'optimize_rewrite_delete_file_threshold' = '50', 'write_target_data_file_size_bytes' = '536870912','table_type'='iceberg','format'='parquet')</v>
      </c>
    </row>
    <row r="21" spans="2:2">
      <c r="B21" s="4" t="s">
        <v>774</v>
      </c>
    </row>
    <row r="22" spans="2:2">
      <c r="B22" t="str">
        <f>"VACUUM " &amp;HELPER!B133</f>
        <v>VACUUM uc0039.factVCSSLast90</v>
      </c>
    </row>
    <row r="24" spans="2:2">
      <c r="B24" s="4" t="s">
        <v>775</v>
      </c>
    </row>
    <row r="25" spans="2:2">
      <c r="B25" t="str">
        <f>"drop table " &amp; HELPER!B133</f>
        <v>drop table uc0039.factVCSSLast90</v>
      </c>
    </row>
    <row r="27" spans="2:2">
      <c r="B27" s="4" t="s">
        <v>776</v>
      </c>
    </row>
    <row r="28" spans="2:2">
      <c r="B28" t="str">
        <f>"DESCRIBE FORMATTED " &amp; HELPER!B133</f>
        <v>DESCRIBE FORMATTED uc0039.factVCSSLast90</v>
      </c>
    </row>
    <row r="30" spans="2:2">
      <c r="B30" s="4" t="s">
        <v>777</v>
      </c>
    </row>
    <row r="31" spans="2:2">
      <c r="B31" t="str">
        <f>"SHOW TBLPROPERTIES " &amp; HELPER!B133</f>
        <v>SHOW TBLPROPERTIES uc0039.factVCSSLast90</v>
      </c>
    </row>
    <row r="33" spans="2:2">
      <c r="B33" s="130" t="s">
        <v>778</v>
      </c>
    </row>
    <row r="34" spans="2:2">
      <c r="B34" t="str">
        <f>"SHOW CREATE TABLE " &amp; HELPER!B133</f>
        <v>SHOW CREATE TABLE uc0039.factVCSSLast90</v>
      </c>
    </row>
  </sheetData>
  <pageMargins left="0.7" right="0.7" top="0.75" bottom="0.75" header="0.3" footer="0.3"/>
  <pageSetup paperSize="9" orientation="portrai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tabColor rgb="FFC00000"/>
  </sheetPr>
  <dimension ref="E4:X26"/>
  <sheetViews>
    <sheetView topLeftCell="A7" workbookViewId="0">
      <selection activeCell="E26" sqref="E26"/>
    </sheetView>
  </sheetViews>
  <sheetFormatPr defaultRowHeight="15"/>
  <cols>
    <col min="5" max="5" width="105.42578125" style="283" customWidth="1"/>
    <col min="6" max="6" width="147" style="283" bestFit="1" customWidth="1"/>
    <col min="24" max="24" width="35.28515625" style="283" customWidth="1"/>
  </cols>
  <sheetData>
    <row r="4" spans="5:5">
      <c r="E4" t="str">
        <f>" SELECT distinct " &amp; Options!B44 &amp; " FROM " &amp;  HELPER!B133</f>
        <v xml:space="preserve"> SELECT distinct load_date FROM uc0039.factVCSSLast90</v>
      </c>
    </row>
    <row r="8" spans="5:5">
      <c r="E8" s="130" t="s">
        <v>779</v>
      </c>
    </row>
    <row r="9" spans="5:5">
      <c r="E9" t="str">
        <f>"SELECT * from " &amp;HELPER!B133 &amp; " FOR TIMESTAMP AS OF (current_timestamp - interval '1' hour)"</f>
        <v>SELECT * from uc0039.factVCSSLast90 FOR TIMESTAMP AS OF (current_timestamp - interval '1' hour)</v>
      </c>
    </row>
    <row r="14" spans="5:5">
      <c r="E14" s="130" t="s">
        <v>780</v>
      </c>
    </row>
    <row r="15" spans="5:5">
      <c r="E15" t="str">
        <f>"DELETE FROM " &amp; HELPER!B133 &amp; " WHERE ...."</f>
        <v>DELETE FROM uc0039.factVCSSLast90 WHERE ....</v>
      </c>
    </row>
    <row r="17" spans="5:6">
      <c r="E17" s="4"/>
    </row>
    <row r="20" spans="5:6">
      <c r="E20" t="str">
        <f>"ALTER TABLE " &amp; HELPER!B133 &amp; " ADD COLUMNS (IsCurrent int)"</f>
        <v>ALTER TABLE uc0039.factVCSSLast90 ADD COLUMNS (IsCurrent int)</v>
      </c>
    </row>
    <row r="22" spans="5:6">
      <c r="E22" t="str">
        <f>"OPTIMIZE " &amp; 'SCD4'!B5 &amp; "  REWRITE DATA USING BIN_PACK"</f>
        <v>OPTIMIZE uc0039.factVCSSLast90_history  REWRITE DATA USING BIN_PACK</v>
      </c>
    </row>
    <row r="23" spans="5:6">
      <c r="E23" t="str">
        <f>"OPTIMIZE " &amp; HELPER!B133 &amp; " REWRITE DATA USING BIN_PACK"</f>
        <v>OPTIMIZE uc0039.factVCSSLast90 REWRITE DATA USING BIN_PACK</v>
      </c>
      <c r="F23" t="s">
        <v>781</v>
      </c>
    </row>
    <row r="24" spans="5:6">
      <c r="E24" t="str">
        <f>"VACUUM "&amp;HELPER!B133</f>
        <v>VACUUM uc0039.factVCSSLast90</v>
      </c>
    </row>
    <row r="26" spans="5:6">
      <c r="E26" s="200" t="str">
        <f>"OPTIMIZE " &amp; Options!B4 &amp; "."  &amp; 'SCD4'!B35  &amp; "  REWRITE DATA USING BIN_PACK"</f>
        <v>OPTIMIZE uc0039.factfactVCSSLast90factVCSSLast90history  REWRITE DATA USING BIN_PACK</v>
      </c>
    </row>
  </sheetData>
  <pageMargins left="0.7" right="0.7" top="0.75" bottom="0.75" header="0.3" footer="0.3"/>
  <pageSetup paperSize="9" orientation="portrai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I1:K18"/>
  <sheetViews>
    <sheetView topLeftCell="G1" zoomScaleNormal="100" workbookViewId="0">
      <selection activeCell="J10" sqref="J10"/>
    </sheetView>
  </sheetViews>
  <sheetFormatPr defaultRowHeight="15"/>
  <cols>
    <col min="1" max="8" width="9.140625" style="285" customWidth="1"/>
    <col min="9" max="9" width="19.85546875" style="285" bestFit="1" customWidth="1"/>
    <col min="10" max="10" width="121.7109375" style="285" customWidth="1"/>
    <col min="11" max="11" width="73" style="285" customWidth="1"/>
    <col min="12" max="16" width="9.140625" style="285" customWidth="1"/>
    <col min="17" max="16384" width="9.140625" style="285"/>
  </cols>
  <sheetData>
    <row r="1" spans="9:11">
      <c r="I1" s="18" t="s">
        <v>782</v>
      </c>
      <c r="J1" s="18" t="s">
        <v>589</v>
      </c>
      <c r="K1" s="18" t="s">
        <v>783</v>
      </c>
    </row>
    <row r="2" spans="9:11" ht="74.25" customHeight="1">
      <c r="I2" s="285" t="s">
        <v>784</v>
      </c>
      <c r="J2" s="285" t="str">
        <f ca="1">"SELECT " &amp;HELPER!B89 &amp; ", count(*) FROM " &amp; HELPER!B98 &amp; IF(Options!B31=1," WHERE IsCurrent=1 ","") &amp; " GROUP BY " &amp; HELPER!B89 &amp; " HAVING COUNT(*)&gt;1"</f>
        <v>SELECT , count(*) FROM uc0039.factVCSSLast90 GROUP BY  HAVING COUNT(*)&gt;1</v>
      </c>
      <c r="K2" s="285" t="s">
        <v>785</v>
      </c>
    </row>
    <row r="3" spans="9:11" ht="114.75" customHeight="1">
      <c r="I3" s="285" t="s">
        <v>786</v>
      </c>
      <c r="J3" s="285" t="str">
        <f ca="1">"SELECT  " &amp; HELPER!B7 &amp; ", COUNT(*) FROM " &amp;HELPER!B98  &amp; IF(Options!B31=1," WHERE IsCurrent=1 ","") &amp;  " GROUP BY " &amp; HELPER!B7 &amp; " HAVING COUNT(*)&gt;1"</f>
        <v>SELECT  wkVehicle, COUNT(*) FROM uc0039.factVCSSLast90 GROUP BY wkVehicle HAVING COUNT(*)&gt;1</v>
      </c>
      <c r="K3" s="285" t="s">
        <v>785</v>
      </c>
    </row>
    <row r="5" spans="9:11" ht="30" customHeight="1">
      <c r="I5" s="285" t="s">
        <v>787</v>
      </c>
      <c r="J5" s="285" t="str">
        <f ca="1">"SELECT  " &amp; HELPER!B7 &amp; ", COUNT(*) FROM " &amp;HELPER!B129  &amp;  " GROUP BY " &amp; HELPER!B7 &amp; " HAVING COUNT(*)&gt;1"</f>
        <v>SELECT  wkVehicle, COUNT(*) FROM uc0039.source_factVCSSLast90_[:date_yyyymmdd]_v  GROUP BY wkVehicle HAVING COUNT(*)&gt;1</v>
      </c>
      <c r="K5" s="285" t="s">
        <v>785</v>
      </c>
    </row>
    <row r="6" spans="9:11">
      <c r="I6" s="285" t="s">
        <v>788</v>
      </c>
      <c r="J6" s="285" t="str">
        <f>IF(Options!B31=1,"SELECT  COUNT(*) FROM "&amp;HELPER!B98&amp;IF(Options!B31=1," WHERE "&amp;HELPER!B89&amp;" is null"," WHERE "),"")</f>
        <v/>
      </c>
    </row>
    <row r="10" spans="9:11" ht="81" customHeight="1">
      <c r="I10" s="285" t="s">
        <v>789</v>
      </c>
      <c r="J10" s="285" t="str">
        <f ca="1">IF(Options!B31=1,"", "SELECT  " &amp; HELPER!B7 &amp; ", COUNT(*) FROM " &amp;HELPER!B98  &amp; " WHERE  " &amp; HELPER!B155  &amp;  " GROUP BY " &amp; HELPER!B7 &amp; " HAVING COUNT(*)&gt;1")</f>
        <v>SELECT  wkVehicle, COUNT(*) FROM uc0039.factVCSSLast90 WHERE   GROUP BY wkVehicle HAVING COUNT(*)&gt;1</v>
      </c>
      <c r="K10" s="285" t="s">
        <v>785</v>
      </c>
    </row>
    <row r="15" spans="9:11">
      <c r="K15" s="19"/>
    </row>
    <row r="18" spans="11:11">
      <c r="K18" s="19"/>
    </row>
  </sheetData>
  <pageMargins left="0.7" right="0.7" top="0.75" bottom="0.75" header="0.3" footer="0.3"/>
  <pageSetup paperSize="9" orientation="portrai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2:F24"/>
  <sheetViews>
    <sheetView topLeftCell="A16" zoomScale="85" zoomScaleNormal="85" workbookViewId="0">
      <selection activeCell="B24" sqref="B24"/>
    </sheetView>
  </sheetViews>
  <sheetFormatPr defaultRowHeight="15"/>
  <cols>
    <col min="1" max="1" width="67.5703125" style="220" customWidth="1"/>
    <col min="2" max="2" width="54.85546875" style="283" customWidth="1"/>
    <col min="3" max="3" width="38.85546875" style="283" customWidth="1"/>
  </cols>
  <sheetData>
    <row r="2" spans="1:6" ht="51.75" customHeight="1">
      <c r="A2" s="220" t="s">
        <v>790</v>
      </c>
      <c r="B2" s="285" t="str">
        <f>"&lt;th class=''&gt;" &amp; _xlfn.TEXTJOIN("&lt;/th&gt;&lt;th class=''&gt;",TRUE,COLHELPER!A1:K1) &amp; "&lt;/th&gt;"</f>
        <v>&lt;th class=''&gt;Target Column Name&lt;/th&gt;&lt;th class=''&gt;Source Column Name&lt;/th&gt;&lt;th class=''&gt;Target Data Type&lt;/th&gt;&lt;th class=''&gt;Source Data Type&lt;/th&gt;&lt;th class=''&gt;SCD-TYPE&lt;/th&gt;&lt;th class=''&gt;Partition by&lt;/th&gt;&lt;th class=''&gt;Calculation&lt;/th&gt;&lt;th class=''&gt;BUSINESS KEY&lt;/th&gt;&lt;th class=''&gt;WKKEy&lt;/th&gt;&lt;th class=''&gt;Lookup Dimension&lt;/th&gt;&lt;th class=''&gt;JOIN TYPE (LEFT or INNER)&lt;/th&gt;</v>
      </c>
    </row>
    <row r="3" spans="1:6" ht="252.75" customHeight="1">
      <c r="A3" s="220" t="s">
        <v>791</v>
      </c>
      <c r="B3" s="285" t="str">
        <f ca="1">_xlfn.TEXTJOIN("",TRUE,COLHELPER!CB2:CB150)</f>
        <v>&lt;tr&gt;&lt;td&gt;wkVehicle&lt;td&gt;wkVehicle&lt;td&gt;bigint&lt;td&gt;bigint&lt;td&gt;&lt;td&gt;&lt;td&gt;&lt;td&gt;1&lt;td&gt;&lt;td&gt;&lt;td&gt;&lt;/td&gt;&lt;/tr&gt;&lt;tr&gt;&lt;td&gt;has_communicated_last_90_days&lt;td&gt;1 AS has_communicated_last_90_days&lt;td&gt;bigint&lt;td&gt;bigint&lt;td&gt;&lt;td&gt;&lt;td&gt;1&lt;td&gt;&lt;td&gt;&lt;td&gt;&lt;td&gt;&lt;/td&gt;&lt;/tr&gt;&lt;tr&gt;&lt;td&gt;lake_arrival_date&lt;td&gt;lake_arrival_date&lt;td&gt;string&lt;td&gt;string&lt;td&gt;&lt;td&gt;1&lt;td&gt;&lt;td&gt;&lt;td&gt;&lt;td&gt;&lt;td&gt;&lt;/td&gt;&lt;/tr&gt;</v>
      </c>
    </row>
    <row r="4" spans="1:6">
      <c r="A4" s="220" t="s">
        <v>792</v>
      </c>
      <c r="B4" t="str">
        <f ca="1">"&lt;table&gt;" &amp; B2 &amp; B3 &amp; "&lt;/table&gt;"</f>
        <v>&lt;table&gt;&lt;th class=''&gt;Target Column Name&lt;/th&gt;&lt;th class=''&gt;Source Column Name&lt;/th&gt;&lt;th class=''&gt;Target Data Type&lt;/th&gt;&lt;th class=''&gt;Source Data Type&lt;/th&gt;&lt;th class=''&gt;SCD-TYPE&lt;/th&gt;&lt;th class=''&gt;Partition by&lt;/th&gt;&lt;th class=''&gt;Calculation&lt;/th&gt;&lt;th class=''&gt;BUSINESS KEY&lt;/th&gt;&lt;th class=''&gt;WKKEy&lt;/th&gt;&lt;th class=''&gt;Lookup Dimension&lt;/th&gt;&lt;th class=''&gt;JOIN TYPE (LEFT or INNER)&lt;/th&gt;&lt;tr&gt;&lt;td&gt;wkVehicle&lt;td&gt;wkVehicle&lt;td&gt;bigint&lt;td&gt;bigint&lt;td&gt;&lt;td&gt;&lt;td&gt;&lt;td&gt;1&lt;td&gt;&lt;td&gt;&lt;td&gt;&lt;/td&gt;&lt;/tr&gt;&lt;tr&gt;&lt;td&gt;has_communicated_last_90_days&lt;td&gt;1 AS has_communicated_last_90_days&lt;td&gt;bigint&lt;td&gt;bigint&lt;td&gt;&lt;td&gt;&lt;td&gt;1&lt;td&gt;&lt;td&gt;&lt;td&gt;&lt;td&gt;&lt;/td&gt;&lt;/tr&gt;&lt;tr&gt;&lt;td&gt;lake_arrival_date&lt;td&gt;lake_arrival_date&lt;td&gt;string&lt;td&gt;string&lt;td&gt;&lt;td&gt;1&lt;td&gt;&lt;td&gt;&lt;td&gt;&lt;td&gt;&lt;td&gt;&lt;/td&gt;&lt;/tr&gt;&lt;/table&gt;</v>
      </c>
    </row>
    <row r="6" spans="1:6">
      <c r="A6" s="15" t="s">
        <v>793</v>
      </c>
      <c r="B6" s="190" t="s">
        <v>794</v>
      </c>
      <c r="C6" s="190" t="s">
        <v>795</v>
      </c>
    </row>
    <row r="7" spans="1:6">
      <c r="A7" s="212" t="s">
        <v>796</v>
      </c>
      <c r="B7" s="278" t="s">
        <v>797</v>
      </c>
      <c r="C7" s="213" t="str">
        <f t="array" aca="1" ref="C7" ca="1">IF(A7="","", INDIRECT("COLUMNS!"&amp; B7 &amp; "1"))</f>
        <v>Target Column Name</v>
      </c>
    </row>
    <row r="8" spans="1:6">
      <c r="A8" s="212" t="s">
        <v>798</v>
      </c>
      <c r="B8" s="278" t="s">
        <v>799</v>
      </c>
      <c r="C8" s="213" t="str">
        <f t="array" aca="1" ref="C8" ca="1">IF(A8="","", INDIRECT("COLUMNS!"&amp; B8 &amp; "1"))</f>
        <v>Target Data Type</v>
      </c>
    </row>
    <row r="9" spans="1:6">
      <c r="A9" s="212" t="s">
        <v>800</v>
      </c>
      <c r="B9" s="278" t="s">
        <v>801</v>
      </c>
      <c r="C9" s="213" t="str">
        <f t="array" aca="1" ref="C9" ca="1">IF(A9="","", INDIRECT("COLUMNS!"&amp; B9 &amp; "1"))</f>
        <v>Is Business Key?</v>
      </c>
    </row>
    <row r="10" spans="1:6">
      <c r="A10" s="212" t="s">
        <v>802</v>
      </c>
      <c r="B10" s="278" t="s">
        <v>803</v>
      </c>
      <c r="C10" s="213" t="str">
        <f t="array" aca="1" ref="C10" ca="1">IF(A10="","", INDIRECT("COLUMNS!"&amp; B10 &amp; "1"))</f>
        <v>SCD-Type No</v>
      </c>
      <c r="F10" t="str">
        <f t="array" ref="F10">_xlfn.TEXTJOIN("; ", TRUE, IF(ISNUMBER(MATCH(COLUMN(A1:D1), MATCH($G$1:$G$2, $A$1:$D$1, 0), 0)), INDEX($A$2:$D$5, , COLUMN(A1:D1)), ""))</f>
        <v/>
      </c>
    </row>
    <row r="11" spans="1:6">
      <c r="A11" s="212" t="s">
        <v>153</v>
      </c>
      <c r="B11" s="278" t="s">
        <v>804</v>
      </c>
      <c r="C11" s="213" t="str">
        <f t="array" aca="1" ref="C11" ca="1">IF(A11="","", INDIRECT("COLUMNS!"&amp; B11 &amp; "1"))</f>
        <v>Comment</v>
      </c>
      <c r="F11" t="str">
        <f t="array" ref="F11">_xlfn.TEXTJOIN("; ", TRUE, IF(ISNUMBER(MATCH(COLUMN(A1:D1), MATCH($G$1:$G$2, $A$1:$D$1, 0), 0)), INDEX($A$2:$D$5, , COLUMN(A1:D1)), ""))</f>
        <v/>
      </c>
    </row>
    <row r="12" spans="1:6">
      <c r="A12" s="212"/>
      <c r="B12" s="278"/>
      <c r="C12" s="213" t="str">
        <f t="array" aca="1" ref="C12" ca="1">IF(A12="","", INDIRECT("COLUMNS!"&amp; B12 &amp; "1"))</f>
        <v/>
      </c>
    </row>
    <row r="13" spans="1:6">
      <c r="A13" s="212"/>
      <c r="B13" s="278"/>
      <c r="C13" s="213" t="str">
        <f t="array" aca="1" ref="C13" ca="1">IF(A13="","", INDIRECT("COLUMNS!"&amp; B13 &amp; "1"))</f>
        <v/>
      </c>
    </row>
    <row r="14" spans="1:6">
      <c r="A14" s="212"/>
      <c r="B14" s="278"/>
      <c r="C14" s="213" t="str">
        <f t="array" aca="1" ref="C14" ca="1">IF(A14="","", INDIRECT("COLUMNS!"&amp; B14 &amp; "1"))</f>
        <v/>
      </c>
    </row>
    <row r="15" spans="1:6">
      <c r="A15" s="212"/>
      <c r="B15" s="278"/>
      <c r="C15" s="213" t="str">
        <f t="array" aca="1" ref="C15" ca="1">IF(A15="","", INDIRECT("COLUMNS!"&amp; B15 &amp; "1"))</f>
        <v/>
      </c>
    </row>
    <row r="16" spans="1:6">
      <c r="A16" s="212"/>
      <c r="B16" s="278"/>
      <c r="C16" s="213" t="str">
        <f t="array" aca="1" ref="C16" ca="1">IF(A16="","", INDIRECT("COLUMNS!"&amp; B16 &amp; "1"))</f>
        <v/>
      </c>
    </row>
    <row r="17" spans="1:3">
      <c r="A17" s="212"/>
      <c r="B17" s="278"/>
      <c r="C17" s="213" t="str">
        <f t="array" aca="1" ref="C17" ca="1">IF(A17="","", INDIRECT("COLUMNS!"&amp; B17 &amp; "1"))</f>
        <v/>
      </c>
    </row>
    <row r="18" spans="1:3">
      <c r="A18" s="212"/>
      <c r="B18" s="278"/>
      <c r="C18" s="213" t="str">
        <f t="array" aca="1" ref="C18" ca="1">IF(A18="","", INDIRECT("COLUMNS!"&amp; B18 &amp; "1"))</f>
        <v/>
      </c>
    </row>
    <row r="19" spans="1:3">
      <c r="A19" s="212"/>
      <c r="B19" s="278"/>
      <c r="C19" s="213" t="str">
        <f t="array" aca="1" ref="C19" ca="1">IF(A19="","", INDIRECT("COLUMNS!"&amp; B19 &amp; "1"))</f>
        <v/>
      </c>
    </row>
    <row r="20" spans="1:3">
      <c r="A20" s="220" t="s">
        <v>805</v>
      </c>
      <c r="B20" s="220" t="str">
        <f>"&lt;th&gt;" &amp; _xlfn.TEXTJOIN("&lt;/th&gt;",TRUE,A7:A19) &amp; "&lt;/th&gt;"</f>
        <v>&lt;th&gt;Column Name&lt;/th&gt;Data Type&lt;/th&gt;Business Key&lt;/th&gt;SCD-2&lt;/th&gt;Comment&lt;/th&gt;</v>
      </c>
    </row>
    <row r="21" spans="1:3">
      <c r="B21" t="str">
        <f t="array" aca="1" ref="B21" ca="1">INDIRECT("COLUMNS!A2")</f>
        <v>wkVehicle</v>
      </c>
    </row>
    <row r="24" spans="1:3">
      <c r="A24" s="220" t="s">
        <v>806</v>
      </c>
      <c r="B24" t="str">
        <f ca="1">"&lt;td&gt;" &amp; _xlfn.TEXTJOIN("&lt;/td&gt;",TRUE,DIMENSIONS!A2:I2) &amp; "&lt;/td&gt;"</f>
        <v>&lt;td&gt;&lt;/td&gt;</v>
      </c>
    </row>
  </sheetData>
  <pageMargins left="0.7" right="0.7" top="0.75" bottom="0.75" header="0.3" footer="0.3"/>
  <pageSetup paperSize="9" orientation="portrai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tabColor rgb="FF002060"/>
  </sheetPr>
  <dimension ref="A2:B2"/>
  <sheetViews>
    <sheetView workbookViewId="0">
      <selection activeCell="B2" sqref="B2"/>
    </sheetView>
  </sheetViews>
  <sheetFormatPr defaultRowHeight="15"/>
  <cols>
    <col min="1" max="1" width="49.42578125" style="283" customWidth="1"/>
    <col min="2" max="2" width="136" style="283" customWidth="1"/>
  </cols>
  <sheetData>
    <row r="2" spans="1:2">
      <c r="A2" t="s">
        <v>304</v>
      </c>
      <c r="B2" t="str">
        <f>HELPER_CREATE_VIEW</f>
        <v>CREATE OR REPLACE VIEW uc0039.factVCSSLast90 AS WITH _vcss_clean as ( select  wkVehicle, CAST(REPLACE(molastsms,'T',' ') as timestamp) as molastsms ,CAST(REPLACE(molastudp,'T',' ') as timestamp) as molastudp ,lakearrivaldate from uc0039.factVCSS ),  _max_vcss_90 AS (    SELECT  DISTINCT                 wkVehicle                 , CAST(max(molastsms) as date) latest_sms                 , CAST(max(molastudp) as date)  latest_udp                  ,'[:date_yyyy_mm_dd]' lake_arrival_date             FROM                  _vcss_clean  t1              where                  lakearrivaldate &lt;= '[:date_yyyy_mm_dd]'              GROUP BY t1.wkVehicle ), _has_communicated_last_90 AS ( SELECT             wkVehicle, 1 as has_communicated_last_90_days, latest_sms  ,   latest_udp,   lake_arrival_date             FROM                  _max_vcss_90              WHERE                  ((latest_sms &gt; (cast('[:date_yyyy_mm_dd]' as date)  - INTERVAL  '90' DAY))                  OR (latest_udp &gt; (cast('[:date_yyyy_mm_dd]' as date) - INTERVAL  '90' DAY))) ), _no_communication_last_90 AS ( select wkVehicle, 0 as has_communicated_last_90_days, null as latest_sms, null as latest_udp,  '[:date_yyyy_mm_dd]' as lake_arrival_date  from uc0039.dimVehicle  WHERE wkVehicle NOT in (select wkVehicle from _has_communicated_last_90) ) SELECT  wkVehicle, has_communicated_last_90_days,cast( latest_udp as date) as latest_udp,cast(latest_sms as date) as latest_sms, cast(lake_arrival_date as varchar)  as lake_arrival_date FROM _has_communicated_last_90   UNION ALL  SELECT wkVehicle, has_communicated_last_90_days,  CAST(latest_udp as date), cast(latest_sms as date),  cast(lake_arrival_date as varchar)  as lake_arrival_date  FROM _no_communication_last_90</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3:B3"/>
  <sheetViews>
    <sheetView workbookViewId="0">
      <selection activeCell="B3" sqref="B3"/>
    </sheetView>
  </sheetViews>
  <sheetFormatPr defaultRowHeight="15"/>
  <cols>
    <col min="1" max="1" width="15.42578125" style="283" bestFit="1" customWidth="1"/>
    <col min="2" max="2" width="255.7109375" style="283" bestFit="1" customWidth="1"/>
  </cols>
  <sheetData>
    <row r="3" spans="1:2">
      <c r="A3" t="s">
        <v>825</v>
      </c>
      <c r="B3" t="str">
        <f ca="1">IF(Options!B79=0,"",UNLOAD!B11)</f>
        <v>CREATE EXTERNAL TABLE IF NOT EXISTS  uc0039.factVCSSLast90(wkVehicle bigint, has_communicated_last_90_days bigint) PARTITIONED BY (lake_arrival_date string) ROW FORMAT SERDE 'org.apache.hadoop.hive.ql.io.parquet.serde.ParquetHiveSerDe' STORED AS INPUTFORMAT 'org.apache.hadoop.hive.ql.io.parquet.MapredParquetInputFormat' OUTPUTFORMAT 'org.apache.hadoop.hive.ql.io.parquet.MapredParquetOutputFormat' LOCATION 's3://uc0039-vgcs-odl-prod/db/factVCSSLast90/'</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tabColor rgb="FFC00000"/>
  </sheetPr>
  <dimension ref="A1:E45"/>
  <sheetViews>
    <sheetView zoomScale="84" zoomScaleNormal="160" workbookViewId="0">
      <selection activeCell="B6" sqref="B6"/>
    </sheetView>
  </sheetViews>
  <sheetFormatPr defaultRowHeight="15"/>
  <cols>
    <col min="1" max="1" width="41.28515625" style="283" customWidth="1"/>
    <col min="2" max="2" width="194.7109375" style="283" customWidth="1"/>
    <col min="3" max="3" width="145.140625" style="283" customWidth="1"/>
    <col min="4" max="4" width="78" style="283" bestFit="1" customWidth="1"/>
    <col min="5" max="5" width="83.7109375" style="283" customWidth="1"/>
  </cols>
  <sheetData>
    <row r="1" spans="1:5">
      <c r="A1" t="s">
        <v>826</v>
      </c>
      <c r="B1" t="str">
        <f ca="1">SUBSTITUTE(_xlfn.TEXTJOIN(" AND ",TRUE,COLHELPER!BR2:BR150),"$eq"," = ")</f>
        <v>lake_arrival_date='[:date_yyyy_mm_dd]'</v>
      </c>
      <c r="C1">
        <f ca="1">COLHELPER_NUMBER_OF_PARTITION_COLUMNS</f>
        <v>1</v>
      </c>
    </row>
    <row r="2" spans="1:5">
      <c r="A2" t="s">
        <v>827</v>
      </c>
      <c r="B2" t="str">
        <f ca="1">_xlfn.TEXTJOIN(" AND ",TRUE,COLHELPER!BT2:BT150)</f>
        <v>lake_arrival_date='2023-11-01'</v>
      </c>
    </row>
    <row r="3" spans="1:5">
      <c r="A3" t="s">
        <v>828</v>
      </c>
      <c r="B3" t="str">
        <f ca="1">_xlfn.TEXTJOIN(" AND ",TRUE,COLHELPER!BU2:BU150)</f>
        <v>lake_arrival_date=2023-11-01</v>
      </c>
    </row>
    <row r="4" spans="1:5">
      <c r="A4" t="s">
        <v>829</v>
      </c>
      <c r="B4" t="str">
        <f>Options!B28</f>
        <v>uc0039-vgcs-odl-prod</v>
      </c>
    </row>
    <row r="5" spans="1:5">
      <c r="A5" t="s">
        <v>830</v>
      </c>
      <c r="B5" t="str">
        <f>HELPER!B34 &amp; "/"</f>
        <v>s3://uc0039-vgcs-odl-prod/db/factVCSSLast90/</v>
      </c>
    </row>
    <row r="6" spans="1:5">
      <c r="A6" t="s">
        <v>831</v>
      </c>
      <c r="B6" t="str">
        <f ca="1">_xlfn.TEXTJOIN("/",TRUE,COLHELPER!BS2:BS150)</f>
        <v>lake_arrival_date=[:date_yyyy_mm_dd]</v>
      </c>
    </row>
    <row r="7" spans="1:5">
      <c r="A7" t="s">
        <v>832</v>
      </c>
      <c r="B7" t="str">
        <f ca="1">SUBSTITUTE(HELPER!B136,"$eq"," = ")</f>
        <v>db/factVCSSLast90/lake_arrival_date=[:date_yyyy_mm_dd]</v>
      </c>
    </row>
    <row r="8" spans="1:5">
      <c r="A8" t="s">
        <v>833</v>
      </c>
      <c r="C8" t="s">
        <v>834</v>
      </c>
      <c r="D8" s="123" t="s">
        <v>835</v>
      </c>
      <c r="E8" t="s">
        <v>836</v>
      </c>
    </row>
    <row r="9" spans="1:5" ht="409.5" customHeight="1">
      <c r="A9" s="285" t="s">
        <v>837</v>
      </c>
      <c r="B9" s="285" t="str">
        <f ca="1">"UNLOAD(SELECT "&amp;HELPER!B15&amp;" FROM "&amp;HELPER!B129&amp;IF(B1="","","  WHERE "&amp;B1)&amp;") TO  '"&amp;B5&amp;B6&amp;"' WITH (format='parquet'"&amp;")"</f>
        <v>UNLOAD(SELECT wkVehicle, has_communicated_last_90_days, lake_arrival_date FROM uc0039.source_factVCSSLast90_[:date_yyyymmdd]_v   WHERE lake_arrival_date='[:date_yyyy_mm_dd]') TO  's3://uc0039-vgcs-odl-prod/db/factVCSSLast90/lake_arrival_date=[:date_yyyy_mm_dd]' WITH (format='parquet')</v>
      </c>
      <c r="C9" s="10" t="str">
        <f ca="1">"UNLOAD(SELECT "&amp;HELPER!B15&amp;" FROM "&amp;HELPER!C129&amp;IF(B1="","","  WHERE "&amp;B2)&amp;") TO  '"&amp;B5&amp;B3&amp;"' WITH (format='parquet'"&amp;")"</f>
        <v>UNLOAD(SELECT wkVehicle, has_communicated_last_90_days, lake_arrival_date FROM uc0039.source_factVCSSLast90_20231101_v   WHERE lake_arrival_date='2023-11-01') TO  's3://uc0039-vgcs-odl-prod/db/factVCSSLast90/lake_arrival_date=2023-11-01' WITH (format='parquet')</v>
      </c>
    </row>
    <row r="10" spans="1:5">
      <c r="A10" t="s">
        <v>838</v>
      </c>
      <c r="B10" t="str">
        <f>"DROP TABLE IF EXISTS " &amp; HELPER!B133</f>
        <v>DROP TABLE IF EXISTS uc0039.factVCSSLast90</v>
      </c>
    </row>
    <row r="11" spans="1:5" ht="407.25" customHeight="1" thickBot="1">
      <c r="A11" s="220" t="s">
        <v>839</v>
      </c>
      <c r="B11" s="285" t="str">
        <f ca="1">"CREATE EXTERNAL TABLE IF NOT EXISTS  " &amp; HELPER!B133 &amp; "(" &amp; HELPER!B59 &amp; ") " &amp; HELPER!B27 &amp; " " &amp; B25</f>
        <v>CREATE EXTERNAL TABLE IF NOT EXISTS  uc0039.factVCSSLast90(wkVehicle bigint, has_communicated_last_90_days bigint) PARTITIONED BY (lake_arrival_date string) ROW FORMAT SERDE 'org.apache.hadoop.hive.ql.io.parquet.serde.ParquetHiveSerDe' STORED AS INPUTFORMAT 'org.apache.hadoop.hive.ql.io.parquet.MapredParquetInputFormat' OUTPUTFORMAT 'org.apache.hadoop.hive.ql.io.parquet.MapredParquetOutputFormat' LOCATION 's3://uc0039-vgcs-odl-prod/db/factVCSSLast90/'</v>
      </c>
      <c r="C11" s="285" t="str">
        <f ca="1">IF(B1="","", "ALTER TABLE " &amp; HELPER!B133 &amp; " ADD IF NOT EXISTS PARTITION  (" &amp; B1 &amp; ")")</f>
        <v>ALTER TABLE uc0039.factVCSSLast90 ADD IF NOT EXISTS PARTITION  (lake_arrival_date='[:date_yyyy_mm_dd]')</v>
      </c>
      <c r="D11" s="285" t="str">
        <f ca="1">IF(B1="","","ALTER TABLE " &amp; HELPER!B133 &amp; " ADD IF NOT EXISTS PARTITION  (" &amp; B2 &amp; ")")</f>
        <v>ALTER TABLE uc0039.factVCSSLast90 ADD IF NOT EXISTS PARTITION  (lake_arrival_date='2023-11-01')</v>
      </c>
      <c r="E11" s="285" t="str">
        <f ca="1">"CREATE EXTERNAL TABLE IF NOT EXISTS  " &amp; HELPER!B192 &amp; "(" &amp; HELPER!B59 &amp; ") " &amp; HELPER!B27 &amp; " " &amp; B25</f>
        <v>CREATE EXTERNAL TABLE IF NOT EXISTS  raw_tracking.raw_tracking(wkVehicle bigint, has_communicated_last_90_days bigint) PARTITIONED BY (lake_arrival_date string) ROW FORMAT SERDE 'org.apache.hadoop.hive.ql.io.parquet.serde.ParquetHiveSerDe' STORED AS INPUTFORMAT 'org.apache.hadoop.hive.ql.io.parquet.MapredParquetInputFormat' OUTPUTFORMAT 'org.apache.hadoop.hive.ql.io.parquet.MapredParquetOutputFormat' LOCATION 's3://uc0039-vgcs-odl-prod/db/factVCSSLast90/'</v>
      </c>
    </row>
    <row r="12" spans="1:5">
      <c r="A12" s="57" t="s">
        <v>840</v>
      </c>
      <c r="B12" s="120" t="s">
        <v>492</v>
      </c>
      <c r="C12" s="62" t="str">
        <f t="shared" ref="C12:C18" si="0">IF(B12="","","'" &amp; B12 &amp; "'")</f>
        <v>'org.apache.hadoop.hive.ql.io.parquet.serde.ParquetHiveSerDe'</v>
      </c>
      <c r="D12" s="58" t="str">
        <f t="shared" ref="D12:D18" si="1">IF(A12="","",A12 &amp; " " &amp; C12)</f>
        <v>ROW FORMAT SERDE 'org.apache.hadoop.hive.ql.io.parquet.serde.ParquetHiveSerDe'</v>
      </c>
    </row>
    <row r="13" spans="1:5">
      <c r="A13" s="74"/>
      <c r="C13" t="str">
        <f t="shared" si="0"/>
        <v/>
      </c>
      <c r="D13" s="65" t="str">
        <f t="shared" si="1"/>
        <v/>
      </c>
    </row>
    <row r="14" spans="1:5">
      <c r="A14" s="74" t="s">
        <v>841</v>
      </c>
      <c r="B14" s="121" t="s">
        <v>494</v>
      </c>
      <c r="C14" t="str">
        <f t="shared" si="0"/>
        <v>'org.apache.hadoop.hive.ql.io.parquet.MapredParquetInputFormat'</v>
      </c>
      <c r="D14" s="65" t="str">
        <f t="shared" si="1"/>
        <v>STORED AS INPUTFORMAT 'org.apache.hadoop.hive.ql.io.parquet.MapredParquetInputFormat'</v>
      </c>
    </row>
    <row r="15" spans="1:5">
      <c r="A15" s="74"/>
      <c r="C15" t="str">
        <f t="shared" si="0"/>
        <v/>
      </c>
      <c r="D15" s="65" t="str">
        <f t="shared" si="1"/>
        <v/>
      </c>
    </row>
    <row r="16" spans="1:5">
      <c r="A16" s="122" t="s">
        <v>842</v>
      </c>
      <c r="B16" s="121" t="s">
        <v>496</v>
      </c>
      <c r="C16" t="str">
        <f t="shared" si="0"/>
        <v>'org.apache.hadoop.hive.ql.io.parquet.MapredParquetOutputFormat'</v>
      </c>
      <c r="D16" s="65" t="str">
        <f t="shared" si="1"/>
        <v>OUTPUTFORMAT 'org.apache.hadoop.hive.ql.io.parquet.MapredParquetOutputFormat'</v>
      </c>
    </row>
    <row r="17" spans="1:5">
      <c r="A17" s="74"/>
      <c r="C17" t="str">
        <f t="shared" si="0"/>
        <v/>
      </c>
      <c r="D17" s="65" t="str">
        <f t="shared" si="1"/>
        <v/>
      </c>
    </row>
    <row r="18" spans="1:5">
      <c r="A18" s="74" t="s">
        <v>487</v>
      </c>
      <c r="B18" t="str">
        <f>HELPER!B34 &amp; "/"</f>
        <v>s3://uc0039-vgcs-odl-prod/db/factVCSSLast90/</v>
      </c>
      <c r="C18" t="str">
        <f t="shared" si="0"/>
        <v>'s3://uc0039-vgcs-odl-prod/db/factVCSSLast90/'</v>
      </c>
      <c r="D18" s="65" t="str">
        <f t="shared" si="1"/>
        <v>LOCATION 's3://uc0039-vgcs-odl-prod/db/factVCSSLast90/'</v>
      </c>
    </row>
    <row r="19" spans="1:5">
      <c r="A19" s="74"/>
      <c r="D19" s="65"/>
    </row>
    <row r="20" spans="1:5">
      <c r="A20" s="74"/>
      <c r="D20" s="65"/>
      <c r="E20">
        <f>D20</f>
        <v>0</v>
      </c>
    </row>
    <row r="21" spans="1:5">
      <c r="A21" s="74"/>
      <c r="D21" s="65"/>
      <c r="E21">
        <f>D21</f>
        <v>0</v>
      </c>
    </row>
    <row r="22" spans="1:5" ht="15.75" customHeight="1" thickBot="1">
      <c r="A22" s="75"/>
      <c r="B22" s="63"/>
      <c r="C22" s="63"/>
      <c r="D22" s="60"/>
      <c r="E22">
        <f>D22</f>
        <v>0</v>
      </c>
    </row>
    <row r="25" spans="1:5" ht="107.25" customHeight="1">
      <c r="A25" t="s">
        <v>843</v>
      </c>
      <c r="B25" s="285" t="str">
        <f>_xlfn.TEXTJOIN(" ",TRUE,D12:D22)</f>
        <v>ROW FORMAT SERDE 'org.apache.hadoop.hive.ql.io.parquet.serde.ParquetHiveSerDe' STORED AS INPUTFORMAT 'org.apache.hadoop.hive.ql.io.parquet.MapredParquetInputFormat' OUTPUTFORMAT 'org.apache.hadoop.hive.ql.io.parquet.MapredParquetOutputFormat' LOCATION 's3://uc0039-vgcs-odl-prod/db/factVCSSLast90/'</v>
      </c>
    </row>
    <row r="29" spans="1:5" ht="201" customHeight="1">
      <c r="A29" s="285" t="s">
        <v>844</v>
      </c>
      <c r="B29" s="285" t="str">
        <f ca="1">"UNLOAD(SELECT "&amp;HELPER!B172&amp;" FROM ("&amp;'Custom Source View'!A2 &amp; ")" &amp;    IF(B1="","","  WHERE "&amp;B1)&amp;") TO  '"&amp;B5&amp;B6&amp;"' WITH (format='parquet'"&amp;")"</f>
        <v>UNLOAD(SELECT wkVehicle AS wkVehicle, 1 AS has_communicated_last_90_days AS has_communicated_last_90_days, lake_arrival_date AS lake_arrival_date FROM (WITH _vcss_clean as (
select 
wkVehicle,
CAST(REPLACE(molastsms,'T',' ') as timestamp) as molastsms
,CAST(REPLACE(molastudp,'T',' ') as timestamp) as molastudp
,lakearrivaldate
from uc0039.factVCSS
),
_max_vcss_90 AS (   
SELECT  DISTINCT
                wkVehicle
                , CAST(max(molastsms) as date) latest_sms
                , CAST(max(molastudp) as date)  latest_udp 
                ,'[:date_yyyy_mm_dd]' lake_arrival_date
            FROM 
                _vcss_clean  t1 
            where 
                lakearrivaldate &lt;= '[:date_yyyy_mm_dd]' 
            GROUP BY t1.wkVehicle
),
_has_communicated_last_90 AS (
SELECT 
           wkVehicle, 1 as has_communicated_last_90_days, latest_sms  ,   latest_udp,   lake_arrival_date
            FROM 
                _max_vcss_90 
            WHERE 
                ((latest_sms &gt; (cast('[:date_yyyy_mm_dd]' as date)  - INTERVAL  '90' DAY)) 
                OR (latest_udp &gt; (cast('[:date_yyyy_mm_dd]' as date) - INTERVAL  '90' DAY)))
),
_no_communication_last_90 AS (
select wkVehicle, 0 as has_communicated_last_90_days, null as latest_sms, null as latest_udp, 
'[:date_yyyy_mm_dd]' as lake_arrival_date
 from uc0039.dimVehicle 
WHERE wkVehicle NOT in (select wkVehicle from _has_communicated_last_90)
)
SELECT 
wkVehicle, has_communicated_last_90_days,cast( latest_udp as date) as latest_udp,cast(latest_sms as date) as latest_sms,
cast(lake_arrival_date as varchar)  as lake_arrival_date
FROM _has_communicated_last_90 
UNION ALL 
SELECT wkVehicle, has_communicated_last_90_days, 
CAST(latest_udp as date),
cast(latest_sms as date), 
cast(lake_arrival_date as varchar)  as lake_arrival_date
FROM _no_communication_last_90)  WHERE lake_arrival_date='[:date_yyyy_mm_dd]') TO  's3://uc0039-vgcs-odl-prod/db/factVCSSLast90/lake_arrival_date=[:date_yyyy_mm_dd]' WITH (format='parquet')</v>
      </c>
    </row>
    <row r="31" spans="1:5">
      <c r="A31" t="s">
        <v>845</v>
      </c>
      <c r="B31" t="str">
        <f ca="1">_xlfn.TEXTJOIN(" AND ",TRUE,COLHELPER!BR2:BR150)</f>
        <v>lake_arrival_date='[:date_yyyy_mm_dd]'</v>
      </c>
    </row>
    <row r="32" spans="1:5">
      <c r="A32" t="s">
        <v>846</v>
      </c>
      <c r="B32" t="str">
        <f ca="1">_xlfn.TEXTJOIN(" AND ",TRUE,COLHELPER!BT2:BT150)</f>
        <v>lake_arrival_date='2023-11-01'</v>
      </c>
    </row>
    <row r="33" spans="1:2">
      <c r="A33" t="s">
        <v>817</v>
      </c>
      <c r="B33" t="str">
        <f ca="1">"SELECT COUNT(*) FROM " &amp; HELPER!B133 &amp;   IF(COLHELPER_NUMBER_OF_PARTITION_COLUMNS&gt;0, " WHERE " &amp; B31,"")</f>
        <v>SELECT COUNT(*) FROM uc0039.factVCSSLast90 WHERE lake_arrival_date='[:date_yyyy_mm_dd]'</v>
      </c>
    </row>
    <row r="34" spans="1:2">
      <c r="A34" t="s">
        <v>847</v>
      </c>
      <c r="B34" t="str">
        <f ca="1">"SELECT COUNT(*) FROM " &amp; HELPER!B133 &amp; IF(B32="","", " WHERE " &amp; B32)</f>
        <v>SELECT COUNT(*) FROM uc0039.factVCSSLast90 WHERE lake_arrival_date='2023-11-01'</v>
      </c>
    </row>
    <row r="43" spans="1:2">
      <c r="A43" t="s">
        <v>569</v>
      </c>
    </row>
    <row r="44" spans="1:2">
      <c r="A44" t="s">
        <v>487</v>
      </c>
    </row>
    <row r="45" spans="1:2">
      <c r="A45" t="s">
        <v>848</v>
      </c>
      <c r="B45" t="str">
        <f>REPLACE_RAW_S3_PATH</f>
        <v>s3://odl-raw.prod.shared.eu-west-1.prod.aws.vgthosting.net/te2odl/[:date_yyyymmdd]/[:hour]/</v>
      </c>
    </row>
  </sheetData>
  <pageMargins left="0.7" right="0.7" top="0.75" bottom="0.75" header="0.3" footer="0.3"/>
  <pageSetup paperSize="9" orientation="portrai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C15"/>
  <sheetViews>
    <sheetView workbookViewId="0">
      <selection activeCell="B1" sqref="B1"/>
    </sheetView>
  </sheetViews>
  <sheetFormatPr defaultRowHeight="15"/>
  <cols>
    <col min="1" max="1" width="62.85546875" style="285" customWidth="1"/>
    <col min="2" max="2" width="123.28515625" style="285" customWidth="1"/>
    <col min="3" max="3" width="17.5703125" style="285" customWidth="1"/>
    <col min="4" max="8" width="9.140625" style="285" customWidth="1"/>
    <col min="9" max="16384" width="9.140625" style="285"/>
  </cols>
  <sheetData>
    <row r="1" spans="1:3">
      <c r="A1" s="285" t="s">
        <v>849</v>
      </c>
      <c r="C1" s="285">
        <v>1</v>
      </c>
    </row>
    <row r="2" spans="1:3" ht="30" customHeight="1">
      <c r="A2" s="285" t="s">
        <v>850</v>
      </c>
      <c r="B2" s="285" t="str">
        <f>HELPER!C4</f>
        <v>uc0039.factVCSSLast90_tmp</v>
      </c>
      <c r="C2" s="285" t="str">
        <f>"/" &amp; Options!B25 &amp; "-" &amp; C1</f>
        <v>/factVCSSLast90-1</v>
      </c>
    </row>
    <row r="3" spans="1:3" ht="30" customHeight="1">
      <c r="A3" s="285" t="s">
        <v>851</v>
      </c>
      <c r="B3" s="285" t="str">
        <f>HELPER!B4</f>
        <v>uc0039.factVCSSLast90</v>
      </c>
      <c r="C3" s="285" t="str">
        <f>"/" &amp;Options!B25</f>
        <v>/factVCSSLast90</v>
      </c>
    </row>
    <row r="4" spans="1:3" ht="227.25" customHeight="1">
      <c r="A4" s="285" t="s">
        <v>852</v>
      </c>
      <c r="B4" s="285" t="str">
        <f ca="1">SUBSTITUTE(SUBSTITUTE('OUTPUT ICEBERG'!C17,B3,B2),C3,C2)</f>
        <v>CREATE TABLE IF NOT EXISTS  uc0039.factVCSSLast90_tmp(wkVehicle bigint, has_communicated_last_90_days bigint, lake_arrival_date string,hashkey string, load_date  Timestamp, last_modified_timestamp  TimestampFALSE) PARTITIONED BY (lake_arrival_date)   LOCATION 's3://uc0039-vgcs-odl-prod/db/factVCSSLast90-1' TBLPROPERTIES ( 'vacuum_max_snapshot_age_seconds' = '259200', 'optimize_rewrite_delete_file_threshold' = '50', 'write_target_data_file_size_bytes' = '536870912','table_type'='iceberg','format'='parquet')</v>
      </c>
    </row>
    <row r="5" spans="1:3" ht="225.75" customHeight="1">
      <c r="A5" s="285" t="s">
        <v>853</v>
      </c>
      <c r="B5" s="285" t="str">
        <f>SUBSTITUTE( 'OUTPUT ICEBERG'!C18,B3,B2)</f>
        <v/>
      </c>
    </row>
    <row r="6" spans="1:3" ht="316.5" customHeight="1">
      <c r="A6" s="285" t="s">
        <v>854</v>
      </c>
      <c r="B6" s="285" t="str">
        <f ca="1">SUBSTITUTE( 'OUTPUT ICEBERG'!C19,B3,B2)</f>
        <v>MERGE INTO uc0039.factVCSSLast90_tmp as trg USING uc0039.source_factVCSSLast90_[:date_yyyymmdd]_v  as src ON trg.wkVehicle = src.wkVehicle  WHEN NOT MATCHED THEN INSERT ( wkVehicle, has_communicated_last_90_days, lake_arrival_date,load_date, hashkey) VALUES (src.wkVehicle, src.has_communicated_last_90_days, COALESCE(src.lake_arrival_date,''), src.load_date,src.hashkey) WHEN MATCHED  AND trg.last_modified_timestamp &lt;&gt;  src.last_modified_timestamp THEN UPDATE SET has_communicated_last_90_days =  src.has_communicated_last_90_days,last_modified_timestamp = src.last_modified_timestamp</v>
      </c>
    </row>
    <row r="7" spans="1:3" ht="96.75" customHeight="1">
      <c r="A7" s="285" t="s">
        <v>855</v>
      </c>
      <c r="B7" s="285" t="str">
        <f>"UPDATE " &amp; B2 &amp; " SET iscurrent=1"</f>
        <v>UPDATE uc0039.factVCSSLast90_tmp SET iscurrent=1</v>
      </c>
    </row>
    <row r="8" spans="1:3" ht="112.5" customHeight="1">
      <c r="A8" s="285" t="s">
        <v>856</v>
      </c>
      <c r="B8" s="285" t="str">
        <f ca="1">"MERGE INTO " &amp;B2 &amp; " trg 
USING (select * from " &amp;  B3&amp; " where iscurrent=1) src
    ON ( " &amp; HELPER!B56 &amp; ")
    WHEN MATCHED
        THEN UPDATE SET trg." &amp; HELPER!B21 &amp; " = src." &amp; HELPER!B21</f>
        <v>MERGE INTO uc0039.factVCSSLast90_tmp trg 
USING (select * from uc0039.factVCSSLast90 where iscurrent=1) src
    ON ( trg.wkVehicle = src.wkVehicle)
    WHEN MATCHED
        THEN UPDATE SET trg. = src.</v>
      </c>
    </row>
    <row r="9" spans="1:3">
      <c r="A9" s="285" t="s">
        <v>857</v>
      </c>
      <c r="B9" s="285" t="str">
        <f>'OUTPUT ICEBERG'!C14</f>
        <v>drop table if exists uc0039.factVCSSLast90</v>
      </c>
    </row>
    <row r="10" spans="1:3" ht="15.75" customHeight="1">
      <c r="A10" s="285" t="s">
        <v>858</v>
      </c>
      <c r="B10" s="193" t="str">
        <f>"ALTER TABLE " &amp; Options!B4 &amp; "." &amp; B2 &amp;  " RENAME TO " &amp; Options!B4 &amp; "." &amp; Options!B25</f>
        <v>ALTER TABLE uc0039.uc0039.factVCSSLast90_tmp RENAME TO uc0039.factVCSSLast90</v>
      </c>
    </row>
    <row r="14" spans="1:3" ht="21.75" customHeight="1">
      <c r="A14" s="285" t="s">
        <v>859</v>
      </c>
      <c r="B14" s="285" t="s">
        <v>860</v>
      </c>
    </row>
    <row r="15" spans="1:3">
      <c r="A15" s="285" t="s">
        <v>861</v>
      </c>
      <c r="B15" s="285" t="s">
        <v>862</v>
      </c>
    </row>
  </sheetData>
  <pageMargins left="0.7" right="0.7" top="0.75" bottom="0.75" header="0.3" footer="0.3"/>
  <pageSetup paperSize="9" orientation="portrai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B4"/>
  <sheetViews>
    <sheetView workbookViewId="0">
      <selection activeCell="E17" sqref="E17"/>
    </sheetView>
  </sheetViews>
  <sheetFormatPr defaultRowHeight="15"/>
  <cols>
    <col min="1" max="1" width="26.7109375" style="283" bestFit="1" customWidth="1"/>
    <col min="2" max="2" width="24" style="283" customWidth="1"/>
  </cols>
  <sheetData>
    <row r="1" spans="1:2">
      <c r="A1" s="128" t="s">
        <v>863</v>
      </c>
      <c r="B1" s="128" t="s">
        <v>864</v>
      </c>
    </row>
    <row r="2" spans="1:2">
      <c r="A2" t="s">
        <v>865</v>
      </c>
      <c r="B2" s="123" t="s">
        <v>866</v>
      </c>
    </row>
    <row r="3" spans="1:2">
      <c r="A3" t="s">
        <v>867</v>
      </c>
      <c r="B3" s="123" t="s">
        <v>868</v>
      </c>
    </row>
    <row r="4" spans="1:2">
      <c r="A4" t="s">
        <v>869</v>
      </c>
      <c r="B4" s="99">
        <f ca="1">NOW()</f>
        <v>45310.402793865738</v>
      </c>
    </row>
  </sheetData>
  <pageMargins left="0.7" right="0.7" top="0.75" bottom="0.75" header="0.3" footer="0.3"/>
  <pageSetup paperSize="9" orientation="portrai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C18"/>
  <sheetViews>
    <sheetView workbookViewId="0">
      <selection activeCell="A29" sqref="A29"/>
    </sheetView>
  </sheetViews>
  <sheetFormatPr defaultRowHeight="15"/>
  <cols>
    <col min="1" max="1" width="59.85546875" style="285" customWidth="1"/>
    <col min="2" max="2" width="134.42578125" style="285" customWidth="1"/>
    <col min="3" max="3" width="54.28515625" style="285" customWidth="1"/>
    <col min="4" max="8" width="9.140625" style="285" customWidth="1"/>
    <col min="9" max="16384" width="9.140625" style="285"/>
  </cols>
  <sheetData>
    <row r="1" spans="1:3">
      <c r="A1" s="24" t="s">
        <v>870</v>
      </c>
      <c r="B1" s="24" t="s">
        <v>871</v>
      </c>
      <c r="C1" s="24" t="s">
        <v>872</v>
      </c>
    </row>
    <row r="2" spans="1:3">
      <c r="A2" s="285" t="s">
        <v>873</v>
      </c>
      <c r="B2" s="285" t="str">
        <f>"SELECT * FROM " &amp; HELPER!B133 &amp; " limit 10"</f>
        <v>SELECT * FROM uc0039.factVCSSLast90 limit 10</v>
      </c>
    </row>
    <row r="3" spans="1:3">
      <c r="A3" s="285" t="s">
        <v>874</v>
      </c>
      <c r="B3" s="285" t="str">
        <f>"SELECT * FROM " &amp;HELPER!B129 &amp; " limit 10"</f>
        <v>SELECT * FROM uc0039.source_factVCSSLast90_[:date_yyyymmdd]_v  limit 10</v>
      </c>
    </row>
    <row r="4" spans="1:3">
      <c r="B4" s="285" t="str">
        <f>"SELECT * FROM "&amp;HELPER!B133&amp;" WHERE ..... limit10"</f>
        <v>SELECT * FROM uc0039.factVCSSLast90 WHERE ..... limit10</v>
      </c>
    </row>
    <row r="6" spans="1:3">
      <c r="A6" s="285" t="s">
        <v>875</v>
      </c>
      <c r="B6" s="285" t="str">
        <f>"DESCRIBE " &amp; HELPER!B125</f>
        <v xml:space="preserve">DESCRIBE </v>
      </c>
    </row>
    <row r="7" spans="1:3">
      <c r="C7" s="19"/>
    </row>
    <row r="8" spans="1:3">
      <c r="A8" s="285" t="s">
        <v>876</v>
      </c>
      <c r="B8" s="285" t="str">
        <f>"SELECT " &amp; Options!B44 &amp; ", count(*) AS NumberOfRecords FROM " &amp; HELPER!B133 &amp; " GROUP BY " &amp; Options!B44</f>
        <v>SELECT load_date, count(*) AS NumberOfRecords FROM uc0039.factVCSSLast90 GROUP BY load_date</v>
      </c>
    </row>
    <row r="9" spans="1:3" ht="30" customHeight="1">
      <c r="A9" s="285" t="s">
        <v>877</v>
      </c>
      <c r="B9" s="285" t="str">
        <f>"SELECT " &amp; Options!B13 &amp; ", count(*) AS NumberOfRecords FROM " &amp; HELPER!B133 &amp; " GROUP BY " &amp; Options!B13 &amp; " ORDER BY "  &amp;Options!B13 &amp; " DESC"</f>
        <v>SELECT read_out_date, count(*) AS NumberOfRecords FROM uc0039.factVCSSLast90 GROUP BY read_out_date ORDER BY read_out_date DESC</v>
      </c>
    </row>
    <row r="18" spans="1:3" ht="119.25" customHeight="1">
      <c r="A18" s="285" t="str">
        <f>HELPER!A171</f>
        <v>COPY ICEBERG DATA BY UNLOADING IT TO A NEW LOCATION</v>
      </c>
      <c r="B18" s="143" t="str">
        <f ca="1">HELPER!B171</f>
        <v>UNLOAD (select wkVehicle, has_communicated_last_90_days, lake_arrival_date,CAST(load_date AS timestamp) AS load_date, hashkey FROM uc0039.factVCSSLast90) TO 's3://uc0039-vgcs-odl-prod/db/factVCSSLast90_parquet' WITH (format='parquet')</v>
      </c>
      <c r="C18" s="285" t="s">
        <v>878</v>
      </c>
    </row>
  </sheetData>
  <pageMargins left="0.7" right="0.7" top="0.75" bottom="0.75" header="0.3" footer="0.3"/>
  <pageSetup paperSize="9" orientation="portrai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B8"/>
  <sheetViews>
    <sheetView workbookViewId="0">
      <selection activeCell="A8" sqref="A8"/>
    </sheetView>
  </sheetViews>
  <sheetFormatPr defaultRowHeight="15"/>
  <cols>
    <col min="2" max="2" width="134.28515625" style="283" customWidth="1"/>
  </cols>
  <sheetData>
    <row r="1" spans="1:2">
      <c r="B1" s="99">
        <v>45063</v>
      </c>
    </row>
    <row r="2" spans="1:2" ht="21" customHeight="1">
      <c r="A2" s="114">
        <v>1</v>
      </c>
      <c r="B2" s="112" t="s">
        <v>879</v>
      </c>
    </row>
    <row r="4" spans="1:2">
      <c r="A4">
        <v>1</v>
      </c>
      <c r="B4" s="130" t="s">
        <v>880</v>
      </c>
    </row>
    <row r="5" spans="1:2" ht="150" customHeight="1">
      <c r="B5" s="285" t="s">
        <v>881</v>
      </c>
    </row>
    <row r="7" spans="1:2">
      <c r="A7" s="130">
        <v>2</v>
      </c>
      <c r="B7" s="130" t="s">
        <v>882</v>
      </c>
    </row>
    <row r="8" spans="1:2" ht="172.5" customHeight="1">
      <c r="B8" s="285" t="s">
        <v>883</v>
      </c>
    </row>
  </sheetData>
  <pageMargins left="0.7" right="0.7" top="0.75" bottom="0.75" header="0.3" footer="0.3"/>
  <pageSetup paperSize="9" orientation="portrai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B12"/>
  <sheetViews>
    <sheetView showGridLines="0" showRowColHeaders="0" workbookViewId="0">
      <selection activeCell="B7" sqref="B7"/>
    </sheetView>
  </sheetViews>
  <sheetFormatPr defaultRowHeight="15"/>
  <cols>
    <col min="1" max="1" width="8.5703125" style="283" customWidth="1"/>
    <col min="2" max="2" width="123.42578125" style="283" bestFit="1" customWidth="1"/>
  </cols>
  <sheetData>
    <row r="1" spans="1:2">
      <c r="B1" s="99">
        <v>45063</v>
      </c>
    </row>
    <row r="2" spans="1:2" s="113" customFormat="1" ht="21" customHeight="1">
      <c r="A2" s="114">
        <v>1</v>
      </c>
      <c r="B2" s="112" t="s">
        <v>884</v>
      </c>
    </row>
    <row r="4" spans="1:2">
      <c r="A4">
        <v>1</v>
      </c>
      <c r="B4" s="130" t="s">
        <v>885</v>
      </c>
    </row>
    <row r="5" spans="1:2" ht="181.5" customHeight="1">
      <c r="B5" s="285" t="s">
        <v>886</v>
      </c>
    </row>
    <row r="6" spans="1:2">
      <c r="A6">
        <v>2</v>
      </c>
      <c r="B6" s="130" t="s">
        <v>887</v>
      </c>
    </row>
    <row r="7" spans="1:2" ht="222.75" customHeight="1">
      <c r="B7" s="285" t="s">
        <v>888</v>
      </c>
    </row>
    <row r="8" spans="1:2">
      <c r="A8">
        <v>3</v>
      </c>
      <c r="B8" s="130"/>
    </row>
    <row r="9" spans="1:2" ht="152.25" customHeight="1">
      <c r="B9" s="285"/>
    </row>
    <row r="11" spans="1:2">
      <c r="A11">
        <v>4</v>
      </c>
      <c r="B11" s="130" t="s">
        <v>889</v>
      </c>
    </row>
    <row r="12" spans="1:2" ht="124.5" customHeight="1">
      <c r="B12" s="285"/>
    </row>
  </sheetData>
  <pageMargins left="0.7" right="0.7" top="0.75" bottom="0.75" header="0.3" footer="0.3"/>
  <pageSetup paperSize="9" orientation="portrai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B12"/>
  <sheetViews>
    <sheetView showGridLines="0" showRowColHeaders="0" workbookViewId="0">
      <selection activeCell="B5" sqref="B5"/>
    </sheetView>
  </sheetViews>
  <sheetFormatPr defaultRowHeight="15"/>
  <cols>
    <col min="1" max="1" width="8.5703125" style="283" customWidth="1"/>
    <col min="2" max="2" width="123.42578125" style="283" bestFit="1" customWidth="1"/>
  </cols>
  <sheetData>
    <row r="1" spans="1:2">
      <c r="B1" s="99">
        <v>45063</v>
      </c>
    </row>
    <row r="2" spans="1:2" s="113" customFormat="1" ht="21" customHeight="1">
      <c r="A2" s="114">
        <v>1</v>
      </c>
      <c r="B2" s="112" t="s">
        <v>604</v>
      </c>
    </row>
    <row r="4" spans="1:2">
      <c r="A4">
        <v>1</v>
      </c>
      <c r="B4" s="130" t="s">
        <v>890</v>
      </c>
    </row>
    <row r="5" spans="1:2" ht="181.5" customHeight="1">
      <c r="B5" s="285" t="s">
        <v>891</v>
      </c>
    </row>
    <row r="6" spans="1:2">
      <c r="A6">
        <v>2</v>
      </c>
      <c r="B6" s="130" t="s">
        <v>143</v>
      </c>
    </row>
    <row r="7" spans="1:2" ht="222.75" customHeight="1">
      <c r="B7" s="285" t="s">
        <v>892</v>
      </c>
    </row>
    <row r="8" spans="1:2">
      <c r="A8">
        <v>3</v>
      </c>
      <c r="B8" s="130" t="s">
        <v>893</v>
      </c>
    </row>
    <row r="9" spans="1:2" ht="152.25" customHeight="1">
      <c r="B9" s="285" t="s">
        <v>894</v>
      </c>
    </row>
    <row r="11" spans="1:2">
      <c r="A11">
        <v>4</v>
      </c>
      <c r="B11" s="130" t="s">
        <v>895</v>
      </c>
    </row>
    <row r="12" spans="1:2" ht="124.5" customHeight="1">
      <c r="B12" s="285" t="s">
        <v>896</v>
      </c>
    </row>
  </sheetData>
  <pageMargins left="0.7" right="0.7" top="0.75" bottom="0.75" header="0.3" footer="0.3"/>
  <pageSetup paperSize="9" orientation="portrai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B12"/>
  <sheetViews>
    <sheetView showGridLines="0" showRowColHeaders="0" workbookViewId="0">
      <selection activeCell="N9" sqref="N9"/>
    </sheetView>
  </sheetViews>
  <sheetFormatPr defaultRowHeight="15"/>
  <cols>
    <col min="1" max="1" width="8.5703125" style="283" customWidth="1"/>
    <col min="2" max="2" width="123.42578125" style="283" bestFit="1" customWidth="1"/>
  </cols>
  <sheetData>
    <row r="1" spans="1:2">
      <c r="B1" s="99">
        <v>45063</v>
      </c>
    </row>
    <row r="2" spans="1:2" s="113" customFormat="1" ht="21" customHeight="1">
      <c r="A2" s="114">
        <v>1</v>
      </c>
      <c r="B2" s="112" t="s">
        <v>197</v>
      </c>
    </row>
    <row r="4" spans="1:2">
      <c r="A4">
        <v>1</v>
      </c>
      <c r="B4" s="130" t="s">
        <v>897</v>
      </c>
    </row>
    <row r="5" spans="1:2" ht="181.5" customHeight="1">
      <c r="B5" s="285" t="s">
        <v>898</v>
      </c>
    </row>
    <row r="6" spans="1:2">
      <c r="A6">
        <v>2</v>
      </c>
      <c r="B6" s="130" t="s">
        <v>899</v>
      </c>
    </row>
    <row r="7" spans="1:2" ht="222.75" customHeight="1">
      <c r="B7" s="285" t="str">
        <f>"In order to use DMA your environment needs to have data from the database VLAR prepared and available as an AWS Athena Table. In the prod account for ODL we do have it in the database " &amp; 'Volvo DMA'!B13 &amp; " and the table name is " &amp; 'Volvo DMA'!B15 &amp; ".  In the QA environment it is possible to test your DMA queries but the VLAR data is not updated. But again, it should work for test purposes and you should be able to run the same queries as in prod."</f>
        <v>In order to use DMA your environment needs to have data from the database VLAR prepared and available as an AWS Athena Table. In the prod account for ODL we do have it in the database snapshot_vlar and the table name is vlar_current.  In the QA environment it is possible to test your DMA queries but the VLAR data is not updated. But again, it should work for test purposes and you should be able to run the same queries as in prod.</v>
      </c>
    </row>
    <row r="8" spans="1:2">
      <c r="A8">
        <v>3</v>
      </c>
      <c r="B8" s="130" t="s">
        <v>900</v>
      </c>
    </row>
    <row r="9" spans="1:2" ht="152.25" customHeight="1">
      <c r="B9" s="285"/>
    </row>
    <row r="11" spans="1:2">
      <c r="A11">
        <v>4</v>
      </c>
      <c r="B11" s="130" t="s">
        <v>889</v>
      </c>
    </row>
    <row r="12" spans="1:2" ht="124.5" customHeight="1">
      <c r="B12" s="285"/>
    </row>
  </sheetData>
  <pageMargins left="0.7" right="0.7" top="0.75" bottom="0.75" header="0.3" footer="0.3"/>
  <pageSetup paperSize="9" orientation="portrait"/>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C2"/>
  <sheetViews>
    <sheetView topLeftCell="D1" workbookViewId="0">
      <selection activeCell="C2" sqref="C2"/>
    </sheetView>
  </sheetViews>
  <sheetFormatPr defaultRowHeight="15"/>
  <cols>
    <col min="1" max="1" width="21.5703125" style="283" customWidth="1"/>
    <col min="2" max="2" width="48.28515625" style="283" customWidth="1"/>
    <col min="3" max="3" width="131.5703125" style="283" bestFit="1" customWidth="1"/>
  </cols>
  <sheetData>
    <row r="1" spans="1:3">
      <c r="A1" s="30" t="s">
        <v>901</v>
      </c>
      <c r="B1" s="30" t="s">
        <v>902</v>
      </c>
      <c r="C1" s="30" t="s">
        <v>212</v>
      </c>
    </row>
    <row r="2" spans="1:3" ht="60" customHeight="1">
      <c r="A2" s="220" t="s">
        <v>903</v>
      </c>
      <c r="B2" s="220" t="s">
        <v>700</v>
      </c>
      <c r="C2" s="285" t="s">
        <v>904</v>
      </c>
    </row>
  </sheetData>
  <pageMargins left="0.7" right="0.7" top="0.75" bottom="0.75" header="0.3" footer="0.3"/>
  <pageSetup paperSize="9" orientation="portrait"/>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
  <sheetViews>
    <sheetView workbookViewId="0"/>
  </sheetViews>
  <sheetFormatPr defaultRowHeight="15"/>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C2"/>
  <sheetViews>
    <sheetView workbookViewId="0">
      <selection activeCell="C1" sqref="C1"/>
    </sheetView>
  </sheetViews>
  <sheetFormatPr defaultRowHeight="15"/>
  <cols>
    <col min="1" max="2" width="27" style="220" customWidth="1"/>
    <col min="3" max="3" width="138.140625" style="220" customWidth="1"/>
    <col min="4" max="8" width="9.140625" style="220" customWidth="1"/>
    <col min="9" max="16384" width="9.140625" style="220"/>
  </cols>
  <sheetData>
    <row r="1" spans="1:3" ht="409.5" customHeight="1">
      <c r="A1" s="220" t="s">
        <v>905</v>
      </c>
      <c r="B1" s="220" t="s">
        <v>906</v>
      </c>
      <c r="C1" s="285" t="s">
        <v>907</v>
      </c>
    </row>
    <row r="2" spans="1:3" ht="91.5" customHeight="1">
      <c r="A2" s="220" t="s">
        <v>906</v>
      </c>
      <c r="C2" s="285" t="s">
        <v>908</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49</vt:i4>
      </vt:variant>
      <vt:variant>
        <vt:lpstr>Named Ranges</vt:lpstr>
      </vt:variant>
      <vt:variant>
        <vt:i4>146</vt:i4>
      </vt:variant>
    </vt:vector>
  </HeadingPairs>
  <TitlesOfParts>
    <vt:vector size="195" baseType="lpstr">
      <vt:lpstr>START</vt:lpstr>
      <vt:lpstr>Options</vt:lpstr>
      <vt:lpstr>COLUMNS</vt:lpstr>
      <vt:lpstr>Custom Source View</vt:lpstr>
      <vt:lpstr>DIMENSIONS</vt:lpstr>
      <vt:lpstr>Doc</vt:lpstr>
      <vt:lpstr>RAW-TO-STAGED</vt:lpstr>
      <vt:lpstr>Volvo DMA</vt:lpstr>
      <vt:lpstr>ErrorCodes</vt:lpstr>
      <vt:lpstr>OUTPUT</vt:lpstr>
      <vt:lpstr>OUTPUT ICEBERG</vt:lpstr>
      <vt:lpstr>DataVault</vt:lpstr>
      <vt:lpstr>DLT</vt:lpstr>
      <vt:lpstr>OUTPUT EXTERNAL</vt:lpstr>
      <vt:lpstr>Templates</vt:lpstr>
      <vt:lpstr>CSV</vt:lpstr>
      <vt:lpstr>HELPER</vt:lpstr>
      <vt:lpstr>VIEWHELPER</vt:lpstr>
      <vt:lpstr>CREATE SOURCE VIEW</vt:lpstr>
      <vt:lpstr>DIMHELPER</vt:lpstr>
      <vt:lpstr>STAGE VIEW 1</vt:lpstr>
      <vt:lpstr>CREATE TABLE</vt:lpstr>
      <vt:lpstr>DevHelper</vt:lpstr>
      <vt:lpstr>COLHELPER</vt:lpstr>
      <vt:lpstr>SCD4</vt:lpstr>
      <vt:lpstr>Version</vt:lpstr>
      <vt:lpstr>MERGE INTO</vt:lpstr>
      <vt:lpstr>INCREMENTAL LOAD</vt:lpstr>
      <vt:lpstr>INITIAL LOAD</vt:lpstr>
      <vt:lpstr>UPDATE</vt:lpstr>
      <vt:lpstr>UPDATE ISCURRENT</vt:lpstr>
      <vt:lpstr>CURRENT_VIEW</vt:lpstr>
      <vt:lpstr>ICEBERG METADATA SQL</vt:lpstr>
      <vt:lpstr>TEST</vt:lpstr>
      <vt:lpstr>Verify</vt:lpstr>
      <vt:lpstr>html</vt:lpstr>
      <vt:lpstr>OUTPUT_CREATEVIEW</vt:lpstr>
      <vt:lpstr>OUTPUT RTS</vt:lpstr>
      <vt:lpstr>UNLOAD</vt:lpstr>
      <vt:lpstr>RECREATE DIM</vt:lpstr>
      <vt:lpstr>RTVARIABLES</vt:lpstr>
      <vt:lpstr>Custom Queries</vt:lpstr>
      <vt:lpstr>Readme - Start</vt:lpstr>
      <vt:lpstr>Readme-UNLOAD</vt:lpstr>
      <vt:lpstr>Readme-Columns</vt:lpstr>
      <vt:lpstr>Readme-DMA</vt:lpstr>
      <vt:lpstr>Readme-Notes</vt:lpstr>
      <vt:lpstr>Sheet2</vt:lpstr>
      <vt:lpstr>STEPS</vt:lpstr>
      <vt:lpstr>CALCULATED_STAGE_VIEW_COLUMNS</vt:lpstr>
      <vt:lpstr>COLHELPER_NUMBER_OF_PARTITION_COLUMNS</vt:lpstr>
      <vt:lpstr>DIMENSIONS_JOIN_CONDITION_TABLE</vt:lpstr>
      <vt:lpstr>HELPER_CREATE_VIEW</vt:lpstr>
      <vt:lpstr>HELPER_FULL_TABLE_NAME</vt:lpstr>
      <vt:lpstr>MERGE_UPDATE_COLUMN_LIST</vt:lpstr>
      <vt:lpstr>REPLACE_ADD_PARTITION</vt:lpstr>
      <vt:lpstr>REPLACE_ADD_RAW_PARTITION</vt:lpstr>
      <vt:lpstr>REPLACE_ADD_TARGET_PARTITION</vt:lpstr>
      <vt:lpstr>REPLACE_APPLY_DMA_ON_TABLE</vt:lpstr>
      <vt:lpstr>REPLACE_ATHENA_OUTPUT_LOCATION</vt:lpstr>
      <vt:lpstr>REPLACE_AWS_ACCOUNT_NUMBER</vt:lpstr>
      <vt:lpstr>REPLACE_AWS_ATHENA_OUTPUT_S3_LOCATION</vt:lpstr>
      <vt:lpstr>REPLACE_AWS_ATHENA_WORKGROUP</vt:lpstr>
      <vt:lpstr>REPLACE_AWS_ENVIRONMENT_UPPERCASE</vt:lpstr>
      <vt:lpstr>REPLACE_AWS_REGION</vt:lpstr>
      <vt:lpstr>REPLACE_AWS_STEPS_LOOP_NAME</vt:lpstr>
      <vt:lpstr>REPLACE_AWS_STEPS_NAME</vt:lpstr>
      <vt:lpstr>REPLACE_AWS_STEPS_NAME_MINI_DIMENSION</vt:lpstr>
      <vt:lpstr>REPLACE_BUCKET_NAME</vt:lpstr>
      <vt:lpstr>REPLACE_CODEGEN_VERSION</vt:lpstr>
      <vt:lpstr>REPLACE_CREATE_MINI_DIMENSION</vt:lpstr>
      <vt:lpstr>REPLACE_CREATE_RAW_TABLE</vt:lpstr>
      <vt:lpstr>REPLACE_CREATE_TARGET_TABLE</vt:lpstr>
      <vt:lpstr>REPLACE_CREATE_TARGET_TABLE_EXTERNAL</vt:lpstr>
      <vt:lpstr>REPLACE_CREATE_TARRGET_TABLE_EXTERNAL</vt:lpstr>
      <vt:lpstr>REPLACE_CREATE_VIEW</vt:lpstr>
      <vt:lpstr>REPLACE_CURRENT_DATE</vt:lpstr>
      <vt:lpstr>REPLACE_DATABASE_NAME</vt:lpstr>
      <vt:lpstr>REPLACE_DEPLOY_TO_ENVIRONMENT</vt:lpstr>
      <vt:lpstr>REPLACE_DIM1_JOINS</vt:lpstr>
      <vt:lpstr>REPLACE_DIM2_JOINS</vt:lpstr>
      <vt:lpstr>REPLACE_DIM3_JOINS</vt:lpstr>
      <vt:lpstr>REPLACE_DIM4_JOINS</vt:lpstr>
      <vt:lpstr>REPLACE_DIM5_JOINS</vt:lpstr>
      <vt:lpstr>REPLACE_DIMENSIONS_JOIN_CONDITION_TABLE</vt:lpstr>
      <vt:lpstr>REPLACE_DLT_CREATE_GOLD_TABLE</vt:lpstr>
      <vt:lpstr>REPLACE_DROP_SOURCE_VIEW</vt:lpstr>
      <vt:lpstr>REPLACE_DROP_STAGE_VIEW</vt:lpstr>
      <vt:lpstr>REPLACE_DROP_TABLE</vt:lpstr>
      <vt:lpstr>REPLACE_DROP_TABLE_MINI_DIMENSION</vt:lpstr>
      <vt:lpstr>REPLACE_FULL_SOURCE_TABLE_NAME</vt:lpstr>
      <vt:lpstr>REPLACE_FULL_TABLE_NAME_MINI_DIMENSION</vt:lpstr>
      <vt:lpstr>REPLACE_GENERATED_SOURCE_TABLE_SELECT</vt:lpstr>
      <vt:lpstr>REPLACE_HTML_DOC_FILENAME</vt:lpstr>
      <vt:lpstr>REPLACE_HTML_TABLE_OF_DIMENSIONS</vt:lpstr>
      <vt:lpstr>REPLACE_HTML_TABLE_OF_TEMPLATES</vt:lpstr>
      <vt:lpstr>REPLACE_IS_SOURCE_VIEW_IN_USE</vt:lpstr>
      <vt:lpstr>REPLACE_JOIN_CONDITION_TABLE</vt:lpstr>
      <vt:lpstr>REPLACE_LIST_OF_BK_IN_SOURCE</vt:lpstr>
      <vt:lpstr>REPLACE_LIST_OF_BK_IN_SOURCE_VIEW</vt:lpstr>
      <vt:lpstr>REPLACE_LIST_OF_DIMENSIONS</vt:lpstr>
      <vt:lpstr>REPLACE_LIST_OF_QUALIFIED_DIMENSIONS</vt:lpstr>
      <vt:lpstr>REPLACE_MINI_DIM_DROP_TABLE</vt:lpstr>
      <vt:lpstr>REPLACE_MINI_DIMENSION_RESOURCE_NAME</vt:lpstr>
      <vt:lpstr>REPLACE_MISSING_MEMBER</vt:lpstr>
      <vt:lpstr>REPLACE_MISSING_MEMBER_MINI_DIMENSION</vt:lpstr>
      <vt:lpstr>REPLACE_OPTIMIZE_TABLE</vt:lpstr>
      <vt:lpstr>REPLACE_OPTIMIZE_TABLE_MINI_DIMENSION</vt:lpstr>
      <vt:lpstr>REPLACE_POPULATE_DATA</vt:lpstr>
      <vt:lpstr>REPLACE_POPULATE_DATA_INCREMENTALY</vt:lpstr>
      <vt:lpstr>REPLACE_POPULATE_DATA_INCREMENTLY</vt:lpstr>
      <vt:lpstr>REPLACE_POPULATE_MINI_DIMENSION</vt:lpstr>
      <vt:lpstr>REPLACE_PREFIX</vt:lpstr>
      <vt:lpstr>REPLACE_RAW_BUCKET</vt:lpstr>
      <vt:lpstr>REPLACE_RAW_BUCKET_NAME</vt:lpstr>
      <vt:lpstr>REPLACE_RAW_DATABASE_NAME</vt:lpstr>
      <vt:lpstr>REPLACE_RAW_DMS_BUCKET_NAME</vt:lpstr>
      <vt:lpstr>REPLACE_RAW_PARTITION_PREFIX</vt:lpstr>
      <vt:lpstr>REPLACE_RAW_PARTITION_S3_PATH</vt:lpstr>
      <vt:lpstr>REPLACE_RAW_PREFIX</vt:lpstr>
      <vt:lpstr>REPLACE_RAW_S3_PATH</vt:lpstr>
      <vt:lpstr>REPLACE_RAW_TABLE_NAME</vt:lpstr>
      <vt:lpstr>REPLACE_RESOURCE_IDENTIFIER</vt:lpstr>
      <vt:lpstr>REPLACE_SCD4_CREATE_FACTLESSFACT_TABLE</vt:lpstr>
      <vt:lpstr>REPLACE_SCD4_DROP_FACTLESSFACT_TABLE</vt:lpstr>
      <vt:lpstr>REPLACE_SCD4_FACTLESSFACT_CREATE_INITIAL_LOAD_VIEW</vt:lpstr>
      <vt:lpstr>REPLACE_SCD4_FACTLESSFACT_DROP_TABLE</vt:lpstr>
      <vt:lpstr>REPLACE_SCD4_FACTLESSFACT_INSERT_INITIAL_DATA</vt:lpstr>
      <vt:lpstr>REPLACE_SCD4_FACTLESSFACT_SET_ISLATEST</vt:lpstr>
      <vt:lpstr>REPLACE_SCD4_INITIAL_LOAD_MINI_DIM</vt:lpstr>
      <vt:lpstr>REPLACE_SCD4_INITIAL_LOAD_MINI_DIM_SOURCE_TABLE_NAME</vt:lpstr>
      <vt:lpstr>REPLACE_SCD4_INITIAL_LOAD_MINIDIM_SOURCE_TABLE_NAME</vt:lpstr>
      <vt:lpstr>REPLACE_SCD4_INITIAL_LOAD_POPULATE_FACTLESSFACT</vt:lpstr>
      <vt:lpstr>REPLACE_SCD4_INITIAL_LOAD_POPULATE_MINI_DIM</vt:lpstr>
      <vt:lpstr>REPLACE_SCD4_INITIAL_LOAD_POPULATE_TABLE</vt:lpstr>
      <vt:lpstr>REPLACE_SCD4_OPTIMIZE_FACTLESSFACT_TABLE</vt:lpstr>
      <vt:lpstr>REPLACE_SCD4_POPULATE_FACTLESSFACT_TABLE</vt:lpstr>
      <vt:lpstr>REPLACE_SET_ISCURRENT_0</vt:lpstr>
      <vt:lpstr>REPLACE_SET_ISCURRENT_0_MINI_DIMENSION</vt:lpstr>
      <vt:lpstr>REPLACE_SET_ISCURRENT_1</vt:lpstr>
      <vt:lpstr>REPLACE_SET_ISCURRENT_1_MINI_DIMENSION</vt:lpstr>
      <vt:lpstr>REPLACE_SHOW_HTML_MINI_DIMENSION</vt:lpstr>
      <vt:lpstr>REPLACE_SOLUTION_LONG_NAME</vt:lpstr>
      <vt:lpstr>REPLACE_SOLUTION_NAME</vt:lpstr>
      <vt:lpstr>REPLACE_SOURCE_DATABASE</vt:lpstr>
      <vt:lpstr>REPLACE_SOURCE_DATABASE_NAME</vt:lpstr>
      <vt:lpstr>REPLACE_SOURCE_TABLE_NAME</vt:lpstr>
      <vt:lpstr>REPLACE_SOURCE_TABLE_VISABILITY</vt:lpstr>
      <vt:lpstr>REPLACE_SOURCE_VIEW</vt:lpstr>
      <vt:lpstr>REPLACE_SOURCE_VIEW_DESCRIPTION</vt:lpstr>
      <vt:lpstr>REPLACE_SOURCE_VIEW_NAME</vt:lpstr>
      <vt:lpstr>REPLACE_SOURCE_VIEW_VISABILITY</vt:lpstr>
      <vt:lpstr>REPLACE_SQL_CUSTOM_SOURCE_VIEW</vt:lpstr>
      <vt:lpstr>REPLACE_STAGE_VIEW</vt:lpstr>
      <vt:lpstr>REPLACE_STAGE_VIEW_SELECT</vt:lpstr>
      <vt:lpstr>REPLACE_STAGED_BUCKET_NAME</vt:lpstr>
      <vt:lpstr>REPLACE_TABLE_DESCRIPTION</vt:lpstr>
      <vt:lpstr>REPLACE_TABLE_NAME</vt:lpstr>
      <vt:lpstr>REPLACE_TABLE_NAME_MINI_DIMENSION</vt:lpstr>
      <vt:lpstr>REPLACE_TARGET_BUCKET</vt:lpstr>
      <vt:lpstr>REPLACE_TARGET_DATABASE_NAME</vt:lpstr>
      <vt:lpstr>REPLACE_TARGET_PREFIX</vt:lpstr>
      <vt:lpstr>REPLACE_TARGET_ROOT_PREFIX</vt:lpstr>
      <vt:lpstr>REPLACE_TARGET_TABLE</vt:lpstr>
      <vt:lpstr>REPLACE_TARGET_TABLE_HTML</vt:lpstr>
      <vt:lpstr>REPLACE_TARGET_TABLE_NAME</vt:lpstr>
      <vt:lpstr>REPLACE_TARGET_TABLE_NAME_MINI_DIMENSION</vt:lpstr>
      <vt:lpstr>REPLACE_TARGET_TABLE_PREFIX</vt:lpstr>
      <vt:lpstr>REPLACE_TARGET_TABLE_S3_LOCATION</vt:lpstr>
      <vt:lpstr>REPLACE_TEMPLATE_NUMBER</vt:lpstr>
      <vt:lpstr>REPLACE_TEMPLATE_VARIABLES</vt:lpstr>
      <vt:lpstr>REPLACE_TEST_SOURCE_BK</vt:lpstr>
      <vt:lpstr>REPLACE_UNLOAD_TABLE</vt:lpstr>
      <vt:lpstr>REPLACE_UNLOAD_TARGET_PARTITION</vt:lpstr>
      <vt:lpstr>REPLACE_USE_MINI_DIMENSION</vt:lpstr>
      <vt:lpstr>REPLACE_USE_SCD_2</vt:lpstr>
      <vt:lpstr>REPLACE_USE_SOURCE_VIEW</vt:lpstr>
      <vt:lpstr>REPLACE_VACCUM_TABLE</vt:lpstr>
      <vt:lpstr>REPLACE_VERIFY_BK_UNIQUE</vt:lpstr>
      <vt:lpstr>REPLACE_VERIFY_PARTITION_ROW_COUNT</vt:lpstr>
      <vt:lpstr>REPLACE_VERIFY_TARGET_PARTITION_ROW_COUNT</vt:lpstr>
      <vt:lpstr>REPLACE_VERIFY_WK_NOT_NULL</vt:lpstr>
      <vt:lpstr>REPLACE_VERIFY_WK_UNIQUE</vt:lpstr>
      <vt:lpstr>TEMP_REPLACE_CREATE_VIEW</vt:lpstr>
      <vt:lpstr>UNLOAD_ALTER_TABLE_ADD_PARTITION</vt:lpstr>
      <vt:lpstr>UNLOAD_NUMBER_OF_PARTITION_COLUMNS</vt:lpstr>
      <vt:lpstr>USERINPUT_CREATE_ATHENA_TABLE</vt:lpstr>
      <vt:lpstr>USERINPUT_DEFAULT_LAST_MODIFIED_TIMESTAMP_COL_NAME</vt:lpstr>
      <vt:lpstr>USERINPUT_IS_DIMENSION_TABLE</vt:lpstr>
      <vt:lpstr>USERINPUT_LAST_MODIFIED_TIMESTAMP_COL_NAME</vt:lpstr>
      <vt:lpstr>USERINPUT_LOAD_DATE_COLUMN_NAME</vt:lpstr>
      <vt:lpstr>USERINPUT_SOURCE_VIEW</vt:lpstr>
      <vt:lpstr>USERINPUT_SOURCE_VIEW_DESCRIPTION</vt:lpstr>
      <vt:lpstr>USERINPUT_TABLE_DESCRIPTION</vt:lpstr>
      <vt:lpstr>USERINPUT_USE_SOURCE_VIEW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Magnemyr Martin (Consultant)</dc:creator>
  <cp:lastModifiedBy>Magnemyr Martin (Consultant)</cp:lastModifiedBy>
  <dcterms:created xsi:type="dcterms:W3CDTF">2023-04-28T06:51:04Z</dcterms:created>
  <dcterms:modified xsi:type="dcterms:W3CDTF">2024-01-19T08:40:14Z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9540963-e559-4020-8a90-fe8a502c2801_Enabled">
    <vt:lpwstr>true</vt:lpwstr>
  </property>
  <property fmtid="{D5CDD505-2E9C-101B-9397-08002B2CF9AE}" pid="3" name="MSIP_Label_19540963-e559-4020-8a90-fe8a502c2801_SetDate">
    <vt:lpwstr>2023-04-28T06:51:05Z</vt:lpwstr>
  </property>
  <property fmtid="{D5CDD505-2E9C-101B-9397-08002B2CF9AE}" pid="4" name="MSIP_Label_19540963-e559-4020-8a90-fe8a502c2801_Method">
    <vt:lpwstr>Standard</vt:lpwstr>
  </property>
  <property fmtid="{D5CDD505-2E9C-101B-9397-08002B2CF9AE}" pid="5" name="MSIP_Label_19540963-e559-4020-8a90-fe8a502c2801_Name">
    <vt:lpwstr>19540963-e559-4020-8a90-fe8a502c2801</vt:lpwstr>
  </property>
  <property fmtid="{D5CDD505-2E9C-101B-9397-08002B2CF9AE}" pid="6" name="MSIP_Label_19540963-e559-4020-8a90-fe8a502c2801_SiteId">
    <vt:lpwstr>f25493ae-1c98-41d7-8a33-0be75f5fe603</vt:lpwstr>
  </property>
  <property fmtid="{D5CDD505-2E9C-101B-9397-08002B2CF9AE}" pid="7" name="MSIP_Label_19540963-e559-4020-8a90-fe8a502c2801_ActionId">
    <vt:lpwstr>71d87932-6fed-4cdf-b914-c187ec602314</vt:lpwstr>
  </property>
  <property fmtid="{D5CDD505-2E9C-101B-9397-08002B2CF9AE}" pid="8" name="MSIP_Label_19540963-e559-4020-8a90-fe8a502c2801_ContentBits">
    <vt:lpwstr>0</vt:lpwstr>
  </property>
</Properties>
</file>