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localhost\Ubuntu\home\a370481\repos\odl\code_generation_framework\type3_dwh_to_usecase\templates\"/>
    </mc:Choice>
  </mc:AlternateContent>
  <xr:revisionPtr revIDLastSave="0" documentId="13_ncr:1_{74B9FD01-A3DA-44DB-8BD7-9A122663C9AD}" xr6:coauthVersionLast="47" xr6:coauthVersionMax="47" xr10:uidLastSave="{00000000-0000-0000-0000-000000000000}"/>
  <bookViews>
    <workbookView xWindow="-120" yWindow="-120" windowWidth="29040" windowHeight="15840" tabRatio="947"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12" r:id="rId12"/>
    <sheet name="DLT" sheetId="13" r:id="rId13"/>
    <sheet name="OUTPUT EXTERNAL" sheetId="36" r:id="rId14"/>
    <sheet name="Templates" sheetId="14" r:id="rId15"/>
    <sheet name="CSV" sheetId="15" r:id="rId16"/>
    <sheet name="HELPER" sheetId="16" r:id="rId17"/>
    <sheet name="VIEWHELPER" sheetId="17" r:id="rId18"/>
    <sheet name="CREATE SOURCE VIEW" sheetId="18" state="hidden" r:id="rId19"/>
    <sheet name="DIMHELPER" sheetId="19" r:id="rId20"/>
    <sheet name="STAGE VIEW 1" sheetId="20" r:id="rId21"/>
    <sheet name="CREATE TABLE" sheetId="21" r:id="rId22"/>
    <sheet name="DevHelper" sheetId="22" state="hidden" r:id="rId23"/>
    <sheet name="COLHELPER" sheetId="23" r:id="rId24"/>
    <sheet name="SCD4" sheetId="24" r:id="rId25"/>
    <sheet name="Version" sheetId="25" r:id="rId26"/>
    <sheet name="MERGE INTO" sheetId="26" r:id="rId27"/>
    <sheet name="INCREMENTAL LOAD" sheetId="27" r:id="rId28"/>
    <sheet name="INITIAL LOAD" sheetId="28" state="hidden" r:id="rId29"/>
    <sheet name="UPDATE" sheetId="29" state="hidden" r:id="rId30"/>
    <sheet name="UPDATE ISCURRENT" sheetId="30" r:id="rId31"/>
    <sheet name="CURRENT_VIEW" sheetId="31" state="hidden" r:id="rId32"/>
    <sheet name="ICEBERG METADATA SQL" sheetId="32" state="hidden" r:id="rId33"/>
    <sheet name="TEST" sheetId="33" r:id="rId34"/>
    <sheet name="Verify" sheetId="34" state="hidden" r:id="rId35"/>
    <sheet name="html" sheetId="35"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LECT_STAR_FROM_SOURCE_TABLE">OUTPUT!$B$160</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8" i="10" l="1"/>
  <c r="B160" i="10"/>
  <c r="B7" i="46"/>
  <c r="A18" i="42"/>
  <c r="B4" i="41"/>
  <c r="E22" i="39"/>
  <c r="E21" i="39"/>
  <c r="E20" i="39"/>
  <c r="D17" i="39"/>
  <c r="C17" i="39"/>
  <c r="D16" i="39"/>
  <c r="C16" i="39"/>
  <c r="D15" i="39"/>
  <c r="C15" i="39"/>
  <c r="C14" i="39"/>
  <c r="D14" i="39" s="1"/>
  <c r="D13" i="39"/>
  <c r="C13" i="39"/>
  <c r="C12" i="39"/>
  <c r="D12" i="39" s="1"/>
  <c r="B14" i="36"/>
  <c r="E10" i="36"/>
  <c r="B10" i="36"/>
  <c r="E9" i="36"/>
  <c r="B9" i="36"/>
  <c r="E7" i="36"/>
  <c r="B7" i="36"/>
  <c r="A7" i="36"/>
  <c r="A8" i="36" s="1"/>
  <c r="A1" i="36"/>
  <c r="B20" i="35"/>
  <c r="C19" i="35" a="1"/>
  <c r="C19" i="35" s="1"/>
  <c r="C18" i="35" a="1"/>
  <c r="C18" i="35" s="1"/>
  <c r="C17" i="35" a="1"/>
  <c r="C17" i="35" s="1"/>
  <c r="C16" i="35" a="1"/>
  <c r="C16" i="35" s="1"/>
  <c r="C15" i="35" a="1"/>
  <c r="C15" i="35" s="1"/>
  <c r="C14" i="35" a="1"/>
  <c r="C14" i="35" s="1"/>
  <c r="C13" i="35" a="1"/>
  <c r="C13" i="35" s="1"/>
  <c r="C12" i="35" a="1"/>
  <c r="C12" i="35" s="1"/>
  <c r="F11" i="35" a="1"/>
  <c r="F11" i="35" s="1"/>
  <c r="F10" i="35" a="1"/>
  <c r="F10" i="35" s="1"/>
  <c r="F7" i="25"/>
  <c r="B35" i="24"/>
  <c r="B33" i="24"/>
  <c r="B25" i="24"/>
  <c r="B7" i="24"/>
  <c r="B6" i="24"/>
  <c r="BV275" i="23"/>
  <c r="BU275" i="23"/>
  <c r="BT275" i="23"/>
  <c r="BR275" i="23"/>
  <c r="BO275" i="23"/>
  <c r="BN275" i="23"/>
  <c r="BM275" i="23"/>
  <c r="BJ275" i="23"/>
  <c r="BH275" i="23"/>
  <c r="BF275" i="23"/>
  <c r="BC275" i="23"/>
  <c r="BA275" i="23"/>
  <c r="AX275" i="23"/>
  <c r="AU275" i="23"/>
  <c r="AT275" i="23"/>
  <c r="AS275" i="23"/>
  <c r="AP275" i="23"/>
  <c r="AO275" i="23"/>
  <c r="AN275" i="23"/>
  <c r="AG275" i="23"/>
  <c r="AF275" i="23"/>
  <c r="AE275" i="23"/>
  <c r="AH275" i="23" s="1"/>
  <c r="AA275" i="23"/>
  <c r="AB275" i="23" s="1"/>
  <c r="V275" i="23"/>
  <c r="S275" i="23"/>
  <c r="BV274" i="23"/>
  <c r="BU274" i="23"/>
  <c r="BT274" i="23"/>
  <c r="BR274" i="23"/>
  <c r="BO274" i="23"/>
  <c r="BN274" i="23"/>
  <c r="BM274" i="23"/>
  <c r="BJ274" i="23"/>
  <c r="BH274" i="23"/>
  <c r="BF274" i="23"/>
  <c r="BC274" i="23"/>
  <c r="BA274" i="23"/>
  <c r="AX274" i="23"/>
  <c r="AU274" i="23"/>
  <c r="AT274" i="23"/>
  <c r="AS274" i="23"/>
  <c r="AP274" i="23"/>
  <c r="AO274" i="23"/>
  <c r="AN274" i="23"/>
  <c r="AH274" i="23"/>
  <c r="AG274" i="23"/>
  <c r="AE274" i="23"/>
  <c r="AF274" i="23" s="1"/>
  <c r="AA274" i="23"/>
  <c r="AB274" i="23" s="1"/>
  <c r="V274" i="23"/>
  <c r="S274" i="23"/>
  <c r="BV273" i="23"/>
  <c r="BU273" i="23"/>
  <c r="BT273" i="23"/>
  <c r="BR273" i="23"/>
  <c r="BO273" i="23"/>
  <c r="BN273" i="23"/>
  <c r="BM273" i="23"/>
  <c r="BJ273" i="23"/>
  <c r="BH273" i="23"/>
  <c r="BF273" i="23"/>
  <c r="BC273" i="23"/>
  <c r="BA273" i="23"/>
  <c r="AX273" i="23"/>
  <c r="AU273" i="23"/>
  <c r="AT273" i="23"/>
  <c r="AS273" i="23"/>
  <c r="AP273" i="23"/>
  <c r="AO273" i="23"/>
  <c r="AN273" i="23"/>
  <c r="AH273" i="23"/>
  <c r="AG273" i="23"/>
  <c r="AF273" i="23"/>
  <c r="AE273" i="23"/>
  <c r="AA273" i="23"/>
  <c r="AB273" i="23" s="1"/>
  <c r="V273" i="23"/>
  <c r="S273" i="23"/>
  <c r="BV272" i="23"/>
  <c r="BU272" i="23"/>
  <c r="BT272" i="23"/>
  <c r="BR272" i="23"/>
  <c r="BO272" i="23"/>
  <c r="BN272" i="23"/>
  <c r="BM272" i="23"/>
  <c r="BJ272" i="23"/>
  <c r="BH272" i="23"/>
  <c r="BF272" i="23"/>
  <c r="BC272" i="23"/>
  <c r="BA272" i="23"/>
  <c r="AX272" i="23"/>
  <c r="AU272" i="23"/>
  <c r="AT272" i="23"/>
  <c r="AS272" i="23"/>
  <c r="AP272" i="23"/>
  <c r="AO272" i="23"/>
  <c r="AN272" i="23"/>
  <c r="AH272" i="23"/>
  <c r="AG272" i="23"/>
  <c r="AF272" i="23"/>
  <c r="AE272" i="23"/>
  <c r="AA272" i="23"/>
  <c r="AB272" i="23" s="1"/>
  <c r="V272" i="23"/>
  <c r="S272" i="23"/>
  <c r="BV271" i="23"/>
  <c r="BU271" i="23"/>
  <c r="BT271" i="23"/>
  <c r="BR271" i="23"/>
  <c r="BN271" i="23"/>
  <c r="BM271" i="23"/>
  <c r="BJ271" i="23"/>
  <c r="BF271" i="23"/>
  <c r="BC271" i="23"/>
  <c r="BA271" i="23"/>
  <c r="AX271" i="23"/>
  <c r="AU271" i="23"/>
  <c r="AT271" i="23"/>
  <c r="AS271" i="23"/>
  <c r="AP271" i="23"/>
  <c r="AO271" i="23"/>
  <c r="AN271" i="23"/>
  <c r="AE271" i="23"/>
  <c r="AA271" i="23"/>
  <c r="AB271" i="23" s="1"/>
  <c r="V271" i="23"/>
  <c r="S271" i="23"/>
  <c r="BV270" i="23"/>
  <c r="BU270" i="23"/>
  <c r="BT270" i="23"/>
  <c r="BR270" i="23"/>
  <c r="BN270" i="23"/>
  <c r="BM270" i="23"/>
  <c r="BJ270" i="23"/>
  <c r="BF270" i="23"/>
  <c r="BC270" i="23"/>
  <c r="BA270" i="23"/>
  <c r="AX270" i="23"/>
  <c r="AU270" i="23"/>
  <c r="AT270" i="23"/>
  <c r="AS270" i="23"/>
  <c r="AP270" i="23"/>
  <c r="AO270" i="23"/>
  <c r="AN270" i="23"/>
  <c r="AH270" i="23"/>
  <c r="AG270" i="23"/>
  <c r="AF270" i="23"/>
  <c r="AE270" i="23"/>
  <c r="AA270" i="23"/>
  <c r="AB270" i="23" s="1"/>
  <c r="V270" i="23"/>
  <c r="S270" i="23"/>
  <c r="BV269" i="23"/>
  <c r="BU269" i="23"/>
  <c r="BT269" i="23"/>
  <c r="BR269" i="23"/>
  <c r="BN269" i="23"/>
  <c r="BM269" i="23"/>
  <c r="BJ269" i="23"/>
  <c r="BF269" i="23"/>
  <c r="BC269" i="23"/>
  <c r="BA269" i="23"/>
  <c r="AY269" i="23"/>
  <c r="AX269" i="23"/>
  <c r="AU269" i="23"/>
  <c r="AT269" i="23"/>
  <c r="AS269" i="23"/>
  <c r="AP269" i="23"/>
  <c r="AO269" i="23"/>
  <c r="AN269" i="23"/>
  <c r="AF269" i="23"/>
  <c r="AE269" i="23"/>
  <c r="AA269" i="23"/>
  <c r="AB269" i="23" s="1"/>
  <c r="V269" i="23"/>
  <c r="S269" i="23"/>
  <c r="BV268" i="23"/>
  <c r="BU268" i="23"/>
  <c r="BT268" i="23"/>
  <c r="BR268" i="23"/>
  <c r="BN268" i="23"/>
  <c r="BM268" i="23"/>
  <c r="BJ268" i="23"/>
  <c r="BF268" i="23"/>
  <c r="BC268" i="23"/>
  <c r="BA268" i="23"/>
  <c r="AY268" i="23"/>
  <c r="AX268" i="23"/>
  <c r="AT268" i="23"/>
  <c r="AS268" i="23"/>
  <c r="AU268" i="23" s="1"/>
  <c r="AP268" i="23"/>
  <c r="AO268" i="23"/>
  <c r="AN268" i="23"/>
  <c r="AG268" i="23"/>
  <c r="AF268" i="23"/>
  <c r="AE268" i="23"/>
  <c r="AH268" i="23" s="1"/>
  <c r="AA268" i="23"/>
  <c r="AB268" i="23" s="1"/>
  <c r="V268" i="23"/>
  <c r="S268" i="23"/>
  <c r="BV267" i="23"/>
  <c r="BU267" i="23"/>
  <c r="BT267" i="23"/>
  <c r="BR267" i="23"/>
  <c r="BN267" i="23"/>
  <c r="BM267" i="23"/>
  <c r="BJ267" i="23"/>
  <c r="BG267" i="23"/>
  <c r="BF267" i="23"/>
  <c r="BC267" i="23"/>
  <c r="BA267" i="23"/>
  <c r="AY267" i="23"/>
  <c r="AX267" i="23"/>
  <c r="AT267" i="23"/>
  <c r="AS267" i="23"/>
  <c r="AU267" i="23" s="1"/>
  <c r="AP267" i="23"/>
  <c r="AO267" i="23"/>
  <c r="AN267" i="23"/>
  <c r="AH267" i="23"/>
  <c r="AG267" i="23"/>
  <c r="AE267" i="23"/>
  <c r="AF267" i="23" s="1"/>
  <c r="AA267" i="23"/>
  <c r="AB267" i="23" s="1"/>
  <c r="V267" i="23"/>
  <c r="S267" i="23"/>
  <c r="BV266" i="23"/>
  <c r="BU266" i="23"/>
  <c r="BT266" i="23"/>
  <c r="BR266" i="23"/>
  <c r="BN266" i="23"/>
  <c r="BM266" i="23"/>
  <c r="BJ266" i="23"/>
  <c r="BF266" i="23"/>
  <c r="BC266" i="23"/>
  <c r="BA266" i="23"/>
  <c r="AY266" i="23"/>
  <c r="AX266" i="23"/>
  <c r="AT266" i="23"/>
  <c r="BG266" i="23" s="1"/>
  <c r="AS266" i="23"/>
  <c r="AU266" i="23" s="1"/>
  <c r="AP266" i="23"/>
  <c r="AO266" i="23"/>
  <c r="AN266" i="23"/>
  <c r="AE266" i="23"/>
  <c r="AA266" i="23"/>
  <c r="AB266" i="23" s="1"/>
  <c r="V266" i="23"/>
  <c r="S266" i="23"/>
  <c r="BV265" i="23"/>
  <c r="BU265" i="23"/>
  <c r="BT265" i="23"/>
  <c r="BR265" i="23"/>
  <c r="BN265" i="23"/>
  <c r="BM265" i="23"/>
  <c r="BJ265" i="23"/>
  <c r="BG265" i="23"/>
  <c r="BF265" i="23"/>
  <c r="BC265" i="23"/>
  <c r="BA265" i="23"/>
  <c r="AY265" i="23"/>
  <c r="AX265" i="23"/>
  <c r="AT265" i="23"/>
  <c r="AS265" i="23"/>
  <c r="AU265" i="23" s="1"/>
  <c r="AP265" i="23"/>
  <c r="AO265" i="23"/>
  <c r="AN265" i="23"/>
  <c r="AH265" i="23"/>
  <c r="AG265" i="23"/>
  <c r="AE265" i="23"/>
  <c r="AF265" i="23" s="1"/>
  <c r="AA265" i="23"/>
  <c r="AB265" i="23" s="1"/>
  <c r="V265" i="23"/>
  <c r="S265" i="23"/>
  <c r="BV264" i="23"/>
  <c r="BU264" i="23"/>
  <c r="BT264" i="23"/>
  <c r="BR264" i="23"/>
  <c r="BN264" i="23"/>
  <c r="BM264" i="23"/>
  <c r="BJ264" i="23"/>
  <c r="BG264" i="23"/>
  <c r="BF264" i="23"/>
  <c r="BC264" i="23"/>
  <c r="BA264" i="23"/>
  <c r="AY264" i="23"/>
  <c r="AX264" i="23"/>
  <c r="AT264" i="23"/>
  <c r="AS264" i="23"/>
  <c r="AU264" i="23" s="1"/>
  <c r="AP264" i="23"/>
  <c r="AO264" i="23"/>
  <c r="AN264" i="23"/>
  <c r="AH264" i="23"/>
  <c r="AE264" i="23"/>
  <c r="AA264" i="23"/>
  <c r="AB264" i="23" s="1"/>
  <c r="V264" i="23"/>
  <c r="S264" i="23"/>
  <c r="BV263" i="23"/>
  <c r="BU263" i="23"/>
  <c r="BT263" i="23"/>
  <c r="BR263" i="23"/>
  <c r="BN263" i="23"/>
  <c r="BM263" i="23"/>
  <c r="BJ263" i="23"/>
  <c r="BG263" i="23"/>
  <c r="BF263" i="23"/>
  <c r="BC263" i="23"/>
  <c r="BA263" i="23"/>
  <c r="AY263" i="23"/>
  <c r="AX263" i="23"/>
  <c r="AT263" i="23"/>
  <c r="AS263" i="23"/>
  <c r="AU263" i="23" s="1"/>
  <c r="AP263" i="23"/>
  <c r="AO263" i="23"/>
  <c r="AN263" i="23"/>
  <c r="AH263" i="23"/>
  <c r="AG263" i="23"/>
  <c r="AF263" i="23"/>
  <c r="AE263" i="23"/>
  <c r="AA263" i="23"/>
  <c r="AB263" i="23" s="1"/>
  <c r="V263" i="23"/>
  <c r="S263" i="23"/>
  <c r="BV262" i="23"/>
  <c r="BU262" i="23"/>
  <c r="BT262" i="23"/>
  <c r="BR262" i="23"/>
  <c r="BN262" i="23"/>
  <c r="BM262" i="23"/>
  <c r="BJ262" i="23"/>
  <c r="BG262" i="23"/>
  <c r="BF262" i="23"/>
  <c r="BC262" i="23"/>
  <c r="BA262" i="23"/>
  <c r="AY262" i="23"/>
  <c r="AX262" i="23"/>
  <c r="AT262" i="23"/>
  <c r="AS262" i="23"/>
  <c r="AU262" i="23" s="1"/>
  <c r="AP262" i="23"/>
  <c r="AO262" i="23"/>
  <c r="AN262" i="23"/>
  <c r="AH262" i="23"/>
  <c r="AG262" i="23"/>
  <c r="AF262" i="23"/>
  <c r="AE262" i="23"/>
  <c r="AA262" i="23"/>
  <c r="AB262" i="23" s="1"/>
  <c r="V262" i="23"/>
  <c r="S262" i="23"/>
  <c r="BV261" i="23"/>
  <c r="BU261" i="23"/>
  <c r="BT261" i="23"/>
  <c r="BR261" i="23"/>
  <c r="BN261" i="23"/>
  <c r="BM261" i="23"/>
  <c r="BJ261" i="23"/>
  <c r="BG261" i="23"/>
  <c r="BF261" i="23"/>
  <c r="BC261" i="23"/>
  <c r="BA261" i="23"/>
  <c r="AY261" i="23"/>
  <c r="AX261" i="23"/>
  <c r="AT261" i="23"/>
  <c r="AS261" i="23"/>
  <c r="AU261" i="23" s="1"/>
  <c r="AP261" i="23"/>
  <c r="AO261" i="23"/>
  <c r="AN261" i="23"/>
  <c r="AH261" i="23"/>
  <c r="AG261" i="23"/>
  <c r="AF261" i="23"/>
  <c r="AE261" i="23"/>
  <c r="AA261" i="23"/>
  <c r="AB261" i="23" s="1"/>
  <c r="V261" i="23"/>
  <c r="S261" i="23"/>
  <c r="BV260" i="23"/>
  <c r="BU260" i="23"/>
  <c r="BT260" i="23"/>
  <c r="BR260" i="23"/>
  <c r="BN260" i="23"/>
  <c r="BM260" i="23"/>
  <c r="BJ260" i="23"/>
  <c r="BF260" i="23"/>
  <c r="BC260" i="23"/>
  <c r="BA260" i="23"/>
  <c r="AY260" i="23"/>
  <c r="AX260" i="23"/>
  <c r="AT260" i="23"/>
  <c r="BG260" i="23" s="1"/>
  <c r="AS260" i="23"/>
  <c r="AU260" i="23" s="1"/>
  <c r="AP260" i="23"/>
  <c r="AO260" i="23"/>
  <c r="AN260" i="23"/>
  <c r="AH260" i="23"/>
  <c r="AG260" i="23"/>
  <c r="AF260" i="23"/>
  <c r="AE260" i="23"/>
  <c r="AA260" i="23"/>
  <c r="AB260" i="23" s="1"/>
  <c r="V260" i="23"/>
  <c r="S260" i="23"/>
  <c r="BV259" i="23"/>
  <c r="BU259" i="23"/>
  <c r="BT259" i="23"/>
  <c r="BR259" i="23"/>
  <c r="BN259" i="23"/>
  <c r="BM259" i="23"/>
  <c r="BJ259" i="23"/>
  <c r="BG259" i="23"/>
  <c r="BF259" i="23"/>
  <c r="BC259" i="23"/>
  <c r="BA259" i="23"/>
  <c r="AY259" i="23"/>
  <c r="AX259" i="23"/>
  <c r="AT259" i="23"/>
  <c r="AS259" i="23"/>
  <c r="AU259" i="23" s="1"/>
  <c r="AP259" i="23"/>
  <c r="AO259" i="23"/>
  <c r="AN259" i="23"/>
  <c r="AE259" i="23"/>
  <c r="AA259" i="23"/>
  <c r="AB259" i="23" s="1"/>
  <c r="V259" i="23"/>
  <c r="S259" i="23"/>
  <c r="BV258" i="23"/>
  <c r="BU258" i="23"/>
  <c r="BT258" i="23"/>
  <c r="BR258" i="23"/>
  <c r="BN258" i="23"/>
  <c r="BM258" i="23"/>
  <c r="BJ258" i="23"/>
  <c r="BF258" i="23"/>
  <c r="BC258" i="23"/>
  <c r="BA258" i="23"/>
  <c r="AY258" i="23"/>
  <c r="AX258" i="23"/>
  <c r="AT258" i="23"/>
  <c r="BG258" i="23" s="1"/>
  <c r="AS258" i="23"/>
  <c r="AU258" i="23" s="1"/>
  <c r="AP258" i="23"/>
  <c r="AO258" i="23"/>
  <c r="AN258" i="23"/>
  <c r="AH258" i="23"/>
  <c r="AE258" i="23"/>
  <c r="AG258" i="23" s="1"/>
  <c r="AA258" i="23"/>
  <c r="AB258" i="23" s="1"/>
  <c r="V258" i="23"/>
  <c r="S258" i="23"/>
  <c r="BV257" i="23"/>
  <c r="BU257" i="23"/>
  <c r="BT257" i="23"/>
  <c r="BR257" i="23"/>
  <c r="BN257" i="23"/>
  <c r="BM257" i="23"/>
  <c r="BJ257" i="23"/>
  <c r="BF257" i="23"/>
  <c r="BC257" i="23"/>
  <c r="BA257" i="23"/>
  <c r="AY257" i="23"/>
  <c r="AX257" i="23"/>
  <c r="AU257" i="23"/>
  <c r="AT257" i="23"/>
  <c r="BG257" i="23" s="1"/>
  <c r="AS257" i="23"/>
  <c r="AP257" i="23"/>
  <c r="AO257" i="23"/>
  <c r="AN257" i="23"/>
  <c r="AE257" i="23"/>
  <c r="AH257" i="23" s="1"/>
  <c r="AA257" i="23"/>
  <c r="AB257" i="23" s="1"/>
  <c r="V257" i="23"/>
  <c r="S257" i="23"/>
  <c r="BV256" i="23"/>
  <c r="BU256" i="23"/>
  <c r="BT256" i="23"/>
  <c r="BR256" i="23"/>
  <c r="BN256" i="23"/>
  <c r="BM256" i="23"/>
  <c r="BJ256" i="23"/>
  <c r="BG256" i="23"/>
  <c r="BF256" i="23"/>
  <c r="BC256" i="23"/>
  <c r="BA256" i="23"/>
  <c r="AY256" i="23"/>
  <c r="AX256" i="23"/>
  <c r="AU256" i="23"/>
  <c r="AT256" i="23"/>
  <c r="AS256" i="23"/>
  <c r="AP256" i="23"/>
  <c r="AO256" i="23"/>
  <c r="AN256" i="23"/>
  <c r="AH256" i="23"/>
  <c r="AG256" i="23"/>
  <c r="AF256" i="23"/>
  <c r="AE256" i="23"/>
  <c r="AA256" i="23"/>
  <c r="AB256" i="23" s="1"/>
  <c r="V256" i="23"/>
  <c r="S256" i="23"/>
  <c r="BV255" i="23"/>
  <c r="BU255" i="23"/>
  <c r="BT255" i="23"/>
  <c r="BR255" i="23"/>
  <c r="BN255" i="23"/>
  <c r="BM255" i="23"/>
  <c r="BJ255" i="23"/>
  <c r="BG255" i="23"/>
  <c r="BF255" i="23"/>
  <c r="BC255" i="23"/>
  <c r="BA255" i="23"/>
  <c r="AY255" i="23"/>
  <c r="AX255" i="23"/>
  <c r="AU255" i="23"/>
  <c r="AT255" i="23"/>
  <c r="AS255" i="23"/>
  <c r="AP255" i="23"/>
  <c r="AO255" i="23"/>
  <c r="AN255" i="23"/>
  <c r="AH255" i="23"/>
  <c r="AF255" i="23"/>
  <c r="AE255" i="23"/>
  <c r="AG255" i="23" s="1"/>
  <c r="AA255" i="23"/>
  <c r="AB255" i="23" s="1"/>
  <c r="V255" i="23"/>
  <c r="S255" i="23"/>
  <c r="BV254" i="23"/>
  <c r="BU254" i="23"/>
  <c r="BT254" i="23"/>
  <c r="BR254" i="23"/>
  <c r="BN254" i="23"/>
  <c r="BM254" i="23"/>
  <c r="BJ254" i="23"/>
  <c r="BF254" i="23"/>
  <c r="BC254" i="23"/>
  <c r="BA254" i="23"/>
  <c r="AY254" i="23"/>
  <c r="AX254" i="23"/>
  <c r="AT254" i="23"/>
  <c r="BG254" i="23" s="1"/>
  <c r="AS254" i="23"/>
  <c r="AU254" i="23" s="1"/>
  <c r="AP254" i="23"/>
  <c r="AO254" i="23"/>
  <c r="AN254" i="23"/>
  <c r="AH254" i="23"/>
  <c r="AG254" i="23"/>
  <c r="AF254" i="23"/>
  <c r="AE254" i="23"/>
  <c r="AA254" i="23"/>
  <c r="AB254" i="23" s="1"/>
  <c r="V254" i="23"/>
  <c r="S254" i="23"/>
  <c r="BV253" i="23"/>
  <c r="BU253" i="23"/>
  <c r="BT253" i="23"/>
  <c r="BR253" i="23"/>
  <c r="BN253" i="23"/>
  <c r="BM253" i="23"/>
  <c r="BJ253" i="23"/>
  <c r="BG253" i="23"/>
  <c r="BF253" i="23"/>
  <c r="BC253" i="23"/>
  <c r="BA253" i="23"/>
  <c r="AY253" i="23"/>
  <c r="AX253" i="23"/>
  <c r="AT253" i="23"/>
  <c r="AS253" i="23"/>
  <c r="AU253" i="23" s="1"/>
  <c r="AP253" i="23"/>
  <c r="AO253" i="23"/>
  <c r="AN253" i="23"/>
  <c r="AH253" i="23"/>
  <c r="AG253" i="23"/>
  <c r="AF253" i="23"/>
  <c r="AE253" i="23"/>
  <c r="AA253" i="23"/>
  <c r="AB253" i="23" s="1"/>
  <c r="V253" i="23"/>
  <c r="S253" i="23"/>
  <c r="BV252" i="23"/>
  <c r="BU252" i="23"/>
  <c r="BT252" i="23"/>
  <c r="BR252" i="23"/>
  <c r="BN252" i="23"/>
  <c r="BM252" i="23"/>
  <c r="BJ252" i="23"/>
  <c r="BF252" i="23"/>
  <c r="BC252" i="23"/>
  <c r="BA252" i="23"/>
  <c r="AY252" i="23"/>
  <c r="AX252" i="23"/>
  <c r="AU252" i="23"/>
  <c r="AT252" i="23"/>
  <c r="BG252" i="23" s="1"/>
  <c r="AS252" i="23"/>
  <c r="AP252" i="23"/>
  <c r="AO252" i="23"/>
  <c r="AN252" i="23"/>
  <c r="AH252" i="23"/>
  <c r="AG252" i="23"/>
  <c r="AF252" i="23"/>
  <c r="AE252" i="23"/>
  <c r="AA252" i="23"/>
  <c r="AB252" i="23" s="1"/>
  <c r="V252" i="23"/>
  <c r="S252" i="23"/>
  <c r="BV251" i="23"/>
  <c r="BU251" i="23"/>
  <c r="BT251" i="23"/>
  <c r="BR251" i="23"/>
  <c r="BN251" i="23"/>
  <c r="BM251" i="23"/>
  <c r="BJ251" i="23"/>
  <c r="BF251" i="23"/>
  <c r="BC251" i="23"/>
  <c r="BA251" i="23"/>
  <c r="AY251" i="23"/>
  <c r="AX251" i="23"/>
  <c r="AU251" i="23"/>
  <c r="AT251" i="23"/>
  <c r="BG251" i="23" s="1"/>
  <c r="AS251" i="23"/>
  <c r="AP251" i="23"/>
  <c r="AO251" i="23"/>
  <c r="AN251" i="23"/>
  <c r="AG251" i="23"/>
  <c r="AF251" i="23"/>
  <c r="AE251" i="23"/>
  <c r="AH251" i="23" s="1"/>
  <c r="AA251" i="23"/>
  <c r="AB251" i="23" s="1"/>
  <c r="V251" i="23"/>
  <c r="S251" i="23"/>
  <c r="BV250" i="23"/>
  <c r="BU250" i="23"/>
  <c r="BT250" i="23"/>
  <c r="BR250" i="23"/>
  <c r="BN250" i="23"/>
  <c r="BM250" i="23"/>
  <c r="BJ250" i="23"/>
  <c r="BG250" i="23"/>
  <c r="BF250" i="23"/>
  <c r="BC250" i="23"/>
  <c r="BA250" i="23"/>
  <c r="AY250" i="23"/>
  <c r="AX250" i="23"/>
  <c r="AT250" i="23"/>
  <c r="AS250" i="23"/>
  <c r="AU250" i="23" s="1"/>
  <c r="AP250" i="23"/>
  <c r="AO250" i="23"/>
  <c r="AN250" i="23"/>
  <c r="AG250" i="23"/>
  <c r="AF250" i="23"/>
  <c r="AE250" i="23"/>
  <c r="AH250" i="23" s="1"/>
  <c r="AA250" i="23"/>
  <c r="AB250" i="23" s="1"/>
  <c r="V250" i="23"/>
  <c r="S250" i="23"/>
  <c r="BV249" i="23"/>
  <c r="BU249" i="23"/>
  <c r="BT249" i="23"/>
  <c r="BR249" i="23"/>
  <c r="BN249" i="23"/>
  <c r="BM249" i="23"/>
  <c r="BJ249" i="23"/>
  <c r="BG249" i="23"/>
  <c r="BF249" i="23"/>
  <c r="BC249" i="23"/>
  <c r="BA249" i="23"/>
  <c r="AY249" i="23"/>
  <c r="AX249" i="23"/>
  <c r="AU249" i="23"/>
  <c r="AT249" i="23"/>
  <c r="AS249" i="23"/>
  <c r="AP249" i="23"/>
  <c r="AO249" i="23"/>
  <c r="AN249" i="23"/>
  <c r="AH249" i="23"/>
  <c r="AG249" i="23"/>
  <c r="AF249" i="23"/>
  <c r="AE249" i="23"/>
  <c r="AA249" i="23"/>
  <c r="AB249" i="23" s="1"/>
  <c r="V249" i="23"/>
  <c r="S249" i="23"/>
  <c r="BV248" i="23"/>
  <c r="BU248" i="23"/>
  <c r="BT248" i="23"/>
  <c r="BR248" i="23"/>
  <c r="BN248" i="23"/>
  <c r="BM248" i="23"/>
  <c r="BJ248" i="23"/>
  <c r="BF248" i="23"/>
  <c r="BC248" i="23"/>
  <c r="BA248" i="23"/>
  <c r="AY248" i="23"/>
  <c r="AX248" i="23"/>
  <c r="AU248" i="23"/>
  <c r="AT248" i="23"/>
  <c r="BG248" i="23" s="1"/>
  <c r="AS248" i="23"/>
  <c r="AP248" i="23"/>
  <c r="AO248" i="23"/>
  <c r="AN248" i="23"/>
  <c r="AH248" i="23"/>
  <c r="AG248" i="23"/>
  <c r="AF248" i="23"/>
  <c r="AE248" i="23"/>
  <c r="AB248" i="23"/>
  <c r="AA248" i="23"/>
  <c r="V248" i="23"/>
  <c r="S248" i="23"/>
  <c r="BV247" i="23"/>
  <c r="BU247" i="23"/>
  <c r="BT247" i="23"/>
  <c r="BR247" i="23"/>
  <c r="BN247" i="23"/>
  <c r="BM247" i="23"/>
  <c r="BJ247" i="23"/>
  <c r="BF247" i="23"/>
  <c r="BC247" i="23"/>
  <c r="BA247" i="23"/>
  <c r="AY247" i="23"/>
  <c r="AX247" i="23"/>
  <c r="AU247" i="23"/>
  <c r="AT247" i="23"/>
  <c r="BG247" i="23" s="1"/>
  <c r="AS247" i="23"/>
  <c r="AP247" i="23"/>
  <c r="AO247" i="23"/>
  <c r="AN247" i="23"/>
  <c r="AG247" i="23"/>
  <c r="AF247" i="23"/>
  <c r="AE247" i="23"/>
  <c r="AH247" i="23" s="1"/>
  <c r="AA247" i="23"/>
  <c r="AB247" i="23" s="1"/>
  <c r="V247" i="23"/>
  <c r="S247" i="23"/>
  <c r="BV246" i="23"/>
  <c r="BU246" i="23"/>
  <c r="BT246" i="23"/>
  <c r="BR246" i="23"/>
  <c r="BN246" i="23"/>
  <c r="BM246" i="23"/>
  <c r="BJ246" i="23"/>
  <c r="BF246" i="23"/>
  <c r="BC246" i="23"/>
  <c r="BA246" i="23"/>
  <c r="AY246" i="23"/>
  <c r="AX246" i="23"/>
  <c r="AT246" i="23"/>
  <c r="BG246" i="23" s="1"/>
  <c r="AS246" i="23"/>
  <c r="AU246" i="23" s="1"/>
  <c r="AP246" i="23"/>
  <c r="AO246" i="23"/>
  <c r="AN246" i="23"/>
  <c r="AH246" i="23"/>
  <c r="AE246" i="23"/>
  <c r="AA246" i="23"/>
  <c r="AB246" i="23" s="1"/>
  <c r="V246" i="23"/>
  <c r="S246" i="23"/>
  <c r="BV245" i="23"/>
  <c r="BU245" i="23"/>
  <c r="BT245" i="23"/>
  <c r="BR245" i="23"/>
  <c r="BN245" i="23"/>
  <c r="BM245" i="23"/>
  <c r="BJ245" i="23"/>
  <c r="BF245" i="23"/>
  <c r="BC245" i="23"/>
  <c r="BA245" i="23"/>
  <c r="AY245" i="23"/>
  <c r="AX245" i="23"/>
  <c r="AU245" i="23"/>
  <c r="AT245" i="23"/>
  <c r="BG245" i="23" s="1"/>
  <c r="AS245" i="23"/>
  <c r="AP245" i="23"/>
  <c r="AO245" i="23"/>
  <c r="AN245" i="23"/>
  <c r="AG245" i="23"/>
  <c r="AE245" i="23"/>
  <c r="AA245" i="23"/>
  <c r="AB245" i="23" s="1"/>
  <c r="V245" i="23"/>
  <c r="S245" i="23"/>
  <c r="BV244" i="23"/>
  <c r="BU244" i="23"/>
  <c r="BT244" i="23"/>
  <c r="BR244" i="23"/>
  <c r="BN244" i="23"/>
  <c r="BM244" i="23"/>
  <c r="BJ244" i="23"/>
  <c r="BF244" i="23"/>
  <c r="BC244" i="23"/>
  <c r="BA244" i="23"/>
  <c r="AY244" i="23"/>
  <c r="AX244" i="23"/>
  <c r="AT244" i="23"/>
  <c r="BG244" i="23" s="1"/>
  <c r="AS244" i="23"/>
  <c r="AU244" i="23" s="1"/>
  <c r="AP244" i="23"/>
  <c r="AO244" i="23"/>
  <c r="AN244" i="23"/>
  <c r="AE244" i="23"/>
  <c r="AA244" i="23"/>
  <c r="AB244" i="23" s="1"/>
  <c r="V244" i="23"/>
  <c r="S244" i="23"/>
  <c r="BV243" i="23"/>
  <c r="BU243" i="23"/>
  <c r="BT243" i="23"/>
  <c r="BR243" i="23"/>
  <c r="BN243" i="23"/>
  <c r="BM243" i="23"/>
  <c r="BJ243" i="23"/>
  <c r="BG243" i="23"/>
  <c r="BF243" i="23"/>
  <c r="BC243" i="23"/>
  <c r="BA243" i="23"/>
  <c r="AY243" i="23"/>
  <c r="AX243" i="23"/>
  <c r="AT243" i="23"/>
  <c r="AS243" i="23"/>
  <c r="AU243" i="23" s="1"/>
  <c r="AP243" i="23"/>
  <c r="AO243" i="23"/>
  <c r="AN243" i="23"/>
  <c r="AH243" i="23"/>
  <c r="AG243" i="23"/>
  <c r="AE243" i="23"/>
  <c r="AF243" i="23" s="1"/>
  <c r="AA243" i="23"/>
  <c r="AB243" i="23" s="1"/>
  <c r="V243" i="23"/>
  <c r="S243" i="23"/>
  <c r="BV242" i="23"/>
  <c r="BU242" i="23"/>
  <c r="BT242" i="23"/>
  <c r="BR242" i="23"/>
  <c r="BN242" i="23"/>
  <c r="BM242" i="23"/>
  <c r="BJ242" i="23"/>
  <c r="BG242" i="23"/>
  <c r="BF242" i="23"/>
  <c r="BC242" i="23"/>
  <c r="BA242" i="23"/>
  <c r="AY242" i="23"/>
  <c r="AX242" i="23"/>
  <c r="AU242" i="23"/>
  <c r="AT242" i="23"/>
  <c r="AS242" i="23"/>
  <c r="AP242" i="23"/>
  <c r="AO242" i="23"/>
  <c r="AN242" i="23"/>
  <c r="AH242" i="23"/>
  <c r="AG242" i="23"/>
  <c r="AE242" i="23"/>
  <c r="AF242" i="23" s="1"/>
  <c r="AA242" i="23"/>
  <c r="AB242" i="23" s="1"/>
  <c r="V242" i="23"/>
  <c r="S242" i="23"/>
  <c r="BV241" i="23"/>
  <c r="BU241" i="23"/>
  <c r="BT241" i="23"/>
  <c r="BR241" i="23"/>
  <c r="BN241" i="23"/>
  <c r="BM241" i="23"/>
  <c r="BJ241" i="23"/>
  <c r="BF241" i="23"/>
  <c r="BC241" i="23"/>
  <c r="BA241" i="23"/>
  <c r="AY241" i="23"/>
  <c r="AX241" i="23"/>
  <c r="AU241" i="23"/>
  <c r="AT241" i="23"/>
  <c r="BG241" i="23" s="1"/>
  <c r="AS241" i="23"/>
  <c r="AP241" i="23"/>
  <c r="AO241" i="23"/>
  <c r="AN241" i="23"/>
  <c r="AF241" i="23"/>
  <c r="AE241" i="23"/>
  <c r="AA241" i="23"/>
  <c r="AB241" i="23" s="1"/>
  <c r="V241" i="23"/>
  <c r="S241" i="23"/>
  <c r="BV240" i="23"/>
  <c r="BU240" i="23"/>
  <c r="BT240" i="23"/>
  <c r="BR240" i="23"/>
  <c r="BN240" i="23"/>
  <c r="BM240" i="23"/>
  <c r="BJ240" i="23"/>
  <c r="BG240" i="23"/>
  <c r="BF240" i="23"/>
  <c r="BC240" i="23"/>
  <c r="BA240" i="23"/>
  <c r="AY240" i="23"/>
  <c r="AX240" i="23"/>
  <c r="AT240" i="23"/>
  <c r="AS240" i="23"/>
  <c r="AU240" i="23" s="1"/>
  <c r="AP240" i="23"/>
  <c r="AO240" i="23"/>
  <c r="AN240" i="23"/>
  <c r="AE240" i="23"/>
  <c r="AA240" i="23"/>
  <c r="AB240" i="23" s="1"/>
  <c r="V240" i="23"/>
  <c r="S240" i="23"/>
  <c r="BV239" i="23"/>
  <c r="BU239" i="23"/>
  <c r="BT239" i="23"/>
  <c r="BR239" i="23"/>
  <c r="BN239" i="23"/>
  <c r="BM239" i="23"/>
  <c r="BJ239" i="23"/>
  <c r="BG239" i="23"/>
  <c r="BF239" i="23"/>
  <c r="BC239" i="23"/>
  <c r="BA239" i="23"/>
  <c r="AY239" i="23"/>
  <c r="AX239" i="23"/>
  <c r="AU239" i="23"/>
  <c r="AT239" i="23"/>
  <c r="AS239" i="23"/>
  <c r="AP239" i="23"/>
  <c r="AO239" i="23"/>
  <c r="AN239" i="23"/>
  <c r="AE239" i="23"/>
  <c r="AA239" i="23"/>
  <c r="AB239" i="23" s="1"/>
  <c r="V239" i="23"/>
  <c r="S239" i="23"/>
  <c r="BV238" i="23"/>
  <c r="BU238" i="23"/>
  <c r="BT238" i="23"/>
  <c r="BR238" i="23"/>
  <c r="BN238" i="23"/>
  <c r="BM238" i="23"/>
  <c r="BJ238" i="23"/>
  <c r="BG238" i="23"/>
  <c r="BF238" i="23"/>
  <c r="BC238" i="23"/>
  <c r="BA238" i="23"/>
  <c r="AY238" i="23"/>
  <c r="AX238" i="23"/>
  <c r="AU238" i="23"/>
  <c r="AT238" i="23"/>
  <c r="AS238" i="23"/>
  <c r="AP238" i="23"/>
  <c r="AO238" i="23"/>
  <c r="AN238" i="23"/>
  <c r="AG238" i="23"/>
  <c r="AF238" i="23"/>
  <c r="AE238" i="23"/>
  <c r="AH238" i="23" s="1"/>
  <c r="AA238" i="23"/>
  <c r="AB238" i="23" s="1"/>
  <c r="V238" i="23"/>
  <c r="S238" i="23"/>
  <c r="BV237" i="23"/>
  <c r="BU237" i="23"/>
  <c r="BT237" i="23"/>
  <c r="BR237" i="23"/>
  <c r="BN237" i="23"/>
  <c r="BM237" i="23"/>
  <c r="BJ237" i="23"/>
  <c r="BG237" i="23"/>
  <c r="BF237" i="23"/>
  <c r="BC237" i="23"/>
  <c r="BA237" i="23"/>
  <c r="AY237" i="23"/>
  <c r="AX237" i="23"/>
  <c r="AU237" i="23"/>
  <c r="AT237" i="23"/>
  <c r="AS237" i="23"/>
  <c r="AP237" i="23"/>
  <c r="AO237" i="23"/>
  <c r="AN237" i="23"/>
  <c r="AE237" i="23"/>
  <c r="AA237" i="23"/>
  <c r="AB237" i="23" s="1"/>
  <c r="V237" i="23"/>
  <c r="S237" i="23"/>
  <c r="BV236" i="23"/>
  <c r="BU236" i="23"/>
  <c r="BT236" i="23"/>
  <c r="BR236" i="23"/>
  <c r="BN236" i="23"/>
  <c r="BM236" i="23"/>
  <c r="BJ236" i="23"/>
  <c r="BF236" i="23"/>
  <c r="BC236" i="23"/>
  <c r="BA236" i="23"/>
  <c r="AY236" i="23"/>
  <c r="AX236" i="23"/>
  <c r="AT236" i="23"/>
  <c r="BG236" i="23" s="1"/>
  <c r="AS236" i="23"/>
  <c r="AU236" i="23" s="1"/>
  <c r="AP236" i="23"/>
  <c r="AO236" i="23"/>
  <c r="AN236" i="23"/>
  <c r="AE236" i="23"/>
  <c r="AA236" i="23"/>
  <c r="AB236" i="23" s="1"/>
  <c r="V236" i="23"/>
  <c r="S236" i="23"/>
  <c r="BV235" i="23"/>
  <c r="BU235" i="23"/>
  <c r="BT235" i="23"/>
  <c r="BR235" i="23"/>
  <c r="BN235" i="23"/>
  <c r="BM235" i="23"/>
  <c r="BJ235" i="23"/>
  <c r="BF235" i="23"/>
  <c r="BC235" i="23"/>
  <c r="BA235" i="23"/>
  <c r="AY235" i="23"/>
  <c r="AX235" i="23"/>
  <c r="AT235" i="23"/>
  <c r="BG235" i="23" s="1"/>
  <c r="AS235" i="23"/>
  <c r="AU235" i="23" s="1"/>
  <c r="AP235" i="23"/>
  <c r="AO235" i="23"/>
  <c r="AN235" i="23"/>
  <c r="AE235" i="23"/>
  <c r="AA235" i="23"/>
  <c r="AB235" i="23" s="1"/>
  <c r="V235" i="23"/>
  <c r="S235" i="23"/>
  <c r="BV234" i="23"/>
  <c r="BU234" i="23"/>
  <c r="BT234" i="23"/>
  <c r="BR234" i="23"/>
  <c r="BN234" i="23"/>
  <c r="BM234" i="23"/>
  <c r="BJ234" i="23"/>
  <c r="BF234" i="23"/>
  <c r="BC234" i="23"/>
  <c r="BA234" i="23"/>
  <c r="AY234" i="23"/>
  <c r="AX234" i="23"/>
  <c r="AT234" i="23"/>
  <c r="BG234" i="23" s="1"/>
  <c r="AS234" i="23"/>
  <c r="AU234" i="23" s="1"/>
  <c r="AP234" i="23"/>
  <c r="AO234" i="23"/>
  <c r="AN234" i="23"/>
  <c r="AH234" i="23"/>
  <c r="AE234" i="23"/>
  <c r="AG234" i="23" s="1"/>
  <c r="AA234" i="23"/>
  <c r="AB234" i="23" s="1"/>
  <c r="V234" i="23"/>
  <c r="S234" i="23"/>
  <c r="BV233" i="23"/>
  <c r="BU233" i="23"/>
  <c r="BT233" i="23"/>
  <c r="BR233" i="23"/>
  <c r="BN233" i="23"/>
  <c r="BM233" i="23"/>
  <c r="BJ233" i="23"/>
  <c r="BG233" i="23"/>
  <c r="BF233" i="23"/>
  <c r="BC233" i="23"/>
  <c r="BA233" i="23"/>
  <c r="AY233" i="23"/>
  <c r="AX233" i="23"/>
  <c r="AU233" i="23"/>
  <c r="AT233" i="23"/>
  <c r="AS233" i="23"/>
  <c r="AP233" i="23"/>
  <c r="AO233" i="23"/>
  <c r="AN233" i="23"/>
  <c r="AH233" i="23"/>
  <c r="AE233" i="23"/>
  <c r="AA233" i="23"/>
  <c r="AB233" i="23" s="1"/>
  <c r="V233" i="23"/>
  <c r="S233" i="23"/>
  <c r="BV232" i="23"/>
  <c r="BU232" i="23"/>
  <c r="BT232" i="23"/>
  <c r="BR232" i="23"/>
  <c r="BN232" i="23"/>
  <c r="BM232" i="23"/>
  <c r="BJ232" i="23"/>
  <c r="BG232" i="23"/>
  <c r="BF232" i="23"/>
  <c r="BC232" i="23"/>
  <c r="BA232" i="23"/>
  <c r="AY232" i="23"/>
  <c r="AX232" i="23"/>
  <c r="AU232" i="23"/>
  <c r="AT232" i="23"/>
  <c r="AS232" i="23"/>
  <c r="AP232" i="23"/>
  <c r="AO232" i="23"/>
  <c r="AN232" i="23"/>
  <c r="AH232" i="23"/>
  <c r="AG232" i="23"/>
  <c r="AF232" i="23"/>
  <c r="AE232" i="23"/>
  <c r="AA232" i="23"/>
  <c r="AB232" i="23" s="1"/>
  <c r="V232" i="23"/>
  <c r="S232" i="23"/>
  <c r="BV231" i="23"/>
  <c r="BU231" i="23"/>
  <c r="BT231" i="23"/>
  <c r="BR231" i="23"/>
  <c r="BN231" i="23"/>
  <c r="BM231" i="23"/>
  <c r="BJ231" i="23"/>
  <c r="BG231" i="23"/>
  <c r="BF231" i="23"/>
  <c r="BC231" i="23"/>
  <c r="BA231" i="23"/>
  <c r="AY231" i="23"/>
  <c r="AX231" i="23"/>
  <c r="AU231" i="23"/>
  <c r="AT231" i="23"/>
  <c r="AS231" i="23"/>
  <c r="AP231" i="23"/>
  <c r="AO231" i="23"/>
  <c r="AN231" i="23"/>
  <c r="AH231" i="23"/>
  <c r="AF231" i="23"/>
  <c r="AE231" i="23"/>
  <c r="AG231" i="23" s="1"/>
  <c r="AA231" i="23"/>
  <c r="AB231" i="23" s="1"/>
  <c r="V231" i="23"/>
  <c r="S231" i="23"/>
  <c r="BV230" i="23"/>
  <c r="BU230" i="23"/>
  <c r="BT230" i="23"/>
  <c r="BR230" i="23"/>
  <c r="BN230" i="23"/>
  <c r="BM230" i="23"/>
  <c r="BJ230" i="23"/>
  <c r="BF230" i="23"/>
  <c r="BC230" i="23"/>
  <c r="BA230" i="23"/>
  <c r="AY230" i="23"/>
  <c r="AX230" i="23"/>
  <c r="AU230" i="23"/>
  <c r="AT230" i="23"/>
  <c r="BG230" i="23" s="1"/>
  <c r="AS230" i="23"/>
  <c r="AP230" i="23"/>
  <c r="AO230" i="23"/>
  <c r="AN230" i="23"/>
  <c r="AH230" i="23"/>
  <c r="AG230" i="23"/>
  <c r="AF230" i="23"/>
  <c r="AE230" i="23"/>
  <c r="AA230" i="23"/>
  <c r="AB230" i="23" s="1"/>
  <c r="V230" i="23"/>
  <c r="S230" i="23"/>
  <c r="BV229" i="23"/>
  <c r="BU229" i="23"/>
  <c r="BT229" i="23"/>
  <c r="BR229" i="23"/>
  <c r="BN229" i="23"/>
  <c r="BM229" i="23"/>
  <c r="BJ229" i="23"/>
  <c r="BF229" i="23"/>
  <c r="BC229" i="23"/>
  <c r="BA229" i="23"/>
  <c r="AY229" i="23"/>
  <c r="AX229" i="23"/>
  <c r="AT229" i="23"/>
  <c r="BG229" i="23" s="1"/>
  <c r="AS229" i="23"/>
  <c r="AU229" i="23" s="1"/>
  <c r="AP229" i="23"/>
  <c r="AO229" i="23"/>
  <c r="AN229" i="23"/>
  <c r="AH229" i="23"/>
  <c r="AG229" i="23"/>
  <c r="AF229" i="23"/>
  <c r="AE229" i="23"/>
  <c r="AA229" i="23"/>
  <c r="AB229" i="23" s="1"/>
  <c r="V229" i="23"/>
  <c r="S229" i="23"/>
  <c r="BV228" i="23"/>
  <c r="BU228" i="23"/>
  <c r="BT228" i="23"/>
  <c r="BR228" i="23"/>
  <c r="BN228" i="23"/>
  <c r="BM228" i="23"/>
  <c r="BJ228" i="23"/>
  <c r="BG228" i="23"/>
  <c r="BF228" i="23"/>
  <c r="BC228" i="23"/>
  <c r="BA228" i="23"/>
  <c r="AY228" i="23"/>
  <c r="AX228" i="23"/>
  <c r="AT228" i="23"/>
  <c r="AS228" i="23"/>
  <c r="AU228" i="23" s="1"/>
  <c r="AP228" i="23"/>
  <c r="AO228" i="23"/>
  <c r="AN228" i="23"/>
  <c r="AE228" i="23"/>
  <c r="AA228" i="23"/>
  <c r="AB228" i="23" s="1"/>
  <c r="V228" i="23"/>
  <c r="S228" i="23"/>
  <c r="BV227" i="23"/>
  <c r="BU227" i="23"/>
  <c r="BT227" i="23"/>
  <c r="BR227" i="23"/>
  <c r="BN227" i="23"/>
  <c r="BM227" i="23"/>
  <c r="BJ227" i="23"/>
  <c r="BG227" i="23"/>
  <c r="BF227" i="23"/>
  <c r="BC227" i="23"/>
  <c r="BA227" i="23"/>
  <c r="AY227" i="23"/>
  <c r="AX227" i="23"/>
  <c r="AU227" i="23"/>
  <c r="AT227" i="23"/>
  <c r="AS227" i="23"/>
  <c r="AP227" i="23"/>
  <c r="AO227" i="23"/>
  <c r="AN227" i="23"/>
  <c r="AH227" i="23"/>
  <c r="AG227" i="23"/>
  <c r="AF227" i="23"/>
  <c r="AE227" i="23"/>
  <c r="AA227" i="23"/>
  <c r="AB227" i="23" s="1"/>
  <c r="V227" i="23"/>
  <c r="S227" i="23"/>
  <c r="BV226" i="23"/>
  <c r="BU226" i="23"/>
  <c r="BT226" i="23"/>
  <c r="BR226" i="23"/>
  <c r="BN226" i="23"/>
  <c r="BM226" i="23"/>
  <c r="BJ226" i="23"/>
  <c r="BG226" i="23"/>
  <c r="BF226" i="23"/>
  <c r="BC226" i="23"/>
  <c r="BA226" i="23"/>
  <c r="AY226" i="23"/>
  <c r="AX226" i="23"/>
  <c r="AT226" i="23"/>
  <c r="AS226" i="23"/>
  <c r="AU226" i="23" s="1"/>
  <c r="AP226" i="23"/>
  <c r="AO226" i="23"/>
  <c r="AN226" i="23"/>
  <c r="AF226" i="23"/>
  <c r="AE226" i="23"/>
  <c r="AA226" i="23"/>
  <c r="AB226" i="23" s="1"/>
  <c r="V226" i="23"/>
  <c r="S226" i="23"/>
  <c r="BV225" i="23"/>
  <c r="BU225" i="23"/>
  <c r="BT225" i="23"/>
  <c r="BR225" i="23"/>
  <c r="BN225" i="23"/>
  <c r="BM225" i="23"/>
  <c r="BJ225" i="23"/>
  <c r="BF225" i="23"/>
  <c r="BC225" i="23"/>
  <c r="BA225" i="23"/>
  <c r="AY225" i="23"/>
  <c r="AX225" i="23"/>
  <c r="AU225" i="23"/>
  <c r="AT225" i="23"/>
  <c r="BG225" i="23" s="1"/>
  <c r="AS225" i="23"/>
  <c r="AP225" i="23"/>
  <c r="AO225" i="23"/>
  <c r="AN225" i="23"/>
  <c r="AF225" i="23"/>
  <c r="AE225" i="23"/>
  <c r="AA225" i="23"/>
  <c r="AB225" i="23" s="1"/>
  <c r="V225" i="23"/>
  <c r="S225" i="23"/>
  <c r="BV224" i="23"/>
  <c r="BU224" i="23"/>
  <c r="BT224" i="23"/>
  <c r="BR224" i="23"/>
  <c r="BN224" i="23"/>
  <c r="BM224" i="23"/>
  <c r="BJ224" i="23"/>
  <c r="BF224" i="23"/>
  <c r="BC224" i="23"/>
  <c r="BA224" i="23"/>
  <c r="AY224" i="23"/>
  <c r="AX224" i="23"/>
  <c r="AU224" i="23"/>
  <c r="AT224" i="23"/>
  <c r="BG224" i="23" s="1"/>
  <c r="AS224" i="23"/>
  <c r="AP224" i="23"/>
  <c r="AO224" i="23"/>
  <c r="AN224" i="23"/>
  <c r="AH224" i="23"/>
  <c r="AG224" i="23"/>
  <c r="AE224" i="23"/>
  <c r="AF224" i="23" s="1"/>
  <c r="AA224" i="23"/>
  <c r="AB224" i="23" s="1"/>
  <c r="V224" i="23"/>
  <c r="S224" i="23"/>
  <c r="BV223" i="23"/>
  <c r="BU223" i="23"/>
  <c r="BT223" i="23"/>
  <c r="BR223" i="23"/>
  <c r="BN223" i="23"/>
  <c r="BM223" i="23"/>
  <c r="BJ223" i="23"/>
  <c r="BF223" i="23"/>
  <c r="BC223" i="23"/>
  <c r="BA223" i="23"/>
  <c r="AY223" i="23"/>
  <c r="AX223" i="23"/>
  <c r="AT223" i="23"/>
  <c r="BG223" i="23" s="1"/>
  <c r="AS223" i="23"/>
  <c r="AU223" i="23" s="1"/>
  <c r="AP223" i="23"/>
  <c r="AO223" i="23"/>
  <c r="AN223" i="23"/>
  <c r="AE223" i="23"/>
  <c r="AA223" i="23"/>
  <c r="AB223" i="23" s="1"/>
  <c r="V223" i="23"/>
  <c r="S223" i="23"/>
  <c r="BV222" i="23"/>
  <c r="BU222" i="23"/>
  <c r="BT222" i="23"/>
  <c r="BR222" i="23"/>
  <c r="BN222" i="23"/>
  <c r="BM222" i="23"/>
  <c r="BJ222" i="23"/>
  <c r="BF222" i="23"/>
  <c r="BC222" i="23"/>
  <c r="BA222" i="23"/>
  <c r="AY222" i="23"/>
  <c r="AX222" i="23"/>
  <c r="AT222" i="23"/>
  <c r="BG222" i="23" s="1"/>
  <c r="AS222" i="23"/>
  <c r="AU222" i="23" s="1"/>
  <c r="AP222" i="23"/>
  <c r="AO222" i="23"/>
  <c r="AN222" i="23"/>
  <c r="AH222" i="23"/>
  <c r="AE222" i="23"/>
  <c r="AA222" i="23"/>
  <c r="AB222" i="23" s="1"/>
  <c r="V222" i="23"/>
  <c r="S222" i="23"/>
  <c r="BV221" i="23"/>
  <c r="BU221" i="23"/>
  <c r="BT221" i="23"/>
  <c r="BR221" i="23"/>
  <c r="BN221" i="23"/>
  <c r="BM221" i="23"/>
  <c r="BJ221" i="23"/>
  <c r="BF221" i="23"/>
  <c r="BC221" i="23"/>
  <c r="BA221" i="23"/>
  <c r="AY221" i="23"/>
  <c r="AX221" i="23"/>
  <c r="AT221" i="23"/>
  <c r="BG221" i="23" s="1"/>
  <c r="AS221" i="23"/>
  <c r="AU221" i="23" s="1"/>
  <c r="AP221" i="23"/>
  <c r="AO221" i="23"/>
  <c r="AN221" i="23"/>
  <c r="AG221" i="23"/>
  <c r="AE221" i="23"/>
  <c r="AA221" i="23"/>
  <c r="AB221" i="23" s="1"/>
  <c r="V221" i="23"/>
  <c r="S221" i="23"/>
  <c r="BV220" i="23"/>
  <c r="BU220" i="23"/>
  <c r="BT220" i="23"/>
  <c r="BR220" i="23"/>
  <c r="BN220" i="23"/>
  <c r="BM220" i="23"/>
  <c r="BJ220" i="23"/>
  <c r="BG220" i="23"/>
  <c r="BF220" i="23"/>
  <c r="BC220" i="23"/>
  <c r="BA220" i="23"/>
  <c r="AY220" i="23"/>
  <c r="AX220" i="23"/>
  <c r="AT220" i="23"/>
  <c r="AS220" i="23"/>
  <c r="AU220" i="23" s="1"/>
  <c r="AP220" i="23"/>
  <c r="AO220" i="23"/>
  <c r="AN220" i="23"/>
  <c r="AG220" i="23"/>
  <c r="AE220" i="23"/>
  <c r="AA220" i="23"/>
  <c r="AB220" i="23" s="1"/>
  <c r="V220" i="23"/>
  <c r="S220" i="23"/>
  <c r="BV219" i="23"/>
  <c r="BU219" i="23"/>
  <c r="BT219" i="23"/>
  <c r="BR219" i="23"/>
  <c r="BN219" i="23"/>
  <c r="BM219" i="23"/>
  <c r="BJ219" i="23"/>
  <c r="BF219" i="23"/>
  <c r="BC219" i="23"/>
  <c r="BA219" i="23"/>
  <c r="AY219" i="23"/>
  <c r="AX219" i="23"/>
  <c r="AU219" i="23"/>
  <c r="AT219" i="23"/>
  <c r="BG219" i="23" s="1"/>
  <c r="AS219" i="23"/>
  <c r="AP219" i="23"/>
  <c r="AO219" i="23"/>
  <c r="AN219" i="23"/>
  <c r="AH219" i="23"/>
  <c r="AG219" i="23"/>
  <c r="AE219" i="23"/>
  <c r="AF219" i="23" s="1"/>
  <c r="AA219" i="23"/>
  <c r="AB219" i="23" s="1"/>
  <c r="V219" i="23"/>
  <c r="S219" i="23"/>
  <c r="BV218" i="23"/>
  <c r="BU218" i="23"/>
  <c r="BT218" i="23"/>
  <c r="BR218" i="23"/>
  <c r="BN218" i="23"/>
  <c r="BM218" i="23"/>
  <c r="BJ218" i="23"/>
  <c r="BG218" i="23"/>
  <c r="BF218" i="23"/>
  <c r="BC218" i="23"/>
  <c r="BA218" i="23"/>
  <c r="AY218" i="23"/>
  <c r="AX218" i="23"/>
  <c r="AU218" i="23"/>
  <c r="AT218" i="23"/>
  <c r="AS218" i="23"/>
  <c r="AP218" i="23"/>
  <c r="AO218" i="23"/>
  <c r="AN218" i="23"/>
  <c r="AG218" i="23"/>
  <c r="AE218" i="23"/>
  <c r="AA218" i="23"/>
  <c r="AB218" i="23" s="1"/>
  <c r="V218" i="23"/>
  <c r="S218" i="23"/>
  <c r="BV217" i="23"/>
  <c r="BU217" i="23"/>
  <c r="BT217" i="23"/>
  <c r="BR217" i="23"/>
  <c r="BN217" i="23"/>
  <c r="BM217" i="23"/>
  <c r="BJ217" i="23"/>
  <c r="BF217" i="23"/>
  <c r="BC217" i="23"/>
  <c r="BA217" i="23"/>
  <c r="AY217" i="23"/>
  <c r="AX217" i="23"/>
  <c r="AU217" i="23"/>
  <c r="AT217" i="23"/>
  <c r="BG217" i="23" s="1"/>
  <c r="AS217" i="23"/>
  <c r="AP217" i="23"/>
  <c r="AO217" i="23"/>
  <c r="AN217" i="23"/>
  <c r="AH217" i="23"/>
  <c r="AE217" i="23"/>
  <c r="AG217" i="23" s="1"/>
  <c r="AA217" i="23"/>
  <c r="AB217" i="23" s="1"/>
  <c r="V217" i="23"/>
  <c r="S217" i="23"/>
  <c r="BV216" i="23"/>
  <c r="BU216" i="23"/>
  <c r="BT216" i="23"/>
  <c r="BR216" i="23"/>
  <c r="BN216" i="23"/>
  <c r="BM216" i="23"/>
  <c r="BJ216" i="23"/>
  <c r="BG216" i="23"/>
  <c r="BF216" i="23"/>
  <c r="BC216" i="23"/>
  <c r="BA216" i="23"/>
  <c r="AY216" i="23"/>
  <c r="AX216" i="23"/>
  <c r="AT216" i="23"/>
  <c r="AS216" i="23"/>
  <c r="AU216" i="23" s="1"/>
  <c r="AP216" i="23"/>
  <c r="AO216" i="23"/>
  <c r="AN216" i="23"/>
  <c r="AH216" i="23"/>
  <c r="AG216" i="23"/>
  <c r="AE216" i="23"/>
  <c r="AF216" i="23" s="1"/>
  <c r="AA216" i="23"/>
  <c r="AB216" i="23" s="1"/>
  <c r="V216" i="23"/>
  <c r="S216" i="23"/>
  <c r="BV215" i="23"/>
  <c r="BU215" i="23"/>
  <c r="BT215" i="23"/>
  <c r="BR215" i="23"/>
  <c r="BN215" i="23"/>
  <c r="BM215" i="23"/>
  <c r="BJ215" i="23"/>
  <c r="BG215" i="23"/>
  <c r="BF215" i="23"/>
  <c r="BC215" i="23"/>
  <c r="BA215" i="23"/>
  <c r="AY215" i="23"/>
  <c r="AX215" i="23"/>
  <c r="AU215" i="23"/>
  <c r="AT215" i="23"/>
  <c r="AS215" i="23"/>
  <c r="AP215" i="23"/>
  <c r="AO215" i="23"/>
  <c r="AN215" i="23"/>
  <c r="AH215" i="23"/>
  <c r="AE215" i="23"/>
  <c r="AF215" i="23" s="1"/>
  <c r="AA215" i="23"/>
  <c r="AB215" i="23" s="1"/>
  <c r="V215" i="23"/>
  <c r="S215" i="23"/>
  <c r="BV214" i="23"/>
  <c r="BU214" i="23"/>
  <c r="BT214" i="23"/>
  <c r="BR214" i="23"/>
  <c r="BN214" i="23"/>
  <c r="BM214" i="23"/>
  <c r="BJ214" i="23"/>
  <c r="BG214" i="23"/>
  <c r="BF214" i="23"/>
  <c r="BC214" i="23"/>
  <c r="BA214" i="23"/>
  <c r="AY214" i="23"/>
  <c r="AX214" i="23"/>
  <c r="AU214" i="23"/>
  <c r="AT214" i="23"/>
  <c r="AS214" i="23"/>
  <c r="AP214" i="23"/>
  <c r="AO214" i="23"/>
  <c r="AN214" i="23"/>
  <c r="AG214" i="23"/>
  <c r="AF214" i="23"/>
  <c r="AE214" i="23"/>
  <c r="AH214" i="23" s="1"/>
  <c r="AA214" i="23"/>
  <c r="AB214" i="23" s="1"/>
  <c r="V214" i="23"/>
  <c r="S214" i="23"/>
  <c r="BV213" i="23"/>
  <c r="BU213" i="23"/>
  <c r="BT213" i="23"/>
  <c r="BR213" i="23"/>
  <c r="BN213" i="23"/>
  <c r="BM213" i="23"/>
  <c r="BJ213" i="23"/>
  <c r="BG213" i="23"/>
  <c r="BF213" i="23"/>
  <c r="BC213" i="23"/>
  <c r="BA213" i="23"/>
  <c r="AY213" i="23"/>
  <c r="AX213" i="23"/>
  <c r="AT213" i="23"/>
  <c r="AS213" i="23"/>
  <c r="AU213" i="23" s="1"/>
  <c r="AP213" i="23"/>
  <c r="AO213" i="23"/>
  <c r="AN213" i="23"/>
  <c r="AE213" i="23"/>
  <c r="AA213" i="23"/>
  <c r="AB213" i="23" s="1"/>
  <c r="V213" i="23"/>
  <c r="S213" i="23"/>
  <c r="BV212" i="23"/>
  <c r="BU212" i="23"/>
  <c r="BT212" i="23"/>
  <c r="BR212" i="23"/>
  <c r="BN212" i="23"/>
  <c r="BM212" i="23"/>
  <c r="BJ212" i="23"/>
  <c r="BG212" i="23"/>
  <c r="BF212" i="23"/>
  <c r="BC212" i="23"/>
  <c r="BA212" i="23"/>
  <c r="AY212" i="23"/>
  <c r="AX212" i="23"/>
  <c r="AU212" i="23"/>
  <c r="AT212" i="23"/>
  <c r="AS212" i="23"/>
  <c r="AP212" i="23"/>
  <c r="AO212" i="23"/>
  <c r="AN212" i="23"/>
  <c r="AH212" i="23"/>
  <c r="AG212" i="23"/>
  <c r="AF212" i="23"/>
  <c r="AE212" i="23"/>
  <c r="AA212" i="23"/>
  <c r="AB212" i="23" s="1"/>
  <c r="V212" i="23"/>
  <c r="S212" i="23"/>
  <c r="BV211" i="23"/>
  <c r="BU211" i="23"/>
  <c r="BT211" i="23"/>
  <c r="BR211" i="23"/>
  <c r="BN211" i="23"/>
  <c r="BM211" i="23"/>
  <c r="BJ211" i="23"/>
  <c r="BF211" i="23"/>
  <c r="BC211" i="23"/>
  <c r="BA211" i="23"/>
  <c r="AY211" i="23"/>
  <c r="AX211" i="23"/>
  <c r="AT211" i="23"/>
  <c r="BG211" i="23" s="1"/>
  <c r="AS211" i="23"/>
  <c r="AU211" i="23" s="1"/>
  <c r="AP211" i="23"/>
  <c r="AO211" i="23"/>
  <c r="AN211" i="23"/>
  <c r="AH211" i="23"/>
  <c r="AG211" i="23"/>
  <c r="AF211" i="23"/>
  <c r="AE211" i="23"/>
  <c r="AA211" i="23"/>
  <c r="AB211" i="23" s="1"/>
  <c r="V211" i="23"/>
  <c r="S211" i="23"/>
  <c r="BV210" i="23"/>
  <c r="BU210" i="23"/>
  <c r="BT210" i="23"/>
  <c r="BR210" i="23"/>
  <c r="BN210" i="23"/>
  <c r="BM210" i="23"/>
  <c r="BJ210" i="23"/>
  <c r="BG210" i="23"/>
  <c r="BF210" i="23"/>
  <c r="BC210" i="23"/>
  <c r="BA210" i="23"/>
  <c r="AY210" i="23"/>
  <c r="AX210" i="23"/>
  <c r="AU210" i="23"/>
  <c r="AT210" i="23"/>
  <c r="AS210" i="23"/>
  <c r="AP210" i="23"/>
  <c r="AO210" i="23"/>
  <c r="AN210" i="23"/>
  <c r="AH210" i="23"/>
  <c r="AE210" i="23"/>
  <c r="AA210" i="23"/>
  <c r="AB210" i="23" s="1"/>
  <c r="V210" i="23"/>
  <c r="S210" i="23"/>
  <c r="BV209" i="23"/>
  <c r="BU209" i="23"/>
  <c r="BT209" i="23"/>
  <c r="BR209" i="23"/>
  <c r="BN209" i="23"/>
  <c r="BM209" i="23"/>
  <c r="BJ209" i="23"/>
  <c r="BF209" i="23"/>
  <c r="BC209" i="23"/>
  <c r="BA209" i="23"/>
  <c r="AY209" i="23"/>
  <c r="AX209" i="23"/>
  <c r="AU209" i="23"/>
  <c r="AT209" i="23"/>
  <c r="BG209" i="23" s="1"/>
  <c r="AS209" i="23"/>
  <c r="AP209" i="23"/>
  <c r="AO209" i="23"/>
  <c r="AN209" i="23"/>
  <c r="AF209" i="23"/>
  <c r="AE209" i="23"/>
  <c r="AA209" i="23"/>
  <c r="AB209" i="23" s="1"/>
  <c r="V209" i="23"/>
  <c r="S209" i="23"/>
  <c r="BV208" i="23"/>
  <c r="BU208" i="23"/>
  <c r="BT208" i="23"/>
  <c r="BR208" i="23"/>
  <c r="BN208" i="23"/>
  <c r="BM208" i="23"/>
  <c r="BJ208" i="23"/>
  <c r="BG208" i="23"/>
  <c r="BF208" i="23"/>
  <c r="BC208" i="23"/>
  <c r="BA208" i="23"/>
  <c r="AY208" i="23"/>
  <c r="AX208" i="23"/>
  <c r="AU208" i="23"/>
  <c r="AT208" i="23"/>
  <c r="AS208" i="23"/>
  <c r="AP208" i="23"/>
  <c r="AO208" i="23"/>
  <c r="AN208" i="23"/>
  <c r="AH208" i="23"/>
  <c r="AG208" i="23"/>
  <c r="AF208" i="23"/>
  <c r="AE208" i="23"/>
  <c r="AA208" i="23"/>
  <c r="AB208" i="23" s="1"/>
  <c r="V208" i="23"/>
  <c r="S208" i="23"/>
  <c r="BV207" i="23"/>
  <c r="BU207" i="23"/>
  <c r="BT207" i="23"/>
  <c r="BR207" i="23"/>
  <c r="BN207" i="23"/>
  <c r="BM207" i="23"/>
  <c r="BJ207" i="23"/>
  <c r="BF207" i="23"/>
  <c r="BC207" i="23"/>
  <c r="BA207" i="23"/>
  <c r="AY207" i="23"/>
  <c r="AX207" i="23"/>
  <c r="AT207" i="23"/>
  <c r="BG207" i="23" s="1"/>
  <c r="AS207" i="23"/>
  <c r="AU207" i="23" s="1"/>
  <c r="AP207" i="23"/>
  <c r="AO207" i="23"/>
  <c r="AN207" i="23"/>
  <c r="AH207" i="23"/>
  <c r="AF207" i="23"/>
  <c r="AE207" i="23"/>
  <c r="AG207" i="23" s="1"/>
  <c r="AA207" i="23"/>
  <c r="AB207" i="23" s="1"/>
  <c r="V207" i="23"/>
  <c r="S207" i="23"/>
  <c r="BV206" i="23"/>
  <c r="BU206" i="23"/>
  <c r="BT206" i="23"/>
  <c r="BR206" i="23"/>
  <c r="BN206" i="23"/>
  <c r="BM206" i="23"/>
  <c r="BJ206" i="23"/>
  <c r="BF206" i="23"/>
  <c r="BC206" i="23"/>
  <c r="BA206" i="23"/>
  <c r="AY206" i="23"/>
  <c r="AX206" i="23"/>
  <c r="AT206" i="23"/>
  <c r="BG206" i="23" s="1"/>
  <c r="AS206" i="23"/>
  <c r="AU206" i="23" s="1"/>
  <c r="AP206" i="23"/>
  <c r="AO206" i="23"/>
  <c r="AN206" i="23"/>
  <c r="AH206" i="23"/>
  <c r="AG206" i="23"/>
  <c r="AF206" i="23"/>
  <c r="AE206" i="23"/>
  <c r="AA206" i="23"/>
  <c r="AB206" i="23" s="1"/>
  <c r="V206" i="23"/>
  <c r="S206" i="23"/>
  <c r="BV205" i="23"/>
  <c r="BU205" i="23"/>
  <c r="BT205" i="23"/>
  <c r="BR205" i="23"/>
  <c r="BN205" i="23"/>
  <c r="BM205" i="23"/>
  <c r="BJ205" i="23"/>
  <c r="BF205" i="23"/>
  <c r="BC205" i="23"/>
  <c r="BA205" i="23"/>
  <c r="AY205" i="23"/>
  <c r="AX205" i="23"/>
  <c r="AT205" i="23"/>
  <c r="BG205" i="23" s="1"/>
  <c r="AS205" i="23"/>
  <c r="AU205" i="23" s="1"/>
  <c r="AP205" i="23"/>
  <c r="AO205" i="23"/>
  <c r="AN205" i="23"/>
  <c r="AH205" i="23"/>
  <c r="AG205" i="23"/>
  <c r="AF205" i="23"/>
  <c r="AE205" i="23"/>
  <c r="AA205" i="23"/>
  <c r="AB205" i="23" s="1"/>
  <c r="V205" i="23"/>
  <c r="S205" i="23"/>
  <c r="BV204" i="23"/>
  <c r="BU204" i="23"/>
  <c r="BT204" i="23"/>
  <c r="BR204" i="23"/>
  <c r="BN204" i="23"/>
  <c r="BM204" i="23"/>
  <c r="BJ204" i="23"/>
  <c r="BG204" i="23"/>
  <c r="BF204" i="23"/>
  <c r="BC204" i="23"/>
  <c r="BA204" i="23"/>
  <c r="AY204" i="23"/>
  <c r="AX204" i="23"/>
  <c r="AT204" i="23"/>
  <c r="AS204" i="23"/>
  <c r="AU204" i="23" s="1"/>
  <c r="AP204" i="23"/>
  <c r="AO204" i="23"/>
  <c r="AN204" i="23"/>
  <c r="AE204" i="23"/>
  <c r="AA204" i="23"/>
  <c r="AB204" i="23" s="1"/>
  <c r="V204" i="23"/>
  <c r="S204" i="23"/>
  <c r="BV203" i="23"/>
  <c r="BU203" i="23"/>
  <c r="BT203" i="23"/>
  <c r="BR203" i="23"/>
  <c r="BN203" i="23"/>
  <c r="BM203" i="23"/>
  <c r="BJ203" i="23"/>
  <c r="BF203" i="23"/>
  <c r="BC203" i="23"/>
  <c r="BA203" i="23"/>
  <c r="AY203" i="23"/>
  <c r="AX203" i="23"/>
  <c r="AU203" i="23"/>
  <c r="AT203" i="23"/>
  <c r="BG203" i="23" s="1"/>
  <c r="AS203" i="23"/>
  <c r="AP203" i="23"/>
  <c r="AO203" i="23"/>
  <c r="AN203" i="23"/>
  <c r="AE203" i="23"/>
  <c r="AA203" i="23"/>
  <c r="AB203" i="23" s="1"/>
  <c r="V203" i="23"/>
  <c r="S203" i="23"/>
  <c r="BV202" i="23"/>
  <c r="BU202" i="23"/>
  <c r="BT202" i="23"/>
  <c r="BR202" i="23"/>
  <c r="BN202" i="23"/>
  <c r="BM202" i="23"/>
  <c r="BJ202" i="23"/>
  <c r="BG202" i="23"/>
  <c r="BF202" i="23"/>
  <c r="BC202" i="23"/>
  <c r="BA202" i="23"/>
  <c r="AY202" i="23"/>
  <c r="AX202" i="23"/>
  <c r="AU202" i="23"/>
  <c r="AT202" i="23"/>
  <c r="AS202" i="23"/>
  <c r="AP202" i="23"/>
  <c r="AO202" i="23"/>
  <c r="AN202" i="23"/>
  <c r="AE202" i="23"/>
  <c r="AA202" i="23"/>
  <c r="AB202" i="23" s="1"/>
  <c r="V202" i="23"/>
  <c r="S202" i="23"/>
  <c r="BV201" i="23"/>
  <c r="BU201" i="23"/>
  <c r="BT201" i="23"/>
  <c r="BR201" i="23"/>
  <c r="BN201" i="23"/>
  <c r="BM201" i="23"/>
  <c r="BJ201" i="23"/>
  <c r="BG201" i="23"/>
  <c r="BF201" i="23"/>
  <c r="BE201" i="23"/>
  <c r="BC201" i="23"/>
  <c r="BA201" i="23"/>
  <c r="AY201" i="23"/>
  <c r="AX201" i="23"/>
  <c r="AU201" i="23"/>
  <c r="AT201" i="23"/>
  <c r="AS201" i="23"/>
  <c r="AP201" i="23"/>
  <c r="AO201" i="23"/>
  <c r="AN201" i="23"/>
  <c r="AH201" i="23"/>
  <c r="AE201" i="23"/>
  <c r="AG201" i="23" s="1"/>
  <c r="AA201" i="23"/>
  <c r="AB201" i="23" s="1"/>
  <c r="V201" i="23"/>
  <c r="S201" i="23"/>
  <c r="BV200" i="23"/>
  <c r="BU200" i="23"/>
  <c r="BT200" i="23"/>
  <c r="BR200" i="23"/>
  <c r="BN200" i="23"/>
  <c r="BM200" i="23"/>
  <c r="BJ200" i="23"/>
  <c r="BF200" i="23"/>
  <c r="BE200" i="23"/>
  <c r="BC200" i="23"/>
  <c r="BA200" i="23"/>
  <c r="AY200" i="23"/>
  <c r="AX200" i="23"/>
  <c r="AU200" i="23"/>
  <c r="AT200" i="23"/>
  <c r="BG200" i="23" s="1"/>
  <c r="AS200" i="23"/>
  <c r="AP200" i="23"/>
  <c r="AO200" i="23"/>
  <c r="AN200" i="23"/>
  <c r="AH200" i="23"/>
  <c r="AG200" i="23"/>
  <c r="AF200" i="23"/>
  <c r="AE200" i="23"/>
  <c r="AA200" i="23"/>
  <c r="AB200" i="23" s="1"/>
  <c r="V200" i="23"/>
  <c r="S200" i="23"/>
  <c r="BV199" i="23"/>
  <c r="BU199" i="23"/>
  <c r="BT199" i="23"/>
  <c r="BR199" i="23"/>
  <c r="BN199" i="23"/>
  <c r="BM199" i="23"/>
  <c r="BJ199" i="23"/>
  <c r="BF199" i="23"/>
  <c r="BC199" i="23"/>
  <c r="BA199" i="23"/>
  <c r="AY199" i="23"/>
  <c r="AX199" i="23"/>
  <c r="AU199" i="23"/>
  <c r="AT199" i="23"/>
  <c r="BG199" i="23" s="1"/>
  <c r="AS199" i="23"/>
  <c r="AP199" i="23"/>
  <c r="AO199" i="23"/>
  <c r="AN199" i="23"/>
  <c r="AE199" i="23"/>
  <c r="AA199" i="23"/>
  <c r="AB199" i="23" s="1"/>
  <c r="V199" i="23"/>
  <c r="S199" i="23"/>
  <c r="BV198" i="23"/>
  <c r="BU198" i="23"/>
  <c r="BT198" i="23"/>
  <c r="BR198" i="23"/>
  <c r="BN198" i="23"/>
  <c r="BM198" i="23"/>
  <c r="BJ198" i="23"/>
  <c r="BG198" i="23"/>
  <c r="BF198" i="23"/>
  <c r="BE198" i="23"/>
  <c r="BC198" i="23"/>
  <c r="BA198" i="23"/>
  <c r="AY198" i="23"/>
  <c r="AX198" i="23"/>
  <c r="AU198" i="23"/>
  <c r="AT198" i="23"/>
  <c r="AS198" i="23"/>
  <c r="AP198" i="23"/>
  <c r="AO198" i="23"/>
  <c r="AN198" i="23"/>
  <c r="AH198" i="23"/>
  <c r="AG198" i="23"/>
  <c r="AF198" i="23"/>
  <c r="AE198" i="23"/>
  <c r="AA198" i="23"/>
  <c r="AB198" i="23" s="1"/>
  <c r="V198" i="23"/>
  <c r="S198" i="23"/>
  <c r="BV197" i="23"/>
  <c r="BU197" i="23"/>
  <c r="BT197" i="23"/>
  <c r="BR197" i="23"/>
  <c r="BN197" i="23"/>
  <c r="BM197" i="23"/>
  <c r="BJ197" i="23"/>
  <c r="BF197" i="23"/>
  <c r="BE197" i="23"/>
  <c r="BC197" i="23"/>
  <c r="BA197" i="23"/>
  <c r="AY197" i="23"/>
  <c r="AX197" i="23"/>
  <c r="AU197" i="23"/>
  <c r="AT197" i="23"/>
  <c r="BG197" i="23" s="1"/>
  <c r="AS197" i="23"/>
  <c r="AP197" i="23"/>
  <c r="AO197" i="23"/>
  <c r="AN197" i="23"/>
  <c r="AH197" i="23"/>
  <c r="AG197" i="23"/>
  <c r="AF197" i="23"/>
  <c r="AE197" i="23"/>
  <c r="AA197" i="23"/>
  <c r="AB197" i="23" s="1"/>
  <c r="V197" i="23"/>
  <c r="S197" i="23"/>
  <c r="BV196" i="23"/>
  <c r="BU196" i="23"/>
  <c r="BT196" i="23"/>
  <c r="BR196" i="23"/>
  <c r="BN196" i="23"/>
  <c r="BM196" i="23"/>
  <c r="BJ196" i="23"/>
  <c r="BF196" i="23"/>
  <c r="BC196" i="23"/>
  <c r="BA196" i="23"/>
  <c r="AY196" i="23"/>
  <c r="AX196" i="23"/>
  <c r="AU196" i="23"/>
  <c r="AT196" i="23"/>
  <c r="BG196" i="23" s="1"/>
  <c r="AS196" i="23"/>
  <c r="AP196" i="23"/>
  <c r="AO196" i="23"/>
  <c r="AN196" i="23"/>
  <c r="AF196" i="23"/>
  <c r="AE196" i="23"/>
  <c r="AA196" i="23"/>
  <c r="AB196" i="23" s="1"/>
  <c r="V196" i="23"/>
  <c r="S196" i="23"/>
  <c r="BV195" i="23"/>
  <c r="BU195" i="23"/>
  <c r="BT195" i="23"/>
  <c r="BR195" i="23"/>
  <c r="BN195" i="23"/>
  <c r="BM195" i="23"/>
  <c r="BJ195" i="23"/>
  <c r="BF195" i="23"/>
  <c r="BC195" i="23"/>
  <c r="BA195" i="23"/>
  <c r="AY195" i="23"/>
  <c r="AX195" i="23"/>
  <c r="AU195" i="23"/>
  <c r="AT195" i="23"/>
  <c r="BG195" i="23" s="1"/>
  <c r="AS195" i="23"/>
  <c r="AP195" i="23"/>
  <c r="AO195" i="23"/>
  <c r="AN195" i="23"/>
  <c r="AH195" i="23"/>
  <c r="AG195" i="23"/>
  <c r="AF195" i="23"/>
  <c r="AE195" i="23"/>
  <c r="BE195" i="23" s="1"/>
  <c r="AA195" i="23"/>
  <c r="AB195" i="23" s="1"/>
  <c r="V195" i="23"/>
  <c r="S195" i="23"/>
  <c r="BV194" i="23"/>
  <c r="BU194" i="23"/>
  <c r="BT194" i="23"/>
  <c r="BR194" i="23"/>
  <c r="BN194" i="23"/>
  <c r="BM194" i="23"/>
  <c r="BJ194" i="23"/>
  <c r="BF194" i="23"/>
  <c r="BE194" i="23"/>
  <c r="BC194" i="23"/>
  <c r="BA194" i="23"/>
  <c r="AY194" i="23"/>
  <c r="AX194" i="23"/>
  <c r="AT194" i="23"/>
  <c r="BG194" i="23" s="1"/>
  <c r="AS194" i="23"/>
  <c r="AU194" i="23" s="1"/>
  <c r="AP194" i="23"/>
  <c r="AO194" i="23"/>
  <c r="AN194" i="23"/>
  <c r="AG194" i="23"/>
  <c r="AE194" i="23"/>
  <c r="AH194" i="23" s="1"/>
  <c r="AA194" i="23"/>
  <c r="AB194" i="23" s="1"/>
  <c r="V194" i="23"/>
  <c r="S194" i="23"/>
  <c r="BV193" i="23"/>
  <c r="BU193" i="23"/>
  <c r="BT193" i="23"/>
  <c r="BR193" i="23"/>
  <c r="BN193" i="23"/>
  <c r="BM193" i="23"/>
  <c r="BJ193" i="23"/>
  <c r="BG193" i="23"/>
  <c r="BF193" i="23"/>
  <c r="BC193" i="23"/>
  <c r="BA193" i="23"/>
  <c r="AY193" i="23"/>
  <c r="AX193" i="23"/>
  <c r="AU193" i="23"/>
  <c r="AT193" i="23"/>
  <c r="AS193" i="23"/>
  <c r="AP193" i="23"/>
  <c r="AO193" i="23"/>
  <c r="AN193" i="23"/>
  <c r="AG193" i="23"/>
  <c r="AE193" i="23"/>
  <c r="AA193" i="23"/>
  <c r="AB193" i="23" s="1"/>
  <c r="V193" i="23"/>
  <c r="S193" i="23"/>
  <c r="BV192" i="23"/>
  <c r="BU192" i="23"/>
  <c r="BT192" i="23"/>
  <c r="BR192" i="23"/>
  <c r="BN192" i="23"/>
  <c r="BM192" i="23"/>
  <c r="BJ192" i="23"/>
  <c r="BF192" i="23"/>
  <c r="BE192" i="23"/>
  <c r="BC192" i="23"/>
  <c r="BA192" i="23"/>
  <c r="AY192" i="23"/>
  <c r="AX192" i="23"/>
  <c r="AU192" i="23"/>
  <c r="AT192" i="23"/>
  <c r="BG192" i="23" s="1"/>
  <c r="AS192" i="23"/>
  <c r="AP192" i="23"/>
  <c r="AO192" i="23"/>
  <c r="AN192" i="23"/>
  <c r="AE192" i="23"/>
  <c r="AA192" i="23"/>
  <c r="AB192" i="23" s="1"/>
  <c r="V192" i="23"/>
  <c r="S192" i="23"/>
  <c r="BV191" i="23"/>
  <c r="BU191" i="23"/>
  <c r="BT191" i="23"/>
  <c r="BR191" i="23"/>
  <c r="BN191" i="23"/>
  <c r="BM191" i="23"/>
  <c r="BJ191" i="23"/>
  <c r="BF191" i="23"/>
  <c r="BE191" i="23"/>
  <c r="BC191" i="23"/>
  <c r="BA191" i="23"/>
  <c r="AY191" i="23"/>
  <c r="AX191" i="23"/>
  <c r="AU191" i="23"/>
  <c r="AT191" i="23"/>
  <c r="BG191" i="23" s="1"/>
  <c r="AS191" i="23"/>
  <c r="AP191" i="23"/>
  <c r="AO191" i="23"/>
  <c r="AN191" i="23"/>
  <c r="AE191" i="23"/>
  <c r="AA191" i="23"/>
  <c r="AB191" i="23" s="1"/>
  <c r="V191" i="23"/>
  <c r="S191" i="23"/>
  <c r="BV190" i="23"/>
  <c r="BU190" i="23"/>
  <c r="BT190" i="23"/>
  <c r="BR190" i="23"/>
  <c r="BN190" i="23"/>
  <c r="BM190" i="23"/>
  <c r="BJ190" i="23"/>
  <c r="BF190" i="23"/>
  <c r="BC190" i="23"/>
  <c r="BA190" i="23"/>
  <c r="AY190" i="23"/>
  <c r="AX190" i="23"/>
  <c r="AT190" i="23"/>
  <c r="BG190" i="23" s="1"/>
  <c r="AS190" i="23"/>
  <c r="AU190" i="23" s="1"/>
  <c r="AP190" i="23"/>
  <c r="AO190" i="23"/>
  <c r="AN190" i="23"/>
  <c r="AH190" i="23"/>
  <c r="AE190" i="23"/>
  <c r="AA190" i="23"/>
  <c r="AB190" i="23" s="1"/>
  <c r="V190" i="23"/>
  <c r="S190" i="23"/>
  <c r="BV189" i="23"/>
  <c r="BU189" i="23"/>
  <c r="BT189" i="23"/>
  <c r="BR189" i="23"/>
  <c r="BN189" i="23"/>
  <c r="BM189" i="23"/>
  <c r="BJ189" i="23"/>
  <c r="BG189" i="23"/>
  <c r="BF189" i="23"/>
  <c r="BC189" i="23"/>
  <c r="BA189" i="23"/>
  <c r="AY189" i="23"/>
  <c r="AX189" i="23"/>
  <c r="AU189" i="23"/>
  <c r="AT189" i="23"/>
  <c r="AS189" i="23"/>
  <c r="AP189" i="23"/>
  <c r="AO189" i="23"/>
  <c r="AN189" i="23"/>
  <c r="AE189" i="23"/>
  <c r="AA189" i="23"/>
  <c r="AB189" i="23" s="1"/>
  <c r="V189" i="23"/>
  <c r="S189" i="23"/>
  <c r="BV188" i="23"/>
  <c r="BU188" i="23"/>
  <c r="BT188" i="23"/>
  <c r="BR188" i="23"/>
  <c r="BN188" i="23"/>
  <c r="BM188" i="23"/>
  <c r="BJ188" i="23"/>
  <c r="BG188" i="23"/>
  <c r="BF188" i="23"/>
  <c r="BE188" i="23"/>
  <c r="BC188" i="23"/>
  <c r="BA188" i="23"/>
  <c r="AY188" i="23"/>
  <c r="AX188" i="23"/>
  <c r="AU188" i="23"/>
  <c r="AT188" i="23"/>
  <c r="AS188" i="23"/>
  <c r="AP188" i="23"/>
  <c r="AO188" i="23"/>
  <c r="AN188" i="23"/>
  <c r="AH188" i="23"/>
  <c r="AG188" i="23"/>
  <c r="AF188" i="23"/>
  <c r="AE188" i="23"/>
  <c r="AA188" i="23"/>
  <c r="AB188" i="23" s="1"/>
  <c r="V188" i="23"/>
  <c r="S188" i="23"/>
  <c r="BV187" i="23"/>
  <c r="BU187" i="23"/>
  <c r="BT187" i="23"/>
  <c r="BR187" i="23"/>
  <c r="BN187" i="23"/>
  <c r="BM187" i="23"/>
  <c r="BJ187" i="23"/>
  <c r="BF187" i="23"/>
  <c r="BE187" i="23"/>
  <c r="BC187" i="23"/>
  <c r="BA187" i="23"/>
  <c r="AY187" i="23"/>
  <c r="AX187" i="23"/>
  <c r="AU187" i="23"/>
  <c r="AT187" i="23"/>
  <c r="BG187" i="23" s="1"/>
  <c r="AS187" i="23"/>
  <c r="AP187" i="23"/>
  <c r="AO187" i="23"/>
  <c r="AN187" i="23"/>
  <c r="AE187" i="23"/>
  <c r="AF187" i="23" s="1"/>
  <c r="AA187" i="23"/>
  <c r="AB187" i="23" s="1"/>
  <c r="V187" i="23"/>
  <c r="S187" i="23"/>
  <c r="BV186" i="23"/>
  <c r="BU186" i="23"/>
  <c r="BT186" i="23"/>
  <c r="BR186" i="23"/>
  <c r="BN186" i="23"/>
  <c r="BM186" i="23"/>
  <c r="BJ186" i="23"/>
  <c r="BF186" i="23"/>
  <c r="BE186" i="23"/>
  <c r="BC186" i="23"/>
  <c r="BA186" i="23"/>
  <c r="AY186" i="23"/>
  <c r="AX186" i="23"/>
  <c r="AU186" i="23"/>
  <c r="AT186" i="23"/>
  <c r="BG186" i="23" s="1"/>
  <c r="AS186" i="23"/>
  <c r="AP186" i="23"/>
  <c r="AO186" i="23"/>
  <c r="AN186" i="23"/>
  <c r="AH186" i="23"/>
  <c r="AG186" i="23"/>
  <c r="AF186" i="23"/>
  <c r="AE186" i="23"/>
  <c r="AA186" i="23"/>
  <c r="AB186" i="23" s="1"/>
  <c r="V186" i="23"/>
  <c r="S186" i="23"/>
  <c r="BV185" i="23"/>
  <c r="BU185" i="23"/>
  <c r="BT185" i="23"/>
  <c r="BR185" i="23"/>
  <c r="BN185" i="23"/>
  <c r="BM185" i="23"/>
  <c r="BJ185" i="23"/>
  <c r="BF185" i="23"/>
  <c r="BE185" i="23"/>
  <c r="BC185" i="23"/>
  <c r="BA185" i="23"/>
  <c r="AY185" i="23"/>
  <c r="AX185" i="23"/>
  <c r="AU185" i="23"/>
  <c r="AT185" i="23"/>
  <c r="BG185" i="23" s="1"/>
  <c r="AS185" i="23"/>
  <c r="AP185" i="23"/>
  <c r="AO185" i="23"/>
  <c r="AN185" i="23"/>
  <c r="AH185" i="23"/>
  <c r="AG185" i="23"/>
  <c r="AF185" i="23"/>
  <c r="AE185" i="23"/>
  <c r="AA185" i="23"/>
  <c r="AB185" i="23" s="1"/>
  <c r="V185" i="23"/>
  <c r="S185" i="23"/>
  <c r="BV184" i="23"/>
  <c r="BU184" i="23"/>
  <c r="BT184" i="23"/>
  <c r="BR184" i="23"/>
  <c r="BN184" i="23"/>
  <c r="BM184" i="23"/>
  <c r="BJ184" i="23"/>
  <c r="BF184" i="23"/>
  <c r="BE184" i="23"/>
  <c r="BC184" i="23"/>
  <c r="BA184" i="23"/>
  <c r="AY184" i="23"/>
  <c r="AX184" i="23"/>
  <c r="AU184" i="23"/>
  <c r="AT184" i="23"/>
  <c r="BG184" i="23" s="1"/>
  <c r="AS184" i="23"/>
  <c r="AP184" i="23"/>
  <c r="AO184" i="23"/>
  <c r="AN184" i="23"/>
  <c r="AE184" i="23"/>
  <c r="AA184" i="23"/>
  <c r="AB184" i="23" s="1"/>
  <c r="V184" i="23"/>
  <c r="S184" i="23"/>
  <c r="BV183" i="23"/>
  <c r="BU183" i="23"/>
  <c r="BT183" i="23"/>
  <c r="BR183" i="23"/>
  <c r="BN183" i="23"/>
  <c r="BM183" i="23"/>
  <c r="BJ183" i="23"/>
  <c r="BF183" i="23"/>
  <c r="BE183" i="23"/>
  <c r="BC183" i="23"/>
  <c r="BA183" i="23"/>
  <c r="AY183" i="23"/>
  <c r="AX183" i="23"/>
  <c r="AU183" i="23"/>
  <c r="AT183" i="23"/>
  <c r="BG183" i="23" s="1"/>
  <c r="AS183" i="23"/>
  <c r="AP183" i="23"/>
  <c r="AO183" i="23"/>
  <c r="AN183" i="23"/>
  <c r="AH183" i="23"/>
  <c r="AG183" i="23"/>
  <c r="AF183" i="23"/>
  <c r="AE183" i="23"/>
  <c r="AA183" i="23"/>
  <c r="AB183" i="23" s="1"/>
  <c r="V183" i="23"/>
  <c r="S183" i="23"/>
  <c r="BV182" i="23"/>
  <c r="BU182" i="23"/>
  <c r="BT182" i="23"/>
  <c r="BR182" i="23"/>
  <c r="BN182" i="23"/>
  <c r="BM182" i="23"/>
  <c r="BJ182" i="23"/>
  <c r="BG182" i="23"/>
  <c r="BF182" i="23"/>
  <c r="BC182" i="23"/>
  <c r="BA182" i="23"/>
  <c r="AY182" i="23"/>
  <c r="AX182" i="23"/>
  <c r="AT182" i="23"/>
  <c r="AS182" i="23"/>
  <c r="AU182" i="23" s="1"/>
  <c r="AP182" i="23"/>
  <c r="AO182" i="23"/>
  <c r="AN182" i="23"/>
  <c r="AG182" i="23"/>
  <c r="AF182" i="23"/>
  <c r="AE182" i="23"/>
  <c r="AA182" i="23"/>
  <c r="AB182" i="23" s="1"/>
  <c r="V182" i="23"/>
  <c r="S182" i="23"/>
  <c r="BV181" i="23"/>
  <c r="BU181" i="23"/>
  <c r="BT181" i="23"/>
  <c r="BR181" i="23"/>
  <c r="BN181" i="23"/>
  <c r="BM181" i="23"/>
  <c r="BJ181" i="23"/>
  <c r="BG181" i="23"/>
  <c r="BF181" i="23"/>
  <c r="BC181" i="23"/>
  <c r="BA181" i="23"/>
  <c r="AY181" i="23"/>
  <c r="AX181" i="23"/>
  <c r="AU181" i="23"/>
  <c r="AT181" i="23"/>
  <c r="AS181" i="23"/>
  <c r="AP181" i="23"/>
  <c r="AO181" i="23"/>
  <c r="AN181" i="23"/>
  <c r="AG181" i="23"/>
  <c r="AE181" i="23"/>
  <c r="AA181" i="23"/>
  <c r="AB181" i="23" s="1"/>
  <c r="V181" i="23"/>
  <c r="S181" i="23"/>
  <c r="BV180" i="23"/>
  <c r="BU180" i="23"/>
  <c r="BT180" i="23"/>
  <c r="BR180" i="23"/>
  <c r="BN180" i="23"/>
  <c r="BM180" i="23"/>
  <c r="BJ180" i="23"/>
  <c r="BF180" i="23"/>
  <c r="BE180" i="23"/>
  <c r="BC180" i="23"/>
  <c r="BA180" i="23"/>
  <c r="AY180" i="23"/>
  <c r="AX180" i="23"/>
  <c r="AU180" i="23"/>
  <c r="AT180" i="23"/>
  <c r="BG180" i="23" s="1"/>
  <c r="AS180" i="23"/>
  <c r="AP180" i="23"/>
  <c r="AO180" i="23"/>
  <c r="AN180" i="23"/>
  <c r="AE180" i="23"/>
  <c r="AA180" i="23"/>
  <c r="AB180" i="23" s="1"/>
  <c r="V180" i="23"/>
  <c r="S180" i="23"/>
  <c r="BV179" i="23"/>
  <c r="BU179" i="23"/>
  <c r="BT179" i="23"/>
  <c r="BR179" i="23"/>
  <c r="BN179" i="23"/>
  <c r="BM179" i="23"/>
  <c r="BJ179" i="23"/>
  <c r="BG179" i="23"/>
  <c r="BF179" i="23"/>
  <c r="BC179" i="23"/>
  <c r="BA179" i="23"/>
  <c r="AY179" i="23"/>
  <c r="AX179" i="23"/>
  <c r="AU179" i="23"/>
  <c r="AT179" i="23"/>
  <c r="AS179" i="23"/>
  <c r="AP179" i="23"/>
  <c r="AO179" i="23"/>
  <c r="AN179" i="23"/>
  <c r="AE179" i="23"/>
  <c r="AA179" i="23"/>
  <c r="AB179" i="23" s="1"/>
  <c r="V179" i="23"/>
  <c r="S179" i="23"/>
  <c r="BV178" i="23"/>
  <c r="BU178" i="23"/>
  <c r="BT178" i="23"/>
  <c r="BR178" i="23"/>
  <c r="BN178" i="23"/>
  <c r="BM178" i="23"/>
  <c r="BJ178" i="23"/>
  <c r="BF178" i="23"/>
  <c r="BC178" i="23"/>
  <c r="BA178" i="23"/>
  <c r="AY178" i="23"/>
  <c r="AX178" i="23"/>
  <c r="AT178" i="23"/>
  <c r="BG178" i="23" s="1"/>
  <c r="AS178" i="23"/>
  <c r="AU178" i="23" s="1"/>
  <c r="AP178" i="23"/>
  <c r="AO178" i="23"/>
  <c r="AN178" i="23"/>
  <c r="AE178" i="23"/>
  <c r="AA178" i="23"/>
  <c r="AB178" i="23" s="1"/>
  <c r="V178" i="23"/>
  <c r="S178" i="23"/>
  <c r="BV177" i="23"/>
  <c r="BU177" i="23"/>
  <c r="BT177" i="23"/>
  <c r="BR177" i="23"/>
  <c r="BN177" i="23"/>
  <c r="BM177" i="23"/>
  <c r="BJ177" i="23"/>
  <c r="BF177" i="23"/>
  <c r="BE177" i="23"/>
  <c r="BC177" i="23"/>
  <c r="BA177" i="23"/>
  <c r="AY177" i="23"/>
  <c r="AX177" i="23"/>
  <c r="AU177" i="23"/>
  <c r="AT177" i="23"/>
  <c r="BG177" i="23" s="1"/>
  <c r="AS177" i="23"/>
  <c r="AP177" i="23"/>
  <c r="AO177" i="23"/>
  <c r="AN177" i="23"/>
  <c r="AE177" i="23"/>
  <c r="AA177" i="23"/>
  <c r="AB177" i="23" s="1"/>
  <c r="V177" i="23"/>
  <c r="S177" i="23"/>
  <c r="BV176" i="23"/>
  <c r="BU176" i="23"/>
  <c r="BT176" i="23"/>
  <c r="BR176" i="23"/>
  <c r="BN176" i="23"/>
  <c r="BM176" i="23"/>
  <c r="BJ176" i="23"/>
  <c r="BG176" i="23"/>
  <c r="BF176" i="23"/>
  <c r="BE176" i="23"/>
  <c r="BC176" i="23"/>
  <c r="BA176" i="23"/>
  <c r="AY176" i="23"/>
  <c r="AX176" i="23"/>
  <c r="AT176" i="23"/>
  <c r="AS176" i="23"/>
  <c r="AU176" i="23" s="1"/>
  <c r="AP176" i="23"/>
  <c r="AO176" i="23"/>
  <c r="AN176" i="23"/>
  <c r="AH176" i="23"/>
  <c r="AF176" i="23"/>
  <c r="AE176" i="23"/>
  <c r="AG176" i="23" s="1"/>
  <c r="AA176" i="23"/>
  <c r="AB176" i="23" s="1"/>
  <c r="V176" i="23"/>
  <c r="S176" i="23"/>
  <c r="BV175" i="23"/>
  <c r="BU175" i="23"/>
  <c r="BT175" i="23"/>
  <c r="BR175" i="23"/>
  <c r="BN175" i="23"/>
  <c r="BM175" i="23"/>
  <c r="BJ175" i="23"/>
  <c r="BG175" i="23"/>
  <c r="BF175" i="23"/>
  <c r="BE175" i="23"/>
  <c r="BC175" i="23"/>
  <c r="BA175" i="23"/>
  <c r="AY175" i="23"/>
  <c r="AX175" i="23"/>
  <c r="AT175" i="23"/>
  <c r="AS175" i="23"/>
  <c r="AU175" i="23" s="1"/>
  <c r="AP175" i="23"/>
  <c r="AO175" i="23"/>
  <c r="AN175" i="23"/>
  <c r="AH175" i="23"/>
  <c r="AG175" i="23"/>
  <c r="AF175" i="23"/>
  <c r="AE175" i="23"/>
  <c r="AA175" i="23"/>
  <c r="AB175" i="23" s="1"/>
  <c r="V175" i="23"/>
  <c r="S175" i="23"/>
  <c r="BV174" i="23"/>
  <c r="BU174" i="23"/>
  <c r="BT174" i="23"/>
  <c r="BR174" i="23"/>
  <c r="BN174" i="23"/>
  <c r="BM174" i="23"/>
  <c r="BJ174" i="23"/>
  <c r="BF174" i="23"/>
  <c r="BE174" i="23"/>
  <c r="BC174" i="23"/>
  <c r="BA174" i="23"/>
  <c r="AY174" i="23"/>
  <c r="AX174" i="23"/>
  <c r="AT174" i="23"/>
  <c r="BG174" i="23" s="1"/>
  <c r="AS174" i="23"/>
  <c r="AU174" i="23" s="1"/>
  <c r="AP174" i="23"/>
  <c r="AO174" i="23"/>
  <c r="AN174" i="23"/>
  <c r="AH174" i="23"/>
  <c r="AG174" i="23"/>
  <c r="AF174" i="23"/>
  <c r="AE174" i="23"/>
  <c r="AA174" i="23"/>
  <c r="AB174" i="23" s="1"/>
  <c r="V174" i="23"/>
  <c r="S174" i="23"/>
  <c r="BV173" i="23"/>
  <c r="BU173" i="23"/>
  <c r="BT173" i="23"/>
  <c r="BR173" i="23"/>
  <c r="BN173" i="23"/>
  <c r="BM173" i="23"/>
  <c r="BJ173" i="23"/>
  <c r="BF173" i="23"/>
  <c r="BC173" i="23"/>
  <c r="BA173" i="23"/>
  <c r="AY173" i="23"/>
  <c r="AX173" i="23"/>
  <c r="AT173" i="23"/>
  <c r="BG173" i="23" s="1"/>
  <c r="AS173" i="23"/>
  <c r="AU173" i="23" s="1"/>
  <c r="AP173" i="23"/>
  <c r="AO173" i="23"/>
  <c r="AN173" i="23"/>
  <c r="AE173" i="23"/>
  <c r="AA173" i="23"/>
  <c r="AB173" i="23" s="1"/>
  <c r="V173" i="23"/>
  <c r="S173" i="23"/>
  <c r="BV172" i="23"/>
  <c r="BU172" i="23"/>
  <c r="BT172" i="23"/>
  <c r="BR172" i="23"/>
  <c r="BN172" i="23"/>
  <c r="BM172" i="23"/>
  <c r="BJ172" i="23"/>
  <c r="BG172" i="23"/>
  <c r="BF172" i="23"/>
  <c r="BC172" i="23"/>
  <c r="BA172" i="23"/>
  <c r="AY172" i="23"/>
  <c r="AX172" i="23"/>
  <c r="AU172" i="23"/>
  <c r="AT172" i="23"/>
  <c r="AS172" i="23"/>
  <c r="AP172" i="23"/>
  <c r="AO172" i="23"/>
  <c r="AN172" i="23"/>
  <c r="AH172" i="23"/>
  <c r="AG172" i="23"/>
  <c r="AF172" i="23"/>
  <c r="AE172" i="23"/>
  <c r="BE172" i="23" s="1"/>
  <c r="AA172" i="23"/>
  <c r="AB172" i="23" s="1"/>
  <c r="V172" i="23"/>
  <c r="S172" i="23"/>
  <c r="BV171" i="23"/>
  <c r="BU171" i="23"/>
  <c r="BT171" i="23"/>
  <c r="BR171" i="23"/>
  <c r="BN171" i="23"/>
  <c r="BM171" i="23"/>
  <c r="BJ171" i="23"/>
  <c r="BG171" i="23"/>
  <c r="BF171" i="23"/>
  <c r="BE171" i="23"/>
  <c r="BC171" i="23"/>
  <c r="BA171" i="23"/>
  <c r="AY171" i="23"/>
  <c r="AX171" i="23"/>
  <c r="AT171" i="23"/>
  <c r="AS171" i="23"/>
  <c r="AU171" i="23" s="1"/>
  <c r="AP171" i="23"/>
  <c r="AO171" i="23"/>
  <c r="AN171" i="23"/>
  <c r="AH171" i="23"/>
  <c r="AG171" i="23"/>
  <c r="AF171" i="23"/>
  <c r="AE171" i="23"/>
  <c r="AA171" i="23"/>
  <c r="AB171" i="23" s="1"/>
  <c r="V171" i="23"/>
  <c r="S171" i="23"/>
  <c r="BV170" i="23"/>
  <c r="BU170" i="23"/>
  <c r="BT170" i="23"/>
  <c r="BR170" i="23"/>
  <c r="BN170" i="23"/>
  <c r="BM170" i="23"/>
  <c r="BJ170" i="23"/>
  <c r="BG170" i="23"/>
  <c r="BF170" i="23"/>
  <c r="BE170" i="23"/>
  <c r="BC170" i="23"/>
  <c r="BA170" i="23"/>
  <c r="AY170" i="23"/>
  <c r="AX170" i="23"/>
  <c r="AT170" i="23"/>
  <c r="AS170" i="23"/>
  <c r="AU170" i="23" s="1"/>
  <c r="AP170" i="23"/>
  <c r="AO170" i="23"/>
  <c r="AN170" i="23"/>
  <c r="AE170" i="23"/>
  <c r="AA170" i="23"/>
  <c r="AB170" i="23" s="1"/>
  <c r="V170" i="23"/>
  <c r="S170" i="23"/>
  <c r="BV169" i="23"/>
  <c r="BU169" i="23"/>
  <c r="BT169" i="23"/>
  <c r="BR169" i="23"/>
  <c r="BN169" i="23"/>
  <c r="BM169" i="23"/>
  <c r="BJ169" i="23"/>
  <c r="BG169" i="23"/>
  <c r="BF169" i="23"/>
  <c r="BC169" i="23"/>
  <c r="BA169" i="23"/>
  <c r="AY169" i="23"/>
  <c r="AX169" i="23"/>
  <c r="AT169" i="23"/>
  <c r="AS169" i="23"/>
  <c r="AU169" i="23" s="1"/>
  <c r="AP169" i="23"/>
  <c r="AO169" i="23"/>
  <c r="AN169" i="23"/>
  <c r="AE169" i="23"/>
  <c r="AA169" i="23"/>
  <c r="AB169" i="23" s="1"/>
  <c r="V169" i="23"/>
  <c r="S169" i="23"/>
  <c r="BV168" i="23"/>
  <c r="BU168" i="23"/>
  <c r="BT168" i="23"/>
  <c r="BR168" i="23"/>
  <c r="BN168" i="23"/>
  <c r="BM168" i="23"/>
  <c r="BJ168" i="23"/>
  <c r="BF168" i="23"/>
  <c r="BE168" i="23"/>
  <c r="BC168" i="23"/>
  <c r="BA168" i="23"/>
  <c r="AY168" i="23"/>
  <c r="AX168" i="23"/>
  <c r="AT168" i="23"/>
  <c r="BG168" i="23" s="1"/>
  <c r="AS168" i="23"/>
  <c r="AU168" i="23" s="1"/>
  <c r="AP168" i="23"/>
  <c r="AO168" i="23"/>
  <c r="AN168" i="23"/>
  <c r="AH168" i="23"/>
  <c r="AG168" i="23"/>
  <c r="AF168" i="23"/>
  <c r="AE168" i="23"/>
  <c r="AA168" i="23"/>
  <c r="AB168" i="23" s="1"/>
  <c r="V168" i="23"/>
  <c r="S168" i="23"/>
  <c r="BV167" i="23"/>
  <c r="BU167" i="23"/>
  <c r="BT167" i="23"/>
  <c r="BR167" i="23"/>
  <c r="BN167" i="23"/>
  <c r="BM167" i="23"/>
  <c r="BJ167" i="23"/>
  <c r="BF167" i="23"/>
  <c r="BC167" i="23"/>
  <c r="BA167" i="23"/>
  <c r="AY167" i="23"/>
  <c r="AX167" i="23"/>
  <c r="AT167" i="23"/>
  <c r="BG167" i="23" s="1"/>
  <c r="AS167" i="23"/>
  <c r="AU167" i="23" s="1"/>
  <c r="AP167" i="23"/>
  <c r="AO167" i="23"/>
  <c r="AN167" i="23"/>
  <c r="AE167" i="23"/>
  <c r="AA167" i="23"/>
  <c r="AB167" i="23" s="1"/>
  <c r="V167" i="23"/>
  <c r="S167" i="23"/>
  <c r="N1" i="23"/>
  <c r="L1" i="23"/>
  <c r="K1" i="23"/>
  <c r="J1" i="23"/>
  <c r="F1" i="23"/>
  <c r="C1" i="23"/>
  <c r="B1" i="23"/>
  <c r="A1" i="23"/>
  <c r="B2" i="35" s="1"/>
  <c r="J150" i="22"/>
  <c r="I150" i="22"/>
  <c r="F150" i="22"/>
  <c r="G150" i="22" s="1"/>
  <c r="E150" i="22"/>
  <c r="C150" i="22" s="1"/>
  <c r="D150" i="22"/>
  <c r="M149" i="22"/>
  <c r="L149" i="22"/>
  <c r="I149" i="22"/>
  <c r="J149" i="22" s="1"/>
  <c r="H149" i="22"/>
  <c r="G149" i="22"/>
  <c r="F149" i="22"/>
  <c r="E149" i="22"/>
  <c r="D149" i="22"/>
  <c r="C149" i="22"/>
  <c r="M148" i="22"/>
  <c r="L148" i="22"/>
  <c r="I148" i="22"/>
  <c r="J148" i="22" s="1"/>
  <c r="H148" i="22"/>
  <c r="G148" i="22"/>
  <c r="F148" i="22"/>
  <c r="E148" i="22"/>
  <c r="D148" i="22"/>
  <c r="C148" i="22"/>
  <c r="J147" i="22"/>
  <c r="I147" i="22"/>
  <c r="F147" i="22"/>
  <c r="G147" i="22" s="1"/>
  <c r="E147" i="22"/>
  <c r="D147" i="22"/>
  <c r="C147" i="22"/>
  <c r="M146" i="22"/>
  <c r="L146" i="22" s="1"/>
  <c r="I146" i="22"/>
  <c r="J146" i="22" s="1"/>
  <c r="F146" i="22"/>
  <c r="G146" i="22" s="1"/>
  <c r="E146" i="22"/>
  <c r="C146" i="22" s="1"/>
  <c r="D146" i="22"/>
  <c r="H146" i="22" s="1"/>
  <c r="I145" i="22"/>
  <c r="J145" i="22" s="1"/>
  <c r="F145" i="22"/>
  <c r="G145" i="22" s="1"/>
  <c r="E145" i="22"/>
  <c r="D145" i="22"/>
  <c r="C145" i="22"/>
  <c r="I144" i="22"/>
  <c r="J144" i="22" s="1"/>
  <c r="H144" i="22"/>
  <c r="F144" i="22"/>
  <c r="G144" i="22" s="1"/>
  <c r="E144" i="22"/>
  <c r="C144" i="22" s="1"/>
  <c r="D144" i="22"/>
  <c r="M143" i="22"/>
  <c r="L143" i="22"/>
  <c r="I143" i="22"/>
  <c r="J143" i="22" s="1"/>
  <c r="H143" i="22"/>
  <c r="F143" i="22"/>
  <c r="G143" i="22" s="1"/>
  <c r="E143" i="22"/>
  <c r="D143" i="22"/>
  <c r="C143" i="22"/>
  <c r="I142" i="22"/>
  <c r="J142" i="22" s="1"/>
  <c r="H142" i="22"/>
  <c r="F142" i="22"/>
  <c r="G142" i="22" s="1"/>
  <c r="E142" i="22"/>
  <c r="D142" i="22"/>
  <c r="M142" i="22" s="1"/>
  <c r="L142" i="22" s="1"/>
  <c r="C142" i="22"/>
  <c r="M141" i="22"/>
  <c r="L141" i="22"/>
  <c r="I141" i="22"/>
  <c r="J141" i="22" s="1"/>
  <c r="H141" i="22"/>
  <c r="G141" i="22"/>
  <c r="F141" i="22"/>
  <c r="E141" i="22"/>
  <c r="C141" i="22" s="1"/>
  <c r="D141" i="22"/>
  <c r="I140" i="22"/>
  <c r="J140" i="22" s="1"/>
  <c r="G140" i="22"/>
  <c r="F140" i="22"/>
  <c r="E140" i="22"/>
  <c r="C140" i="22" s="1"/>
  <c r="D140" i="22"/>
  <c r="M140" i="22" s="1"/>
  <c r="L140" i="22" s="1"/>
  <c r="I139" i="22"/>
  <c r="J139" i="22" s="1"/>
  <c r="H139" i="22"/>
  <c r="G139" i="22"/>
  <c r="F139" i="22"/>
  <c r="E139" i="22"/>
  <c r="D139" i="22"/>
  <c r="M139" i="22" s="1"/>
  <c r="L139" i="22" s="1"/>
  <c r="C139" i="22"/>
  <c r="M138" i="22"/>
  <c r="L138" i="22"/>
  <c r="J138" i="22"/>
  <c r="I138" i="22"/>
  <c r="G138" i="22"/>
  <c r="F138" i="22"/>
  <c r="E138" i="22"/>
  <c r="D138" i="22"/>
  <c r="H138" i="22" s="1"/>
  <c r="C138" i="22"/>
  <c r="I137" i="22"/>
  <c r="J137" i="22" s="1"/>
  <c r="F137" i="22"/>
  <c r="G137" i="22" s="1"/>
  <c r="E137" i="22"/>
  <c r="C137" i="22" s="1"/>
  <c r="D137" i="22"/>
  <c r="M136" i="22"/>
  <c r="L136" i="22" s="1"/>
  <c r="I136" i="22"/>
  <c r="J136" i="22" s="1"/>
  <c r="H136" i="22"/>
  <c r="F136" i="22"/>
  <c r="G136" i="22" s="1"/>
  <c r="E136" i="22"/>
  <c r="D136" i="22"/>
  <c r="C136" i="22"/>
  <c r="I135" i="22"/>
  <c r="J135" i="22" s="1"/>
  <c r="G135" i="22"/>
  <c r="F135" i="22"/>
  <c r="E135" i="22"/>
  <c r="C135" i="22" s="1"/>
  <c r="D135" i="22"/>
  <c r="M135" i="22" s="1"/>
  <c r="L135" i="22" s="1"/>
  <c r="I134" i="22"/>
  <c r="J134" i="22" s="1"/>
  <c r="G134" i="22"/>
  <c r="F134" i="22"/>
  <c r="E134" i="22"/>
  <c r="D134" i="22"/>
  <c r="M134" i="22" s="1"/>
  <c r="L134" i="22" s="1"/>
  <c r="C134" i="22"/>
  <c r="M133" i="22"/>
  <c r="L133" i="22" s="1"/>
  <c r="I133" i="22"/>
  <c r="J133" i="22" s="1"/>
  <c r="G133" i="22"/>
  <c r="F133" i="22"/>
  <c r="E133" i="22"/>
  <c r="D133" i="22"/>
  <c r="H133" i="22" s="1"/>
  <c r="C133" i="22"/>
  <c r="J132" i="22"/>
  <c r="I132" i="22"/>
  <c r="G132" i="22"/>
  <c r="F132" i="22"/>
  <c r="E132" i="22"/>
  <c r="D132" i="22"/>
  <c r="M132" i="22" s="1"/>
  <c r="L132" i="22" s="1"/>
  <c r="C132" i="22"/>
  <c r="J131" i="22"/>
  <c r="I131" i="22"/>
  <c r="H131" i="22"/>
  <c r="F131" i="22"/>
  <c r="G131" i="22" s="1"/>
  <c r="E131" i="22"/>
  <c r="M131" i="22" s="1"/>
  <c r="L131" i="22" s="1"/>
  <c r="D131" i="22"/>
  <c r="C131" i="22"/>
  <c r="M130" i="22"/>
  <c r="L130" i="22" s="1"/>
  <c r="I130" i="22"/>
  <c r="J130" i="22" s="1"/>
  <c r="F130" i="22"/>
  <c r="G130" i="22" s="1"/>
  <c r="E130" i="22"/>
  <c r="C130" i="22" s="1"/>
  <c r="D130" i="22"/>
  <c r="H130" i="22" s="1"/>
  <c r="I129" i="22"/>
  <c r="J129" i="22" s="1"/>
  <c r="H129" i="22"/>
  <c r="F129" i="22"/>
  <c r="G129" i="22" s="1"/>
  <c r="E129" i="22"/>
  <c r="D129" i="22"/>
  <c r="I128" i="22"/>
  <c r="J128" i="22" s="1"/>
  <c r="H128" i="22"/>
  <c r="F128" i="22"/>
  <c r="G128" i="22" s="1"/>
  <c r="E128" i="22"/>
  <c r="C128" i="22" s="1"/>
  <c r="D128" i="22"/>
  <c r="I127" i="22"/>
  <c r="J127" i="22" s="1"/>
  <c r="H127" i="22"/>
  <c r="F127" i="22"/>
  <c r="G127" i="22" s="1"/>
  <c r="E127" i="22"/>
  <c r="C127" i="22" s="1"/>
  <c r="D127" i="22"/>
  <c r="M127" i="22" s="1"/>
  <c r="L127" i="22" s="1"/>
  <c r="M126" i="22"/>
  <c r="L126" i="22"/>
  <c r="J126" i="22"/>
  <c r="I126" i="22"/>
  <c r="G126" i="22"/>
  <c r="F126" i="22"/>
  <c r="E126" i="22"/>
  <c r="D126" i="22"/>
  <c r="H126" i="22" s="1"/>
  <c r="C126" i="22"/>
  <c r="M125" i="22"/>
  <c r="L125" i="22"/>
  <c r="J125" i="22"/>
  <c r="I125" i="22"/>
  <c r="G125" i="22"/>
  <c r="F125" i="22"/>
  <c r="E125" i="22"/>
  <c r="D125" i="22"/>
  <c r="H125" i="22" s="1"/>
  <c r="C125" i="22"/>
  <c r="M124" i="22"/>
  <c r="L124" i="22" s="1"/>
  <c r="J124" i="22"/>
  <c r="I124" i="22"/>
  <c r="H124" i="22"/>
  <c r="F124" i="22"/>
  <c r="G124" i="22" s="1"/>
  <c r="E124" i="22"/>
  <c r="D124" i="22"/>
  <c r="C124" i="22"/>
  <c r="I123" i="22"/>
  <c r="J123" i="22" s="1"/>
  <c r="H123" i="22"/>
  <c r="F123" i="22"/>
  <c r="G123" i="22" s="1"/>
  <c r="E123" i="22"/>
  <c r="C123" i="22" s="1"/>
  <c r="D123" i="22"/>
  <c r="I122" i="22"/>
  <c r="J122" i="22" s="1"/>
  <c r="H122" i="22"/>
  <c r="G122" i="22"/>
  <c r="F122" i="22"/>
  <c r="E122" i="22"/>
  <c r="C122" i="22" s="1"/>
  <c r="D122" i="22"/>
  <c r="M122" i="22" s="1"/>
  <c r="L122" i="22" s="1"/>
  <c r="M121" i="22"/>
  <c r="L121" i="22" s="1"/>
  <c r="I121" i="22"/>
  <c r="J121" i="22" s="1"/>
  <c r="H121" i="22"/>
  <c r="F121" i="22"/>
  <c r="G121" i="22" s="1"/>
  <c r="E121" i="22"/>
  <c r="D121" i="22"/>
  <c r="C121" i="22"/>
  <c r="M120" i="22"/>
  <c r="L120" i="22"/>
  <c r="I120" i="22"/>
  <c r="J120" i="22" s="1"/>
  <c r="F120" i="22"/>
  <c r="G120" i="22" s="1"/>
  <c r="E120" i="22"/>
  <c r="D120" i="22"/>
  <c r="H120" i="22" s="1"/>
  <c r="C120" i="22"/>
  <c r="I119" i="22"/>
  <c r="J119" i="22" s="1"/>
  <c r="F119" i="22"/>
  <c r="G119" i="22" s="1"/>
  <c r="E119" i="22"/>
  <c r="C119" i="22" s="1"/>
  <c r="D119" i="22"/>
  <c r="I118" i="22"/>
  <c r="J118" i="22" s="1"/>
  <c r="F118" i="22"/>
  <c r="G118" i="22" s="1"/>
  <c r="E118" i="22"/>
  <c r="C118" i="22" s="1"/>
  <c r="D118" i="22"/>
  <c r="M118" i="22" s="1"/>
  <c r="L118" i="22" s="1"/>
  <c r="I117" i="22"/>
  <c r="J117" i="22" s="1"/>
  <c r="F117" i="22"/>
  <c r="G117" i="22" s="1"/>
  <c r="E117" i="22"/>
  <c r="C117" i="22" s="1"/>
  <c r="D117" i="22"/>
  <c r="M117" i="22" s="1"/>
  <c r="L117" i="22" s="1"/>
  <c r="I116" i="22"/>
  <c r="J116" i="22" s="1"/>
  <c r="H116" i="22"/>
  <c r="F116" i="22"/>
  <c r="G116" i="22" s="1"/>
  <c r="E116" i="22"/>
  <c r="C116" i="22" s="1"/>
  <c r="D116" i="22"/>
  <c r="M115" i="22"/>
  <c r="L115" i="22" s="1"/>
  <c r="I115" i="22"/>
  <c r="J115" i="22" s="1"/>
  <c r="H115" i="22"/>
  <c r="G115" i="22"/>
  <c r="F115" i="22"/>
  <c r="E115" i="22"/>
  <c r="D115" i="22"/>
  <c r="C115" i="22"/>
  <c r="J114" i="22"/>
  <c r="I114" i="22"/>
  <c r="G114" i="22"/>
  <c r="F114" i="22"/>
  <c r="E114" i="22"/>
  <c r="D114" i="22"/>
  <c r="H114" i="22" s="1"/>
  <c r="C114" i="22"/>
  <c r="M113" i="22"/>
  <c r="L113" i="22"/>
  <c r="J113" i="22"/>
  <c r="I113" i="22"/>
  <c r="G113" i="22"/>
  <c r="F113" i="22"/>
  <c r="E113" i="22"/>
  <c r="D113" i="22"/>
  <c r="H113" i="22" s="1"/>
  <c r="C113" i="22"/>
  <c r="M112" i="22"/>
  <c r="L112" i="22" s="1"/>
  <c r="J112" i="22"/>
  <c r="I112" i="22"/>
  <c r="H112" i="22"/>
  <c r="F112" i="22"/>
  <c r="G112" i="22" s="1"/>
  <c r="E112" i="22"/>
  <c r="D112" i="22"/>
  <c r="C112" i="22"/>
  <c r="I111" i="22"/>
  <c r="J111" i="22" s="1"/>
  <c r="H111" i="22"/>
  <c r="F111" i="22"/>
  <c r="G111" i="22" s="1"/>
  <c r="E111" i="22"/>
  <c r="D111" i="22"/>
  <c r="M111" i="22" s="1"/>
  <c r="L111" i="22" s="1"/>
  <c r="C111" i="22"/>
  <c r="M110" i="22"/>
  <c r="L110" i="22"/>
  <c r="I110" i="22"/>
  <c r="J110" i="22" s="1"/>
  <c r="F110" i="22"/>
  <c r="G110" i="22" s="1"/>
  <c r="E110" i="22"/>
  <c r="D110" i="22"/>
  <c r="H110" i="22" s="1"/>
  <c r="C110" i="22"/>
  <c r="I109" i="22"/>
  <c r="J109" i="22" s="1"/>
  <c r="G109" i="22"/>
  <c r="F109" i="22"/>
  <c r="E109" i="22"/>
  <c r="D109" i="22"/>
  <c r="M109" i="22" s="1"/>
  <c r="L109" i="22" s="1"/>
  <c r="C109" i="22"/>
  <c r="J108" i="22"/>
  <c r="I108" i="22"/>
  <c r="F108" i="22"/>
  <c r="G108" i="22" s="1"/>
  <c r="E108" i="22"/>
  <c r="C108" i="22" s="1"/>
  <c r="D108" i="22"/>
  <c r="H108" i="22" s="1"/>
  <c r="I107" i="22"/>
  <c r="J107" i="22" s="1"/>
  <c r="F107" i="22"/>
  <c r="G107" i="22" s="1"/>
  <c r="E107" i="22"/>
  <c r="C107" i="22" s="1"/>
  <c r="D107" i="22"/>
  <c r="M107" i="22" s="1"/>
  <c r="L107" i="22" s="1"/>
  <c r="I106" i="22"/>
  <c r="J106" i="22" s="1"/>
  <c r="H106" i="22"/>
  <c r="F106" i="22"/>
  <c r="G106" i="22" s="1"/>
  <c r="E106" i="22"/>
  <c r="D106" i="22"/>
  <c r="M105" i="22"/>
  <c r="L105" i="22"/>
  <c r="I105" i="22"/>
  <c r="J105" i="22" s="1"/>
  <c r="H105" i="22"/>
  <c r="G105" i="22"/>
  <c r="F105" i="22"/>
  <c r="E105" i="22"/>
  <c r="C105" i="22" s="1"/>
  <c r="D105" i="22"/>
  <c r="I104" i="22"/>
  <c r="J104" i="22" s="1"/>
  <c r="H104" i="22"/>
  <c r="F104" i="22"/>
  <c r="G104" i="22" s="1"/>
  <c r="E104" i="22"/>
  <c r="D104" i="22"/>
  <c r="M104" i="22" s="1"/>
  <c r="L104" i="22" s="1"/>
  <c r="C104" i="22"/>
  <c r="M103" i="22"/>
  <c r="L103" i="22"/>
  <c r="I103" i="22"/>
  <c r="J103" i="22" s="1"/>
  <c r="F103" i="22"/>
  <c r="G103" i="22" s="1"/>
  <c r="E103" i="22"/>
  <c r="D103" i="22"/>
  <c r="H103" i="22" s="1"/>
  <c r="C103" i="22"/>
  <c r="M102" i="22"/>
  <c r="L102" i="22" s="1"/>
  <c r="J102" i="22"/>
  <c r="I102" i="22"/>
  <c r="F102" i="22"/>
  <c r="G102" i="22" s="1"/>
  <c r="E102" i="22"/>
  <c r="D102" i="22"/>
  <c r="H102" i="22" s="1"/>
  <c r="C102" i="22"/>
  <c r="I101" i="22"/>
  <c r="J101" i="22" s="1"/>
  <c r="F101" i="22"/>
  <c r="G101" i="22" s="1"/>
  <c r="E101" i="22"/>
  <c r="C101" i="22" s="1"/>
  <c r="D101" i="22"/>
  <c r="M100" i="22"/>
  <c r="L100" i="22"/>
  <c r="I100" i="22"/>
  <c r="J100" i="22" s="1"/>
  <c r="H100" i="22"/>
  <c r="G100" i="22"/>
  <c r="F100" i="22"/>
  <c r="E100" i="22"/>
  <c r="D100" i="22"/>
  <c r="C100" i="22"/>
  <c r="I99" i="22"/>
  <c r="J99" i="22" s="1"/>
  <c r="G99" i="22"/>
  <c r="F99" i="22"/>
  <c r="E99" i="22"/>
  <c r="D99" i="22"/>
  <c r="M99" i="22" s="1"/>
  <c r="L99" i="22" s="1"/>
  <c r="C99" i="22"/>
  <c r="J98" i="22"/>
  <c r="I98" i="22"/>
  <c r="F98" i="22"/>
  <c r="G98" i="22" s="1"/>
  <c r="E98" i="22"/>
  <c r="D98" i="22"/>
  <c r="H98" i="22" s="1"/>
  <c r="C98" i="22"/>
  <c r="I97" i="22"/>
  <c r="J97" i="22" s="1"/>
  <c r="F97" i="22"/>
  <c r="G97" i="22" s="1"/>
  <c r="E97" i="22"/>
  <c r="D97" i="22"/>
  <c r="M97" i="22" s="1"/>
  <c r="L97" i="22" s="1"/>
  <c r="C97" i="22"/>
  <c r="I96" i="22"/>
  <c r="J96" i="22" s="1"/>
  <c r="F96" i="22"/>
  <c r="G96" i="22" s="1"/>
  <c r="E96" i="22"/>
  <c r="C96" i="22" s="1"/>
  <c r="D96" i="22"/>
  <c r="M95" i="22"/>
  <c r="L95" i="22"/>
  <c r="I95" i="22"/>
  <c r="J95" i="22" s="1"/>
  <c r="H95" i="22"/>
  <c r="F95" i="22"/>
  <c r="G95" i="22" s="1"/>
  <c r="E95" i="22"/>
  <c r="D95" i="22"/>
  <c r="C95" i="22"/>
  <c r="I94" i="22"/>
  <c r="J94" i="22" s="1"/>
  <c r="F94" i="22"/>
  <c r="G94" i="22" s="1"/>
  <c r="E94" i="22"/>
  <c r="D94" i="22"/>
  <c r="M94" i="22" s="1"/>
  <c r="L94" i="22" s="1"/>
  <c r="C94" i="22"/>
  <c r="I93" i="22"/>
  <c r="J93" i="22" s="1"/>
  <c r="F93" i="22"/>
  <c r="G93" i="22" s="1"/>
  <c r="E93" i="22"/>
  <c r="C93" i="22" s="1"/>
  <c r="D93" i="22"/>
  <c r="H93" i="22" s="1"/>
  <c r="M92" i="22"/>
  <c r="L92" i="22" s="1"/>
  <c r="J92" i="22"/>
  <c r="I92" i="22"/>
  <c r="F92" i="22"/>
  <c r="G92" i="22" s="1"/>
  <c r="E92" i="22"/>
  <c r="D92" i="22"/>
  <c r="H92" i="22" s="1"/>
  <c r="C92" i="22"/>
  <c r="I91" i="22"/>
  <c r="J91" i="22" s="1"/>
  <c r="F91" i="22"/>
  <c r="G91" i="22" s="1"/>
  <c r="E91" i="22"/>
  <c r="C91" i="22" s="1"/>
  <c r="D91" i="22"/>
  <c r="M90" i="22"/>
  <c r="L90" i="22"/>
  <c r="J90" i="22"/>
  <c r="I90" i="22"/>
  <c r="H90" i="22"/>
  <c r="G90" i="22"/>
  <c r="F90" i="22"/>
  <c r="E90" i="22"/>
  <c r="D90" i="22"/>
  <c r="C90" i="22"/>
  <c r="I89" i="22"/>
  <c r="J89" i="22" s="1"/>
  <c r="G89" i="22"/>
  <c r="F89" i="22"/>
  <c r="E89" i="22"/>
  <c r="D89" i="22"/>
  <c r="M89" i="22" s="1"/>
  <c r="L89" i="22" s="1"/>
  <c r="C89" i="22"/>
  <c r="J88" i="22"/>
  <c r="I88" i="22"/>
  <c r="F88" i="22"/>
  <c r="G88" i="22" s="1"/>
  <c r="E88" i="22"/>
  <c r="D88" i="22"/>
  <c r="H88" i="22" s="1"/>
  <c r="C88" i="22"/>
  <c r="I87" i="22"/>
  <c r="J87" i="22" s="1"/>
  <c r="H87" i="22"/>
  <c r="F87" i="22"/>
  <c r="G87" i="22" s="1"/>
  <c r="E87" i="22"/>
  <c r="D87" i="22"/>
  <c r="M87" i="22" s="1"/>
  <c r="L87" i="22" s="1"/>
  <c r="C87" i="22"/>
  <c r="I86" i="22"/>
  <c r="J86" i="22" s="1"/>
  <c r="H86" i="22"/>
  <c r="F86" i="22"/>
  <c r="G86" i="22" s="1"/>
  <c r="E86" i="22"/>
  <c r="D86" i="22"/>
  <c r="M86" i="22" s="1"/>
  <c r="L86" i="22" s="1"/>
  <c r="C86" i="22"/>
  <c r="M85" i="22"/>
  <c r="L85" i="22" s="1"/>
  <c r="I85" i="22"/>
  <c r="J85" i="22" s="1"/>
  <c r="F85" i="22"/>
  <c r="G85" i="22" s="1"/>
  <c r="E85" i="22"/>
  <c r="D85" i="22"/>
  <c r="H85" i="22" s="1"/>
  <c r="C85" i="22"/>
  <c r="I84" i="22"/>
  <c r="J84" i="22" s="1"/>
  <c r="F84" i="22"/>
  <c r="G84" i="22" s="1"/>
  <c r="E84" i="22"/>
  <c r="D84" i="22"/>
  <c r="C84" i="22"/>
  <c r="M83" i="22"/>
  <c r="L83" i="22" s="1"/>
  <c r="I83" i="22"/>
  <c r="J83" i="22" s="1"/>
  <c r="H83" i="22"/>
  <c r="F83" i="22"/>
  <c r="G83" i="22" s="1"/>
  <c r="E83" i="22"/>
  <c r="C83" i="22" s="1"/>
  <c r="D83" i="22"/>
  <c r="I82" i="22"/>
  <c r="J82" i="22" s="1"/>
  <c r="H82" i="22"/>
  <c r="G82" i="22"/>
  <c r="F82" i="22"/>
  <c r="E82" i="22"/>
  <c r="C82" i="22" s="1"/>
  <c r="D82" i="22"/>
  <c r="M82" i="22" s="1"/>
  <c r="L82" i="22" s="1"/>
  <c r="J81" i="22"/>
  <c r="I81" i="22"/>
  <c r="F81" i="22"/>
  <c r="G81" i="22" s="1"/>
  <c r="E81" i="22"/>
  <c r="D81" i="22"/>
  <c r="M81" i="22" s="1"/>
  <c r="L81" i="22" s="1"/>
  <c r="C81" i="22"/>
  <c r="M80" i="22"/>
  <c r="L80" i="22"/>
  <c r="J80" i="22"/>
  <c r="I80" i="22"/>
  <c r="F80" i="22"/>
  <c r="G80" i="22" s="1"/>
  <c r="E80" i="22"/>
  <c r="D80" i="22"/>
  <c r="H80" i="22" s="1"/>
  <c r="C80" i="22"/>
  <c r="I79" i="22"/>
  <c r="J79" i="22" s="1"/>
  <c r="F79" i="22"/>
  <c r="G79" i="22" s="1"/>
  <c r="E79" i="22"/>
  <c r="C79" i="22" s="1"/>
  <c r="D79" i="22"/>
  <c r="M78" i="22"/>
  <c r="L78" i="22"/>
  <c r="I78" i="22"/>
  <c r="J78" i="22" s="1"/>
  <c r="H78" i="22"/>
  <c r="G78" i="22"/>
  <c r="F78" i="22"/>
  <c r="E78" i="22"/>
  <c r="D78" i="22"/>
  <c r="C78" i="22"/>
  <c r="I77" i="22"/>
  <c r="J77" i="22" s="1"/>
  <c r="G77" i="22"/>
  <c r="F77" i="22"/>
  <c r="E77" i="22"/>
  <c r="D77" i="22"/>
  <c r="M77" i="22" s="1"/>
  <c r="L77" i="22" s="1"/>
  <c r="C77" i="22"/>
  <c r="J76" i="22"/>
  <c r="I76" i="22"/>
  <c r="F76" i="22"/>
  <c r="G76" i="22" s="1"/>
  <c r="E76" i="22"/>
  <c r="C76" i="22" s="1"/>
  <c r="D76" i="22"/>
  <c r="H76" i="22" s="1"/>
  <c r="I75" i="22"/>
  <c r="J75" i="22" s="1"/>
  <c r="H75" i="22"/>
  <c r="F75" i="22"/>
  <c r="G75" i="22" s="1"/>
  <c r="E75" i="22"/>
  <c r="D75" i="22"/>
  <c r="M75" i="22" s="1"/>
  <c r="L75" i="22" s="1"/>
  <c r="C75" i="22"/>
  <c r="I74" i="22"/>
  <c r="J74" i="22" s="1"/>
  <c r="H74" i="22"/>
  <c r="F74" i="22"/>
  <c r="G74" i="22" s="1"/>
  <c r="E74" i="22"/>
  <c r="D74" i="22"/>
  <c r="M74" i="22" s="1"/>
  <c r="L74" i="22" s="1"/>
  <c r="C74" i="22"/>
  <c r="M73" i="22"/>
  <c r="L73" i="22"/>
  <c r="I73" i="22"/>
  <c r="J73" i="22" s="1"/>
  <c r="F73" i="22"/>
  <c r="G73" i="22" s="1"/>
  <c r="E73" i="22"/>
  <c r="D73" i="22"/>
  <c r="H73" i="22" s="1"/>
  <c r="C73" i="22"/>
  <c r="I72" i="22"/>
  <c r="J72" i="22" s="1"/>
  <c r="F72" i="22"/>
  <c r="G72" i="22" s="1"/>
  <c r="E72" i="22"/>
  <c r="D72" i="22"/>
  <c r="C72" i="22"/>
  <c r="I71" i="22"/>
  <c r="J71" i="22" s="1"/>
  <c r="H71" i="22"/>
  <c r="G71" i="22"/>
  <c r="F71" i="22"/>
  <c r="E71" i="22"/>
  <c r="C71" i="22" s="1"/>
  <c r="D71" i="22"/>
  <c r="I70" i="22"/>
  <c r="J70" i="22" s="1"/>
  <c r="H70" i="22"/>
  <c r="G70" i="22"/>
  <c r="F70" i="22"/>
  <c r="E70" i="22"/>
  <c r="C70" i="22" s="1"/>
  <c r="D70" i="22"/>
  <c r="M70" i="22" s="1"/>
  <c r="L70" i="22" s="1"/>
  <c r="I69" i="22"/>
  <c r="J69" i="22" s="1"/>
  <c r="F69" i="22"/>
  <c r="G69" i="22" s="1"/>
  <c r="E69" i="22"/>
  <c r="C69" i="22" s="1"/>
  <c r="D69" i="22"/>
  <c r="M69" i="22" s="1"/>
  <c r="L69" i="22" s="1"/>
  <c r="M68" i="22"/>
  <c r="L68" i="22"/>
  <c r="J68" i="22"/>
  <c r="I68" i="22"/>
  <c r="F68" i="22"/>
  <c r="G68" i="22" s="1"/>
  <c r="E68" i="22"/>
  <c r="D68" i="22"/>
  <c r="H68" i="22" s="1"/>
  <c r="C68" i="22"/>
  <c r="I67" i="22"/>
  <c r="J67" i="22" s="1"/>
  <c r="F67" i="22"/>
  <c r="G67" i="22" s="1"/>
  <c r="E67" i="22"/>
  <c r="C67" i="22" s="1"/>
  <c r="D67" i="22"/>
  <c r="M66" i="22"/>
  <c r="L66" i="22"/>
  <c r="J66" i="22"/>
  <c r="I66" i="22"/>
  <c r="H66" i="22"/>
  <c r="G66" i="22"/>
  <c r="F66" i="22"/>
  <c r="E66" i="22"/>
  <c r="D66" i="22"/>
  <c r="C66" i="22"/>
  <c r="I65" i="22"/>
  <c r="J65" i="22" s="1"/>
  <c r="G65" i="22"/>
  <c r="F65" i="22"/>
  <c r="E65" i="22"/>
  <c r="D65" i="22"/>
  <c r="M65" i="22" s="1"/>
  <c r="L65" i="22" s="1"/>
  <c r="C65" i="22"/>
  <c r="J64" i="22"/>
  <c r="I64" i="22"/>
  <c r="F64" i="22"/>
  <c r="G64" i="22" s="1"/>
  <c r="E64" i="22"/>
  <c r="D64" i="22"/>
  <c r="H64" i="22" s="1"/>
  <c r="C64" i="22"/>
  <c r="I63" i="22"/>
  <c r="J63" i="22" s="1"/>
  <c r="H63" i="22"/>
  <c r="F63" i="22"/>
  <c r="G63" i="22" s="1"/>
  <c r="E63" i="22"/>
  <c r="D63" i="22"/>
  <c r="M63" i="22" s="1"/>
  <c r="L63" i="22" s="1"/>
  <c r="C63" i="22"/>
  <c r="I62" i="22"/>
  <c r="J62" i="22" s="1"/>
  <c r="H62" i="22"/>
  <c r="G62" i="22"/>
  <c r="F62" i="22"/>
  <c r="E62" i="22"/>
  <c r="D62" i="22"/>
  <c r="M62" i="22" s="1"/>
  <c r="L62" i="22" s="1"/>
  <c r="C62" i="22"/>
  <c r="M61" i="22"/>
  <c r="L61" i="22"/>
  <c r="J61" i="22"/>
  <c r="I61" i="22"/>
  <c r="F61" i="22"/>
  <c r="G61" i="22" s="1"/>
  <c r="E61" i="22"/>
  <c r="D61" i="22"/>
  <c r="H61" i="22" s="1"/>
  <c r="C61" i="22"/>
  <c r="I60" i="22"/>
  <c r="J60" i="22" s="1"/>
  <c r="F60" i="22"/>
  <c r="G60" i="22" s="1"/>
  <c r="E60" i="22"/>
  <c r="D60" i="22"/>
  <c r="C60" i="22"/>
  <c r="I59" i="22"/>
  <c r="J59" i="22" s="1"/>
  <c r="H59" i="22"/>
  <c r="F59" i="22"/>
  <c r="G59" i="22" s="1"/>
  <c r="E59" i="22"/>
  <c r="C59" i="22" s="1"/>
  <c r="D59" i="22"/>
  <c r="J58" i="22"/>
  <c r="I58" i="22"/>
  <c r="H58" i="22"/>
  <c r="G58" i="22"/>
  <c r="F58" i="22"/>
  <c r="E58" i="22"/>
  <c r="C58" i="22" s="1"/>
  <c r="D58" i="22"/>
  <c r="M58" i="22" s="1"/>
  <c r="L58" i="22" s="1"/>
  <c r="I57" i="22"/>
  <c r="J57" i="22" s="1"/>
  <c r="F57" i="22"/>
  <c r="G57" i="22" s="1"/>
  <c r="E57" i="22"/>
  <c r="D57" i="22"/>
  <c r="M57" i="22" s="1"/>
  <c r="L57" i="22" s="1"/>
  <c r="C57" i="22"/>
  <c r="M56" i="22"/>
  <c r="L56" i="22"/>
  <c r="J56" i="22"/>
  <c r="I56" i="22"/>
  <c r="F56" i="22"/>
  <c r="G56" i="22" s="1"/>
  <c r="E56" i="22"/>
  <c r="D56" i="22"/>
  <c r="H56" i="22" s="1"/>
  <c r="C56" i="22"/>
  <c r="I55" i="22"/>
  <c r="J55" i="22" s="1"/>
  <c r="F55" i="22"/>
  <c r="G55" i="22" s="1"/>
  <c r="E55" i="22"/>
  <c r="C55" i="22" s="1"/>
  <c r="D55" i="22"/>
  <c r="M54" i="22"/>
  <c r="L54" i="22"/>
  <c r="J54" i="22"/>
  <c r="I54" i="22"/>
  <c r="H54" i="22"/>
  <c r="G54" i="22"/>
  <c r="F54" i="22"/>
  <c r="E54" i="22"/>
  <c r="D54" i="22"/>
  <c r="C54" i="22"/>
  <c r="I53" i="22"/>
  <c r="J53" i="22" s="1"/>
  <c r="G53" i="22"/>
  <c r="F53" i="22"/>
  <c r="E53" i="22"/>
  <c r="D53" i="22"/>
  <c r="M53" i="22" s="1"/>
  <c r="L53" i="22" s="1"/>
  <c r="C53" i="22"/>
  <c r="M52" i="22"/>
  <c r="L52" i="22"/>
  <c r="J52" i="22"/>
  <c r="I52" i="22"/>
  <c r="F52" i="22"/>
  <c r="G52" i="22" s="1"/>
  <c r="E52" i="22"/>
  <c r="D52" i="22"/>
  <c r="H52" i="22" s="1"/>
  <c r="C52" i="22"/>
  <c r="I51" i="22"/>
  <c r="J51" i="22" s="1"/>
  <c r="H51" i="22"/>
  <c r="F51" i="22"/>
  <c r="G51" i="22" s="1"/>
  <c r="E51" i="22"/>
  <c r="D51" i="22"/>
  <c r="M51" i="22" s="1"/>
  <c r="L51" i="22" s="1"/>
  <c r="C51" i="22"/>
  <c r="I50" i="22"/>
  <c r="J50" i="22" s="1"/>
  <c r="H50" i="22"/>
  <c r="F50" i="22"/>
  <c r="G50" i="22" s="1"/>
  <c r="E50" i="22"/>
  <c r="D50" i="22"/>
  <c r="M50" i="22" s="1"/>
  <c r="L50" i="22" s="1"/>
  <c r="C50" i="22"/>
  <c r="M49" i="22"/>
  <c r="L49" i="22"/>
  <c r="I49" i="22"/>
  <c r="J49" i="22" s="1"/>
  <c r="F49" i="22"/>
  <c r="G49" i="22" s="1"/>
  <c r="E49" i="22"/>
  <c r="D49" i="22"/>
  <c r="H49" i="22" s="1"/>
  <c r="C49" i="22"/>
  <c r="I48" i="22"/>
  <c r="J48" i="22" s="1"/>
  <c r="F48" i="22"/>
  <c r="G48" i="22" s="1"/>
  <c r="E48" i="22"/>
  <c r="D48" i="22"/>
  <c r="C48" i="22"/>
  <c r="I47" i="22"/>
  <c r="J47" i="22" s="1"/>
  <c r="H47" i="22"/>
  <c r="F47" i="22"/>
  <c r="G47" i="22" s="1"/>
  <c r="E47" i="22"/>
  <c r="C47" i="22" s="1"/>
  <c r="D47" i="22"/>
  <c r="J46" i="22"/>
  <c r="I46" i="22"/>
  <c r="H46" i="22"/>
  <c r="G46" i="22"/>
  <c r="F46" i="22"/>
  <c r="E46" i="22"/>
  <c r="C46" i="22" s="1"/>
  <c r="D46" i="22"/>
  <c r="M46" i="22" s="1"/>
  <c r="L46" i="22" s="1"/>
  <c r="I45" i="22"/>
  <c r="J45" i="22" s="1"/>
  <c r="F45" i="22"/>
  <c r="G45" i="22" s="1"/>
  <c r="E45" i="22"/>
  <c r="D45" i="22"/>
  <c r="C45" i="22"/>
  <c r="M44" i="22"/>
  <c r="L44" i="22" s="1"/>
  <c r="J44" i="22"/>
  <c r="I44" i="22"/>
  <c r="F44" i="22"/>
  <c r="G44" i="22" s="1"/>
  <c r="E44" i="22"/>
  <c r="D44" i="22"/>
  <c r="H44" i="22" s="1"/>
  <c r="C44" i="22"/>
  <c r="I43" i="22"/>
  <c r="J43" i="22" s="1"/>
  <c r="F43" i="22"/>
  <c r="G43" i="22" s="1"/>
  <c r="E43" i="22"/>
  <c r="C43" i="22" s="1"/>
  <c r="D43" i="22"/>
  <c r="M42" i="22"/>
  <c r="L42" i="22"/>
  <c r="I42" i="22"/>
  <c r="J42" i="22" s="1"/>
  <c r="H42" i="22"/>
  <c r="G42" i="22"/>
  <c r="F42" i="22"/>
  <c r="E42" i="22"/>
  <c r="D42" i="22"/>
  <c r="C42" i="22"/>
  <c r="I41" i="22"/>
  <c r="J41" i="22" s="1"/>
  <c r="G41" i="22"/>
  <c r="F41" i="22"/>
  <c r="E41" i="22"/>
  <c r="D41" i="22"/>
  <c r="M41" i="22" s="1"/>
  <c r="L41" i="22" s="1"/>
  <c r="C41" i="22"/>
  <c r="J40" i="22"/>
  <c r="I40" i="22"/>
  <c r="F40" i="22"/>
  <c r="G40" i="22" s="1"/>
  <c r="E40" i="22"/>
  <c r="M40" i="22" s="1"/>
  <c r="L40" i="22" s="1"/>
  <c r="D40" i="22"/>
  <c r="H40" i="22" s="1"/>
  <c r="I39" i="22"/>
  <c r="J39" i="22" s="1"/>
  <c r="H39" i="22"/>
  <c r="F39" i="22"/>
  <c r="G39" i="22" s="1"/>
  <c r="E39" i="22"/>
  <c r="D39" i="22"/>
  <c r="M39" i="22" s="1"/>
  <c r="L39" i="22" s="1"/>
  <c r="C39" i="22"/>
  <c r="I38" i="22"/>
  <c r="J38" i="22" s="1"/>
  <c r="H38" i="22"/>
  <c r="F38" i="22"/>
  <c r="G38" i="22" s="1"/>
  <c r="E38" i="22"/>
  <c r="D38" i="22"/>
  <c r="M38" i="22" s="1"/>
  <c r="L38" i="22" s="1"/>
  <c r="C38" i="22"/>
  <c r="M37" i="22"/>
  <c r="L37" i="22"/>
  <c r="I37" i="22"/>
  <c r="J37" i="22" s="1"/>
  <c r="F37" i="22"/>
  <c r="G37" i="22" s="1"/>
  <c r="E37" i="22"/>
  <c r="D37" i="22"/>
  <c r="H37" i="22" s="1"/>
  <c r="C37" i="22"/>
  <c r="I36" i="22"/>
  <c r="J36" i="22" s="1"/>
  <c r="F36" i="22"/>
  <c r="G36" i="22" s="1"/>
  <c r="E36" i="22"/>
  <c r="D36" i="22"/>
  <c r="C36" i="22"/>
  <c r="M35" i="22"/>
  <c r="L35" i="22" s="1"/>
  <c r="I35" i="22"/>
  <c r="J35" i="22" s="1"/>
  <c r="H35" i="22"/>
  <c r="F35" i="22"/>
  <c r="G35" i="22" s="1"/>
  <c r="E35" i="22"/>
  <c r="C35" i="22" s="1"/>
  <c r="D35" i="22"/>
  <c r="J34" i="22"/>
  <c r="I34" i="22"/>
  <c r="H34" i="22"/>
  <c r="G34" i="22"/>
  <c r="F34" i="22"/>
  <c r="E34" i="22"/>
  <c r="C34" i="22" s="1"/>
  <c r="D34" i="22"/>
  <c r="M34" i="22" s="1"/>
  <c r="L34" i="22" s="1"/>
  <c r="I33" i="22"/>
  <c r="J33" i="22" s="1"/>
  <c r="H33" i="22"/>
  <c r="F33" i="22"/>
  <c r="G33" i="22" s="1"/>
  <c r="E33" i="22"/>
  <c r="C33" i="22" s="1"/>
  <c r="D33" i="22"/>
  <c r="M32" i="22"/>
  <c r="L32" i="22"/>
  <c r="J32" i="22"/>
  <c r="I32" i="22"/>
  <c r="F32" i="22"/>
  <c r="G32" i="22" s="1"/>
  <c r="E32" i="22"/>
  <c r="D32" i="22"/>
  <c r="H32" i="22" s="1"/>
  <c r="C32" i="22"/>
  <c r="I31" i="22"/>
  <c r="J31" i="22" s="1"/>
  <c r="F31" i="22"/>
  <c r="G31" i="22" s="1"/>
  <c r="E31" i="22"/>
  <c r="C31" i="22" s="1"/>
  <c r="D31" i="22"/>
  <c r="M30" i="22"/>
  <c r="L30" i="22"/>
  <c r="I30" i="22"/>
  <c r="J30" i="22" s="1"/>
  <c r="H30" i="22"/>
  <c r="G30" i="22"/>
  <c r="F30" i="22"/>
  <c r="E30" i="22"/>
  <c r="D30" i="22"/>
  <c r="C30" i="22"/>
  <c r="I29" i="22"/>
  <c r="J29" i="22" s="1"/>
  <c r="G29" i="22"/>
  <c r="F29" i="22"/>
  <c r="E29" i="22"/>
  <c r="D29" i="22"/>
  <c r="M29" i="22" s="1"/>
  <c r="L29" i="22" s="1"/>
  <c r="C29" i="22"/>
  <c r="J28" i="22"/>
  <c r="I28" i="22"/>
  <c r="F28" i="22"/>
  <c r="G28" i="22" s="1"/>
  <c r="E28" i="22"/>
  <c r="C28" i="22" s="1"/>
  <c r="D28" i="22"/>
  <c r="H28" i="22" s="1"/>
  <c r="I27" i="22"/>
  <c r="J27" i="22" s="1"/>
  <c r="H27" i="22"/>
  <c r="F27" i="22"/>
  <c r="G27" i="22" s="1"/>
  <c r="E27" i="22"/>
  <c r="D27" i="22"/>
  <c r="M27" i="22" s="1"/>
  <c r="L27" i="22" s="1"/>
  <c r="C27" i="22"/>
  <c r="I26" i="22"/>
  <c r="J26" i="22" s="1"/>
  <c r="H26" i="22"/>
  <c r="F26" i="22"/>
  <c r="G26" i="22" s="1"/>
  <c r="E26" i="22"/>
  <c r="D26" i="22"/>
  <c r="M26" i="22" s="1"/>
  <c r="L26" i="22" s="1"/>
  <c r="C26" i="22"/>
  <c r="M25" i="22"/>
  <c r="L25" i="22"/>
  <c r="I25" i="22"/>
  <c r="J25" i="22" s="1"/>
  <c r="F25" i="22"/>
  <c r="G25" i="22" s="1"/>
  <c r="E25" i="22"/>
  <c r="D25" i="22"/>
  <c r="H25" i="22" s="1"/>
  <c r="C25" i="22"/>
  <c r="I24" i="22"/>
  <c r="J24" i="22" s="1"/>
  <c r="F24" i="22"/>
  <c r="G24" i="22" s="1"/>
  <c r="E24" i="22"/>
  <c r="C24" i="22" s="1"/>
  <c r="D24" i="22"/>
  <c r="I23" i="22"/>
  <c r="J23" i="22" s="1"/>
  <c r="H23" i="22"/>
  <c r="F23" i="22"/>
  <c r="G23" i="22" s="1"/>
  <c r="E23" i="22"/>
  <c r="C23" i="22" s="1"/>
  <c r="D23" i="22"/>
  <c r="J22" i="22"/>
  <c r="I22" i="22"/>
  <c r="H22" i="22"/>
  <c r="G22" i="22"/>
  <c r="F22" i="22"/>
  <c r="E22" i="22"/>
  <c r="C22" i="22" s="1"/>
  <c r="D22" i="22"/>
  <c r="M22" i="22" s="1"/>
  <c r="L22" i="22" s="1"/>
  <c r="J21" i="22"/>
  <c r="I21" i="22"/>
  <c r="F21" i="22"/>
  <c r="G21" i="22" s="1"/>
  <c r="E21" i="22"/>
  <c r="C21" i="22" s="1"/>
  <c r="D21" i="22"/>
  <c r="M20" i="22"/>
  <c r="L20" i="22" s="1"/>
  <c r="J20" i="22"/>
  <c r="I20" i="22"/>
  <c r="F20" i="22"/>
  <c r="G20" i="22" s="1"/>
  <c r="E20" i="22"/>
  <c r="D20" i="22"/>
  <c r="H20" i="22" s="1"/>
  <c r="C20" i="22"/>
  <c r="I19" i="22"/>
  <c r="J19" i="22" s="1"/>
  <c r="F19" i="22"/>
  <c r="G19" i="22" s="1"/>
  <c r="E19" i="22"/>
  <c r="C19" i="22" s="1"/>
  <c r="D19" i="22"/>
  <c r="M18" i="22"/>
  <c r="L18" i="22"/>
  <c r="I18" i="22"/>
  <c r="J18" i="22" s="1"/>
  <c r="H18" i="22"/>
  <c r="G18" i="22"/>
  <c r="F18" i="22"/>
  <c r="E18" i="22"/>
  <c r="D18" i="22"/>
  <c r="C18" i="22"/>
  <c r="I17" i="22"/>
  <c r="J17" i="22" s="1"/>
  <c r="G17" i="22"/>
  <c r="F17" i="22"/>
  <c r="E17" i="22"/>
  <c r="D17" i="22"/>
  <c r="M17" i="22" s="1"/>
  <c r="L17" i="22" s="1"/>
  <c r="C17" i="22"/>
  <c r="J16" i="22"/>
  <c r="I16" i="22"/>
  <c r="F16" i="22"/>
  <c r="G16" i="22" s="1"/>
  <c r="E16" i="22"/>
  <c r="D16" i="22"/>
  <c r="H16" i="22" s="1"/>
  <c r="C16" i="22"/>
  <c r="I15" i="22"/>
  <c r="J15" i="22" s="1"/>
  <c r="H15" i="22"/>
  <c r="F15" i="22"/>
  <c r="G15" i="22" s="1"/>
  <c r="E15" i="22"/>
  <c r="D15" i="22"/>
  <c r="M15" i="22" s="1"/>
  <c r="L15" i="22" s="1"/>
  <c r="C15" i="22"/>
  <c r="I14" i="22"/>
  <c r="J14" i="22" s="1"/>
  <c r="H14" i="22"/>
  <c r="F14" i="22"/>
  <c r="G14" i="22" s="1"/>
  <c r="E14" i="22"/>
  <c r="D14" i="22"/>
  <c r="M14" i="22" s="1"/>
  <c r="L14" i="22" s="1"/>
  <c r="C14" i="22"/>
  <c r="M13" i="22"/>
  <c r="L13" i="22"/>
  <c r="I13" i="22"/>
  <c r="J13" i="22" s="1"/>
  <c r="F13" i="22"/>
  <c r="G13" i="22" s="1"/>
  <c r="E13" i="22"/>
  <c r="D13" i="22"/>
  <c r="H13" i="22" s="1"/>
  <c r="C13" i="22"/>
  <c r="I12" i="22"/>
  <c r="J12" i="22" s="1"/>
  <c r="F12" i="22"/>
  <c r="G12" i="22" s="1"/>
  <c r="E12" i="22"/>
  <c r="C12" i="22" s="1"/>
  <c r="D12" i="22"/>
  <c r="I11" i="22"/>
  <c r="J11" i="22" s="1"/>
  <c r="H11" i="22"/>
  <c r="F11" i="22"/>
  <c r="G11" i="22" s="1"/>
  <c r="E11" i="22"/>
  <c r="C11" i="22" s="1"/>
  <c r="D11" i="22"/>
  <c r="J10" i="22"/>
  <c r="I10" i="22"/>
  <c r="H10" i="22"/>
  <c r="G10" i="22"/>
  <c r="F10" i="22"/>
  <c r="E10" i="22"/>
  <c r="C10" i="22" s="1"/>
  <c r="D10" i="22"/>
  <c r="M10" i="22" s="1"/>
  <c r="L10" i="22" s="1"/>
  <c r="J9" i="22"/>
  <c r="I9" i="22"/>
  <c r="F9" i="22"/>
  <c r="G9" i="22" s="1"/>
  <c r="E9" i="22"/>
  <c r="D9" i="22"/>
  <c r="M9" i="22" s="1"/>
  <c r="L9" i="22" s="1"/>
  <c r="C9" i="22"/>
  <c r="M8" i="22"/>
  <c r="L8" i="22" s="1"/>
  <c r="J8" i="22"/>
  <c r="I8" i="22"/>
  <c r="F8" i="22"/>
  <c r="G8" i="22" s="1"/>
  <c r="E8" i="22"/>
  <c r="D8" i="22"/>
  <c r="H8" i="22" s="1"/>
  <c r="C8" i="22"/>
  <c r="I7" i="22"/>
  <c r="J7" i="22" s="1"/>
  <c r="F7" i="22"/>
  <c r="G7" i="22" s="1"/>
  <c r="E7" i="22"/>
  <c r="C7" i="22" s="1"/>
  <c r="D7" i="22"/>
  <c r="M6" i="22"/>
  <c r="L6" i="22"/>
  <c r="I6" i="22"/>
  <c r="J6" i="22" s="1"/>
  <c r="F6" i="22"/>
  <c r="G6" i="22" s="1"/>
  <c r="E6" i="22"/>
  <c r="D6" i="22"/>
  <c r="H6" i="22" s="1"/>
  <c r="C6" i="22"/>
  <c r="I5" i="22"/>
  <c r="J5" i="22" s="1"/>
  <c r="F5" i="22"/>
  <c r="G5" i="22" s="1"/>
  <c r="E5" i="22"/>
  <c r="C5" i="22" s="1"/>
  <c r="D5" i="22"/>
  <c r="M4" i="22"/>
  <c r="L4" i="22"/>
  <c r="I4" i="22"/>
  <c r="J4" i="22" s="1"/>
  <c r="H4" i="22"/>
  <c r="G4" i="22"/>
  <c r="F4" i="22"/>
  <c r="E4" i="22"/>
  <c r="D4" i="22"/>
  <c r="C4" i="22"/>
  <c r="I3" i="22"/>
  <c r="J3" i="22" s="1"/>
  <c r="G3" i="22"/>
  <c r="F3" i="22"/>
  <c r="E3" i="22"/>
  <c r="D3" i="22"/>
  <c r="M3" i="22" s="1"/>
  <c r="L3" i="22" s="1"/>
  <c r="C3" i="22"/>
  <c r="M2" i="22"/>
  <c r="L2" i="22"/>
  <c r="J2" i="22"/>
  <c r="I2" i="22"/>
  <c r="G2" i="22"/>
  <c r="F2" i="22"/>
  <c r="E2" i="22"/>
  <c r="D2" i="22"/>
  <c r="H2" i="22" s="1"/>
  <c r="C2" i="22"/>
  <c r="A92" i="19"/>
  <c r="A91" i="19"/>
  <c r="A90" i="19"/>
  <c r="A89" i="19"/>
  <c r="A88" i="19"/>
  <c r="A87" i="19"/>
  <c r="A86" i="19"/>
  <c r="A85" i="19"/>
  <c r="A84" i="19"/>
  <c r="A83" i="19"/>
  <c r="A82" i="19"/>
  <c r="A81" i="19"/>
  <c r="A80" i="19"/>
  <c r="A79" i="19"/>
  <c r="A78" i="19"/>
  <c r="A77" i="19"/>
  <c r="A76" i="19"/>
  <c r="A75" i="19"/>
  <c r="A74" i="19"/>
  <c r="A73" i="19"/>
  <c r="B73" i="19" s="1"/>
  <c r="A72" i="19"/>
  <c r="B72" i="19" s="1"/>
  <c r="A71" i="19"/>
  <c r="B71" i="19" s="1"/>
  <c r="C69" i="19"/>
  <c r="B69" i="19"/>
  <c r="A69" i="19"/>
  <c r="A68" i="19"/>
  <c r="A67" i="19"/>
  <c r="C67" i="19" s="1"/>
  <c r="A66" i="19"/>
  <c r="C66" i="19" s="1"/>
  <c r="A65" i="19"/>
  <c r="C65" i="19" s="1"/>
  <c r="C64" i="19"/>
  <c r="A64" i="19"/>
  <c r="B64" i="19" s="1"/>
  <c r="A63" i="19"/>
  <c r="C63" i="19" s="1"/>
  <c r="A62" i="19"/>
  <c r="D62" i="19" s="1"/>
  <c r="D61" i="19"/>
  <c r="A61" i="19"/>
  <c r="C61" i="19" s="1"/>
  <c r="A60" i="19"/>
  <c r="C60" i="19" s="1"/>
  <c r="A59" i="19"/>
  <c r="C59" i="19" s="1"/>
  <c r="C58" i="19"/>
  <c r="A58" i="19"/>
  <c r="B58" i="19" s="1"/>
  <c r="A57" i="19"/>
  <c r="C57" i="19" s="1"/>
  <c r="A56" i="19"/>
  <c r="C56" i="19" s="1"/>
  <c r="D54" i="19"/>
  <c r="A54" i="19"/>
  <c r="C54" i="19" s="1"/>
  <c r="B53" i="19"/>
  <c r="A53" i="19"/>
  <c r="C53" i="19" s="1"/>
  <c r="B52" i="19"/>
  <c r="A52" i="19"/>
  <c r="C52" i="19" s="1"/>
  <c r="A51" i="19"/>
  <c r="C51" i="19" s="1"/>
  <c r="C50" i="19"/>
  <c r="A50" i="19"/>
  <c r="B50" i="19" s="1"/>
  <c r="A49" i="19"/>
  <c r="C49" i="19" s="1"/>
  <c r="D48" i="19"/>
  <c r="A48" i="19"/>
  <c r="C48" i="19" s="1"/>
  <c r="B47" i="19"/>
  <c r="A47" i="19"/>
  <c r="C47" i="19" s="1"/>
  <c r="B46" i="19"/>
  <c r="A46" i="19"/>
  <c r="C46" i="19" s="1"/>
  <c r="A45" i="19"/>
  <c r="C45" i="19" s="1"/>
  <c r="D44" i="19"/>
  <c r="C44" i="19"/>
  <c r="A44" i="19"/>
  <c r="B44" i="19" s="1"/>
  <c r="A43" i="19"/>
  <c r="D43" i="19" s="1"/>
  <c r="D42" i="19"/>
  <c r="A42" i="19"/>
  <c r="C42" i="19" s="1"/>
  <c r="C41" i="19"/>
  <c r="B41" i="19"/>
  <c r="A41" i="19"/>
  <c r="A39" i="19"/>
  <c r="D38" i="19"/>
  <c r="C38" i="19"/>
  <c r="B38" i="19"/>
  <c r="A38" i="19"/>
  <c r="G37" i="19"/>
  <c r="F37" i="19"/>
  <c r="A37" i="19"/>
  <c r="B37" i="19" s="1"/>
  <c r="G36" i="19"/>
  <c r="F36" i="19"/>
  <c r="A36" i="19"/>
  <c r="C36" i="19" s="1"/>
  <c r="G35" i="19"/>
  <c r="F35" i="19"/>
  <c r="C35" i="19"/>
  <c r="A35" i="19"/>
  <c r="B35" i="19" s="1"/>
  <c r="G34" i="19"/>
  <c r="F34" i="19"/>
  <c r="C34" i="19"/>
  <c r="B34" i="19"/>
  <c r="A34" i="19"/>
  <c r="G33" i="19"/>
  <c r="F33" i="19"/>
  <c r="D33" i="19"/>
  <c r="A33" i="19"/>
  <c r="C33" i="19" s="1"/>
  <c r="G32" i="19"/>
  <c r="F32" i="19"/>
  <c r="A32" i="19"/>
  <c r="C32" i="19" s="1"/>
  <c r="G31" i="19"/>
  <c r="F31" i="19"/>
  <c r="C31" i="19"/>
  <c r="A31" i="19"/>
  <c r="B31" i="19" s="1"/>
  <c r="G30" i="19"/>
  <c r="F30" i="19"/>
  <c r="D30" i="19"/>
  <c r="C30" i="19"/>
  <c r="B30" i="19"/>
  <c r="A30" i="19"/>
  <c r="G29" i="19"/>
  <c r="F29" i="19"/>
  <c r="A29" i="19"/>
  <c r="C29" i="19" s="1"/>
  <c r="G28" i="19"/>
  <c r="F28" i="19"/>
  <c r="A28" i="19"/>
  <c r="B28" i="19" s="1"/>
  <c r="G27" i="19"/>
  <c r="F27" i="19"/>
  <c r="C27" i="19"/>
  <c r="A27" i="19"/>
  <c r="B27" i="19" s="1"/>
  <c r="G26" i="19"/>
  <c r="D26" i="19"/>
  <c r="C26" i="19"/>
  <c r="A26" i="19"/>
  <c r="B26" i="19" s="1"/>
  <c r="G25" i="19"/>
  <c r="G24" i="19"/>
  <c r="D24" i="19"/>
  <c r="C24" i="19"/>
  <c r="B24" i="19"/>
  <c r="A24" i="19"/>
  <c r="G23" i="19"/>
  <c r="A23" i="19"/>
  <c r="C23" i="19" s="1"/>
  <c r="G22" i="19"/>
  <c r="C22" i="19"/>
  <c r="A22" i="19"/>
  <c r="B22" i="19" s="1"/>
  <c r="G21" i="19"/>
  <c r="D21" i="19"/>
  <c r="B21" i="19"/>
  <c r="A21" i="19"/>
  <c r="C21" i="19" s="1"/>
  <c r="G20" i="19"/>
  <c r="A20" i="19"/>
  <c r="B20" i="19" s="1"/>
  <c r="G19" i="19"/>
  <c r="D19" i="19"/>
  <c r="A19" i="19"/>
  <c r="C19" i="19" s="1"/>
  <c r="G18" i="19"/>
  <c r="A18" i="19"/>
  <c r="C18" i="19" s="1"/>
  <c r="G17" i="19"/>
  <c r="A17" i="19"/>
  <c r="G16" i="19"/>
  <c r="D16" i="19"/>
  <c r="C16" i="19"/>
  <c r="B16" i="19"/>
  <c r="A16" i="19"/>
  <c r="G15" i="19"/>
  <c r="C15" i="19"/>
  <c r="B15" i="19"/>
  <c r="A15" i="19"/>
  <c r="G14" i="19"/>
  <c r="A14" i="19"/>
  <c r="C14" i="19" s="1"/>
  <c r="G13" i="19"/>
  <c r="A13" i="19"/>
  <c r="C13" i="19" s="1"/>
  <c r="G12" i="19"/>
  <c r="A12" i="19"/>
  <c r="C12" i="19" s="1"/>
  <c r="A11" i="19"/>
  <c r="B192" i="16"/>
  <c r="B184" i="16"/>
  <c r="B169" i="16"/>
  <c r="B151" i="16"/>
  <c r="B150" i="16"/>
  <c r="B149" i="16"/>
  <c r="B148" i="16"/>
  <c r="B147" i="16"/>
  <c r="B146" i="16"/>
  <c r="B145" i="16"/>
  <c r="B144" i="16"/>
  <c r="B142" i="16"/>
  <c r="B141" i="16"/>
  <c r="B125" i="16"/>
  <c r="B6" i="42" s="1"/>
  <c r="B114" i="16"/>
  <c r="C113" i="16"/>
  <c r="C112" i="16"/>
  <c r="B112" i="16" s="1"/>
  <c r="B106" i="16"/>
  <c r="C105" i="16"/>
  <c r="B83" i="16"/>
  <c r="B74" i="16"/>
  <c r="B70" i="16"/>
  <c r="B69" i="16"/>
  <c r="D55" i="16"/>
  <c r="G54" i="16"/>
  <c r="E54" i="16"/>
  <c r="D54" i="16"/>
  <c r="C54" i="16"/>
  <c r="B47" i="16"/>
  <c r="B3" i="16"/>
  <c r="B3" i="15"/>
  <c r="H100" i="14"/>
  <c r="G100" i="14"/>
  <c r="G99" i="14"/>
  <c r="H99" i="14" s="1"/>
  <c r="G98" i="14"/>
  <c r="H98" i="14" s="1"/>
  <c r="G97" i="14"/>
  <c r="H97" i="14" s="1"/>
  <c r="G96" i="14"/>
  <c r="H96" i="14" s="1"/>
  <c r="G95" i="14"/>
  <c r="H95" i="14" s="1"/>
  <c r="G94" i="14"/>
  <c r="H94" i="14" s="1"/>
  <c r="G93" i="14"/>
  <c r="H93" i="14" s="1"/>
  <c r="G92" i="14"/>
  <c r="H92" i="14" s="1"/>
  <c r="G91" i="14"/>
  <c r="H91" i="14" s="1"/>
  <c r="G90" i="14"/>
  <c r="H90" i="14" s="1"/>
  <c r="H89" i="14"/>
  <c r="G89" i="14"/>
  <c r="H88" i="14"/>
  <c r="G88" i="14"/>
  <c r="G87" i="14"/>
  <c r="H87" i="14" s="1"/>
  <c r="G86" i="14"/>
  <c r="H86" i="14" s="1"/>
  <c r="G85" i="14"/>
  <c r="H85" i="14" s="1"/>
  <c r="G84" i="14"/>
  <c r="H84" i="14" s="1"/>
  <c r="G83" i="14"/>
  <c r="H83" i="14" s="1"/>
  <c r="G82" i="14"/>
  <c r="H82" i="14" s="1"/>
  <c r="G81" i="14"/>
  <c r="H81" i="14" s="1"/>
  <c r="G80" i="14"/>
  <c r="H80" i="14" s="1"/>
  <c r="G79" i="14"/>
  <c r="H79" i="14" s="1"/>
  <c r="G78" i="14"/>
  <c r="H78" i="14" s="1"/>
  <c r="G77" i="14"/>
  <c r="H77" i="14" s="1"/>
  <c r="H76" i="14"/>
  <c r="G76" i="14"/>
  <c r="G75" i="14"/>
  <c r="H75" i="14" s="1"/>
  <c r="G74" i="14"/>
  <c r="H74" i="14" s="1"/>
  <c r="H73" i="14"/>
  <c r="G73" i="14"/>
  <c r="G72" i="14"/>
  <c r="H72" i="14" s="1"/>
  <c r="G71" i="14"/>
  <c r="H71" i="14" s="1"/>
  <c r="G70" i="14"/>
  <c r="H70" i="14" s="1"/>
  <c r="G69" i="14"/>
  <c r="H69" i="14" s="1"/>
  <c r="G68" i="14"/>
  <c r="H68" i="14" s="1"/>
  <c r="G67" i="14"/>
  <c r="H67" i="14" s="1"/>
  <c r="G66" i="14"/>
  <c r="H66" i="14" s="1"/>
  <c r="G65" i="14"/>
  <c r="H65" i="14" s="1"/>
  <c r="H64" i="14"/>
  <c r="G64" i="14"/>
  <c r="G63" i="14"/>
  <c r="H63" i="14" s="1"/>
  <c r="G62" i="14"/>
  <c r="H62" i="14" s="1"/>
  <c r="G61" i="14"/>
  <c r="H61" i="14" s="1"/>
  <c r="G60" i="14"/>
  <c r="H60" i="14" s="1"/>
  <c r="G59" i="14"/>
  <c r="H59" i="14" s="1"/>
  <c r="G58" i="14"/>
  <c r="H58" i="14" s="1"/>
  <c r="G57" i="14"/>
  <c r="H57" i="14" s="1"/>
  <c r="G56" i="14"/>
  <c r="H56" i="14" s="1"/>
  <c r="G55" i="14"/>
  <c r="H55" i="14" s="1"/>
  <c r="G54" i="14"/>
  <c r="H54" i="14" s="1"/>
  <c r="G53" i="14"/>
  <c r="H53" i="14" s="1"/>
  <c r="H52" i="14"/>
  <c r="G52" i="14"/>
  <c r="G51" i="14"/>
  <c r="H51" i="14" s="1"/>
  <c r="G50" i="14"/>
  <c r="H50" i="14" s="1"/>
  <c r="G49" i="14"/>
  <c r="H49" i="14" s="1"/>
  <c r="G48" i="14"/>
  <c r="H48" i="14" s="1"/>
  <c r="G47" i="14"/>
  <c r="H47" i="14" s="1"/>
  <c r="G46" i="14"/>
  <c r="H46" i="14" s="1"/>
  <c r="G45" i="14"/>
  <c r="H45" i="14" s="1"/>
  <c r="G44" i="14"/>
  <c r="H44" i="14" s="1"/>
  <c r="G43" i="14"/>
  <c r="H43" i="14" s="1"/>
  <c r="G42" i="14"/>
  <c r="H42" i="14" s="1"/>
  <c r="G41" i="14"/>
  <c r="H41" i="14" s="1"/>
  <c r="H40" i="14"/>
  <c r="G40" i="14"/>
  <c r="G39" i="14"/>
  <c r="H39" i="14" s="1"/>
  <c r="G38" i="14"/>
  <c r="H38" i="14" s="1"/>
  <c r="G37" i="14"/>
  <c r="H37" i="14" s="1"/>
  <c r="G36" i="14"/>
  <c r="H36" i="14" s="1"/>
  <c r="G35" i="14"/>
  <c r="H35" i="14" s="1"/>
  <c r="G34" i="14"/>
  <c r="H34" i="14" s="1"/>
  <c r="G33" i="14"/>
  <c r="H33" i="14" s="1"/>
  <c r="G32" i="14"/>
  <c r="H32" i="14" s="1"/>
  <c r="G31" i="14"/>
  <c r="H31" i="14" s="1"/>
  <c r="G30" i="14"/>
  <c r="H30" i="14" s="1"/>
  <c r="G29" i="14"/>
  <c r="H29" i="14" s="1"/>
  <c r="H28" i="14"/>
  <c r="G28" i="14"/>
  <c r="G27" i="14"/>
  <c r="H27" i="14" s="1"/>
  <c r="G26" i="14"/>
  <c r="H26" i="14" s="1"/>
  <c r="G25" i="14"/>
  <c r="H25" i="14" s="1"/>
  <c r="G24" i="14"/>
  <c r="H24" i="14" s="1"/>
  <c r="G23" i="14"/>
  <c r="H23" i="14" s="1"/>
  <c r="G22" i="14"/>
  <c r="H22" i="14" s="1"/>
  <c r="G21" i="14"/>
  <c r="H21" i="14" s="1"/>
  <c r="G20" i="14"/>
  <c r="H20" i="14" s="1"/>
  <c r="G19" i="14"/>
  <c r="H19" i="14" s="1"/>
  <c r="G18" i="14"/>
  <c r="H18" i="14" s="1"/>
  <c r="G17" i="14"/>
  <c r="H17" i="14" s="1"/>
  <c r="H16" i="14"/>
  <c r="G16" i="14"/>
  <c r="G15" i="14"/>
  <c r="H15" i="14" s="1"/>
  <c r="G14" i="14"/>
  <c r="H14" i="14" s="1"/>
  <c r="G13" i="14"/>
  <c r="H13" i="14" s="1"/>
  <c r="G12" i="14"/>
  <c r="H12" i="14" s="1"/>
  <c r="G11" i="14"/>
  <c r="H11" i="14" s="1"/>
  <c r="G10" i="14"/>
  <c r="H10" i="14" s="1"/>
  <c r="G9" i="14"/>
  <c r="H9" i="14" s="1"/>
  <c r="G8" i="14"/>
  <c r="H8" i="14" s="1"/>
  <c r="G7" i="14"/>
  <c r="H7" i="14" s="1"/>
  <c r="G6" i="14"/>
  <c r="H6" i="14" s="1"/>
  <c r="H5" i="14"/>
  <c r="G5" i="14"/>
  <c r="H4" i="14"/>
  <c r="G4" i="14"/>
  <c r="G3" i="14"/>
  <c r="H3" i="14" s="1"/>
  <c r="G2" i="14"/>
  <c r="H2" i="14" s="1"/>
  <c r="H1" i="14"/>
  <c r="B2" i="13"/>
  <c r="B12" i="12"/>
  <c r="B13" i="12" s="1"/>
  <c r="B10" i="12"/>
  <c r="E25" i="11"/>
  <c r="B25" i="11"/>
  <c r="E24" i="11"/>
  <c r="B24" i="11"/>
  <c r="E19" i="11"/>
  <c r="E15" i="11"/>
  <c r="B15" i="11"/>
  <c r="A15" i="11"/>
  <c r="A16" i="11" s="1"/>
  <c r="A1" i="11"/>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E209" i="10"/>
  <c r="F209" i="10" s="1"/>
  <c r="E208" i="10"/>
  <c r="F208" i="10" s="1"/>
  <c r="F207" i="10"/>
  <c r="E207" i="10"/>
  <c r="F206" i="10"/>
  <c r="E206" i="10"/>
  <c r="E205" i="10"/>
  <c r="F205" i="10" s="1"/>
  <c r="E204" i="10"/>
  <c r="F204" i="10" s="1"/>
  <c r="E203" i="10"/>
  <c r="F203" i="10" s="1"/>
  <c r="E202" i="10"/>
  <c r="F202" i="10" s="1"/>
  <c r="F201" i="10"/>
  <c r="E201" i="10"/>
  <c r="E200" i="10"/>
  <c r="F200" i="10" s="1"/>
  <c r="E199" i="10"/>
  <c r="F199" i="10" s="1"/>
  <c r="E198" i="10"/>
  <c r="F198" i="10" s="1"/>
  <c r="E197" i="10"/>
  <c r="F197" i="10" s="1"/>
  <c r="E196" i="10"/>
  <c r="F196" i="10" s="1"/>
  <c r="E195" i="10"/>
  <c r="F195" i="10" s="1"/>
  <c r="F194" i="10"/>
  <c r="E194" i="10"/>
  <c r="E193" i="10"/>
  <c r="F193" i="10" s="1"/>
  <c r="E192" i="10"/>
  <c r="F192" i="10" s="1"/>
  <c r="E191" i="10"/>
  <c r="F191" i="10" s="1"/>
  <c r="E190" i="10"/>
  <c r="F190" i="10" s="1"/>
  <c r="F189" i="10"/>
  <c r="E189" i="10"/>
  <c r="E188" i="10"/>
  <c r="F188" i="10" s="1"/>
  <c r="E187" i="10"/>
  <c r="F187" i="10" s="1"/>
  <c r="E186" i="10"/>
  <c r="F186" i="10" s="1"/>
  <c r="E185" i="10"/>
  <c r="F185" i="10" s="1"/>
  <c r="F184" i="10"/>
  <c r="E184" i="10"/>
  <c r="E183" i="10"/>
  <c r="F183" i="10" s="1"/>
  <c r="F182" i="10"/>
  <c r="E182" i="10"/>
  <c r="E181" i="10"/>
  <c r="F181" i="10" s="1"/>
  <c r="E180" i="10"/>
  <c r="F180" i="10" s="1"/>
  <c r="E179" i="10"/>
  <c r="F179" i="10" s="1"/>
  <c r="E178" i="10"/>
  <c r="F178" i="10" s="1"/>
  <c r="F177" i="10"/>
  <c r="E177" i="10"/>
  <c r="E176" i="10"/>
  <c r="F176" i="10" s="1"/>
  <c r="E175" i="10"/>
  <c r="F175" i="10" s="1"/>
  <c r="E174" i="10"/>
  <c r="F174" i="10" s="1"/>
  <c r="E173" i="10"/>
  <c r="F173" i="10" s="1"/>
  <c r="F172" i="10"/>
  <c r="E172" i="10"/>
  <c r="E171" i="10"/>
  <c r="F171" i="10" s="1"/>
  <c r="F170" i="10"/>
  <c r="E170" i="10"/>
  <c r="E169" i="10"/>
  <c r="F169" i="10" s="1"/>
  <c r="E168" i="10"/>
  <c r="F168" i="10" s="1"/>
  <c r="E167" i="10"/>
  <c r="F167" i="10" s="1"/>
  <c r="E166" i="10"/>
  <c r="F166" i="10" s="1"/>
  <c r="F165" i="10"/>
  <c r="E165" i="10"/>
  <c r="E164" i="10"/>
  <c r="F164" i="10" s="1"/>
  <c r="F163" i="10"/>
  <c r="E163" i="10"/>
  <c r="E162" i="10"/>
  <c r="F162" i="10" s="1"/>
  <c r="E161" i="10"/>
  <c r="F161" i="10" s="1"/>
  <c r="E160" i="10"/>
  <c r="F160" i="10" s="1"/>
  <c r="F159" i="10"/>
  <c r="E159" i="10"/>
  <c r="E158" i="10"/>
  <c r="F157" i="10"/>
  <c r="E157" i="10"/>
  <c r="E156" i="10"/>
  <c r="F156" i="10" s="1"/>
  <c r="E155" i="10"/>
  <c r="E154" i="10"/>
  <c r="E153" i="10"/>
  <c r="E152" i="10"/>
  <c r="F152" i="10" s="1"/>
  <c r="B152" i="10"/>
  <c r="E151" i="10"/>
  <c r="F151" i="10" s="1"/>
  <c r="F150" i="10"/>
  <c r="E150" i="10"/>
  <c r="E149"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F124" i="10" s="1"/>
  <c r="E123" i="10"/>
  <c r="F123" i="10" s="1"/>
  <c r="E122" i="10"/>
  <c r="B122" i="10"/>
  <c r="E121" i="10"/>
  <c r="F121" i="10" s="1"/>
  <c r="E120" i="10"/>
  <c r="F120" i="10" s="1"/>
  <c r="E119" i="10"/>
  <c r="F119" i="10" s="1"/>
  <c r="E118" i="10"/>
  <c r="F118" i="10" s="1"/>
  <c r="E117" i="10"/>
  <c r="E116" i="10"/>
  <c r="F116" i="10" s="1"/>
  <c r="E115" i="10"/>
  <c r="F115" i="10" s="1"/>
  <c r="E114" i="10"/>
  <c r="F114" i="10" s="1"/>
  <c r="E113" i="10"/>
  <c r="E112" i="10"/>
  <c r="F112" i="10" s="1"/>
  <c r="B112" i="10"/>
  <c r="E111" i="10"/>
  <c r="B111" i="10"/>
  <c r="E110" i="10"/>
  <c r="B110" i="10"/>
  <c r="E109" i="10"/>
  <c r="F109" i="10" s="1"/>
  <c r="E108" i="10"/>
  <c r="B108" i="10"/>
  <c r="E107" i="10"/>
  <c r="F107" i="10" s="1"/>
  <c r="E106" i="10"/>
  <c r="F106" i="10" s="1"/>
  <c r="E105" i="10"/>
  <c r="F105" i="10" s="1"/>
  <c r="E104" i="10"/>
  <c r="F104" i="10" s="1"/>
  <c r="E103" i="10"/>
  <c r="F102" i="10"/>
  <c r="E102" i="10"/>
  <c r="E101" i="10"/>
  <c r="F101" i="10" s="1"/>
  <c r="E100" i="10"/>
  <c r="E99" i="10"/>
  <c r="E98" i="10"/>
  <c r="E97" i="10"/>
  <c r="E96" i="10"/>
  <c r="E95" i="10"/>
  <c r="E94" i="10"/>
  <c r="E93" i="10"/>
  <c r="F93" i="10" s="1"/>
  <c r="E92" i="10"/>
  <c r="F92" i="10" s="1"/>
  <c r="E91" i="10"/>
  <c r="F91" i="10" s="1"/>
  <c r="E90" i="10"/>
  <c r="E89" i="10"/>
  <c r="F89" i="10" s="1"/>
  <c r="B89" i="10"/>
  <c r="E88" i="10"/>
  <c r="F88" i="10" s="1"/>
  <c r="B88" i="10"/>
  <c r="F87" i="10"/>
  <c r="E87" i="10"/>
  <c r="B87" i="10"/>
  <c r="E86" i="10"/>
  <c r="F86" i="10" s="1"/>
  <c r="B86" i="10"/>
  <c r="E85" i="10"/>
  <c r="F85" i="10" s="1"/>
  <c r="B85" i="10"/>
  <c r="E84" i="10"/>
  <c r="F84" i="10" s="1"/>
  <c r="E83" i="10"/>
  <c r="F83" i="10" s="1"/>
  <c r="E82" i="10"/>
  <c r="F82" i="10" s="1"/>
  <c r="E81" i="10"/>
  <c r="F81" i="10" s="1"/>
  <c r="F80" i="10"/>
  <c r="E80" i="10"/>
  <c r="E79" i="10"/>
  <c r="F79" i="10" s="1"/>
  <c r="E78" i="10"/>
  <c r="F78" i="10" s="1"/>
  <c r="E77" i="10"/>
  <c r="F77" i="10" s="1"/>
  <c r="E76" i="10"/>
  <c r="F76" i="10" s="1"/>
  <c r="E75" i="10"/>
  <c r="F75" i="10" s="1"/>
  <c r="F74" i="10"/>
  <c r="E74" i="10"/>
  <c r="F73" i="10"/>
  <c r="E73" i="10"/>
  <c r="E72" i="10"/>
  <c r="F72" i="10" s="1"/>
  <c r="E71" i="10"/>
  <c r="E70" i="10"/>
  <c r="E69" i="10"/>
  <c r="E68" i="10"/>
  <c r="E67" i="10"/>
  <c r="E66" i="10"/>
  <c r="E65" i="10"/>
  <c r="F65" i="10" s="1"/>
  <c r="F64" i="10"/>
  <c r="E64" i="10"/>
  <c r="E63" i="10"/>
  <c r="E62" i="10"/>
  <c r="E61" i="10"/>
  <c r="E60" i="10"/>
  <c r="E59" i="10"/>
  <c r="F58" i="10"/>
  <c r="E58" i="10"/>
  <c r="B58" i="10"/>
  <c r="E57" i="10"/>
  <c r="E56" i="10"/>
  <c r="E55" i="10"/>
  <c r="E54" i="10"/>
  <c r="E53" i="10"/>
  <c r="E52" i="10"/>
  <c r="E51" i="10"/>
  <c r="E50" i="10"/>
  <c r="E49" i="10"/>
  <c r="E48" i="10"/>
  <c r="E47" i="10"/>
  <c r="F47" i="10" s="1"/>
  <c r="E46" i="10"/>
  <c r="E45" i="10"/>
  <c r="E44" i="10"/>
  <c r="F43" i="10"/>
  <c r="E43" i="10"/>
  <c r="B43" i="10"/>
  <c r="E42" i="10"/>
  <c r="F42" i="10" s="1"/>
  <c r="B42" i="10"/>
  <c r="E41" i="10"/>
  <c r="F41" i="10" s="1"/>
  <c r="E40" i="10"/>
  <c r="E39" i="10"/>
  <c r="F38" i="10"/>
  <c r="E38" i="10"/>
  <c r="E37" i="10"/>
  <c r="F37" i="10" s="1"/>
  <c r="E36" i="10"/>
  <c r="E35" i="10"/>
  <c r="F34" i="10"/>
  <c r="E34" i="10"/>
  <c r="E33" i="10"/>
  <c r="E32" i="10"/>
  <c r="B32" i="10"/>
  <c r="B33" i="10" s="1"/>
  <c r="E31" i="10"/>
  <c r="B31" i="10"/>
  <c r="E30" i="10"/>
  <c r="B30" i="10"/>
  <c r="F30" i="10" s="1"/>
  <c r="E29" i="10"/>
  <c r="E28" i="10"/>
  <c r="E27" i="10"/>
  <c r="E26" i="10"/>
  <c r="E25" i="10"/>
  <c r="E24" i="10"/>
  <c r="F24" i="10" s="1"/>
  <c r="B24" i="10"/>
  <c r="E23" i="10"/>
  <c r="F23" i="10" s="1"/>
  <c r="B23" i="10"/>
  <c r="E22" i="10"/>
  <c r="F21" i="10"/>
  <c r="E21" i="10"/>
  <c r="E20" i="10"/>
  <c r="F20" i="10" s="1"/>
  <c r="B20" i="10"/>
  <c r="E19" i="10"/>
  <c r="E18" i="10"/>
  <c r="E17" i="10"/>
  <c r="F17" i="10" s="1"/>
  <c r="F16" i="10"/>
  <c r="E16" i="10"/>
  <c r="E15" i="10"/>
  <c r="B15" i="10"/>
  <c r="E14" i="10"/>
  <c r="F14" i="10" s="1"/>
  <c r="B14" i="10"/>
  <c r="E13" i="10"/>
  <c r="E12" i="10"/>
  <c r="E11" i="10"/>
  <c r="E10" i="10"/>
  <c r="E9" i="10"/>
  <c r="E8" i="10"/>
  <c r="F7" i="10"/>
  <c r="E7" i="10"/>
  <c r="E6" i="10"/>
  <c r="F6" i="10" s="1"/>
  <c r="E5" i="10"/>
  <c r="F5" i="10" s="1"/>
  <c r="B5" i="10"/>
  <c r="E4" i="10"/>
  <c r="B4" i="10"/>
  <c r="F4" i="10" s="1"/>
  <c r="E3" i="10"/>
  <c r="B3" i="10"/>
  <c r="F3" i="10" s="1"/>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C18" i="9"/>
  <c r="E18" i="9" s="1"/>
  <c r="C17" i="9"/>
  <c r="E17" i="9" s="1"/>
  <c r="C16" i="9"/>
  <c r="E16" i="9" s="1"/>
  <c r="C15" i="9"/>
  <c r="E15" i="9" s="1"/>
  <c r="C7" i="9"/>
  <c r="E7" i="9" s="1"/>
  <c r="C6" i="9"/>
  <c r="E6" i="9" s="1"/>
  <c r="C5" i="9"/>
  <c r="E5" i="9" s="1"/>
  <c r="C4" i="9"/>
  <c r="E4" i="9" s="1"/>
  <c r="C13" i="8"/>
  <c r="B10" i="8"/>
  <c r="A8" i="8"/>
  <c r="A5" i="8"/>
  <c r="B5" i="8" s="1"/>
  <c r="A4" i="8"/>
  <c r="B4" i="8" s="1"/>
  <c r="C4" i="8" s="1"/>
  <c r="B2" i="8"/>
  <c r="L67" i="5"/>
  <c r="U61" i="5"/>
  <c r="T61" i="5"/>
  <c r="S61" i="5"/>
  <c r="R61" i="5"/>
  <c r="Q59" i="5" a="1"/>
  <c r="Q59" i="5" s="1"/>
  <c r="P59" i="5"/>
  <c r="O59" i="5"/>
  <c r="N59" i="5"/>
  <c r="M59" i="5"/>
  <c r="L59" i="5"/>
  <c r="P58" i="5"/>
  <c r="O58" i="5"/>
  <c r="N58" i="5"/>
  <c r="M58" i="5"/>
  <c r="L58" i="5"/>
  <c r="Q58" i="5" s="1" a="1"/>
  <c r="Q58" i="5" s="1"/>
  <c r="P57" i="5"/>
  <c r="Q57" i="5" s="1" a="1"/>
  <c r="Q57" i="5" s="1"/>
  <c r="O57" i="5"/>
  <c r="N57" i="5"/>
  <c r="M57" i="5"/>
  <c r="L57" i="5"/>
  <c r="P56" i="5"/>
  <c r="O56" i="5"/>
  <c r="N56" i="5"/>
  <c r="Q56" i="5" s="1" a="1"/>
  <c r="Q56" i="5" s="1"/>
  <c r="M56" i="5"/>
  <c r="L56" i="5"/>
  <c r="P55" i="5"/>
  <c r="O55" i="5"/>
  <c r="N55" i="5"/>
  <c r="M55" i="5"/>
  <c r="L55" i="5"/>
  <c r="Q55" i="5" s="1" a="1"/>
  <c r="Q55" i="5" s="1"/>
  <c r="P54" i="5"/>
  <c r="O54" i="5"/>
  <c r="N54" i="5"/>
  <c r="M54" i="5"/>
  <c r="L54" i="5"/>
  <c r="Q54" i="5" s="1" a="1"/>
  <c r="Q54" i="5" s="1"/>
  <c r="P53" i="5"/>
  <c r="O53" i="5"/>
  <c r="Q53" i="5" s="1" a="1"/>
  <c r="Q53" i="5" s="1"/>
  <c r="N53" i="5"/>
  <c r="M53" i="5"/>
  <c r="L53" i="5"/>
  <c r="Q52" i="5" a="1"/>
  <c r="Q52" i="5" s="1"/>
  <c r="P52" i="5"/>
  <c r="O52" i="5"/>
  <c r="N52" i="5"/>
  <c r="M52" i="5"/>
  <c r="L52" i="5"/>
  <c r="P51" i="5"/>
  <c r="O51" i="5"/>
  <c r="N51" i="5"/>
  <c r="M51" i="5"/>
  <c r="L51" i="5"/>
  <c r="Q51" i="5" s="1" a="1"/>
  <c r="Q51" i="5" s="1"/>
  <c r="P50" i="5"/>
  <c r="O50" i="5"/>
  <c r="N50" i="5"/>
  <c r="M50" i="5"/>
  <c r="L50" i="5"/>
  <c r="Q50" i="5" s="1" a="1"/>
  <c r="Q50" i="5" s="1"/>
  <c r="P49" i="5"/>
  <c r="Q49" i="5" s="1" a="1"/>
  <c r="Q49" i="5" s="1"/>
  <c r="O49" i="5"/>
  <c r="N49" i="5"/>
  <c r="M49" i="5"/>
  <c r="L49" i="5"/>
  <c r="P48" i="5"/>
  <c r="O48" i="5"/>
  <c r="N48" i="5"/>
  <c r="M48" i="5"/>
  <c r="L48" i="5"/>
  <c r="Q48" i="5" s="1" a="1"/>
  <c r="Q48" i="5" s="1"/>
  <c r="P30" i="5"/>
  <c r="M30" i="5"/>
  <c r="L30" i="5"/>
  <c r="N29" i="5"/>
  <c r="L28" i="5"/>
  <c r="P27" i="5"/>
  <c r="O27" i="5"/>
  <c r="N27" i="5"/>
  <c r="M27" i="5"/>
  <c r="L27" i="5"/>
  <c r="P26" i="5"/>
  <c r="O26" i="5"/>
  <c r="N26" i="5"/>
  <c r="M26" i="5"/>
  <c r="L26" i="5"/>
  <c r="O24" i="5"/>
  <c r="M23" i="5"/>
  <c r="L23" i="5"/>
  <c r="P22" i="5"/>
  <c r="O22" i="5"/>
  <c r="N22" i="5"/>
  <c r="M22" i="5"/>
  <c r="L22" i="5"/>
  <c r="P21" i="5"/>
  <c r="O21" i="5"/>
  <c r="N21" i="5"/>
  <c r="M21" i="5"/>
  <c r="O20" i="5"/>
  <c r="N20" i="5"/>
  <c r="P19" i="5"/>
  <c r="N18" i="5"/>
  <c r="M18" i="5"/>
  <c r="L18" i="5"/>
  <c r="L17" i="5"/>
  <c r="P16" i="5"/>
  <c r="O16" i="5"/>
  <c r="O30" i="5" s="1"/>
  <c r="N16" i="5"/>
  <c r="N30" i="5" s="1"/>
  <c r="M16" i="5"/>
  <c r="L16" i="5"/>
  <c r="P15" i="5"/>
  <c r="P29" i="5" s="1"/>
  <c r="O15" i="5"/>
  <c r="O29" i="5" s="1"/>
  <c r="N15" i="5"/>
  <c r="M15" i="5"/>
  <c r="M29" i="5" s="1"/>
  <c r="L15" i="5"/>
  <c r="L29" i="5" s="1"/>
  <c r="P14" i="5"/>
  <c r="P28" i="5" s="1"/>
  <c r="O14" i="5"/>
  <c r="O28" i="5" s="1"/>
  <c r="N14" i="5"/>
  <c r="N28" i="5" s="1"/>
  <c r="M14" i="5"/>
  <c r="M28" i="5" s="1"/>
  <c r="L14" i="5"/>
  <c r="P13" i="5"/>
  <c r="O13" i="5"/>
  <c r="N13" i="5"/>
  <c r="M13" i="5"/>
  <c r="L13" i="5"/>
  <c r="P12" i="5"/>
  <c r="O12" i="5"/>
  <c r="N12" i="5"/>
  <c r="M12" i="5"/>
  <c r="L12" i="5"/>
  <c r="P11" i="5"/>
  <c r="P25" i="5" s="1"/>
  <c r="O11" i="5"/>
  <c r="O25" i="5" s="1"/>
  <c r="N11" i="5"/>
  <c r="N25" i="5" s="1"/>
  <c r="M11" i="5"/>
  <c r="M25" i="5" s="1"/>
  <c r="L11" i="5"/>
  <c r="L25" i="5" s="1"/>
  <c r="P10" i="5"/>
  <c r="P24" i="5" s="1"/>
  <c r="O10" i="5"/>
  <c r="N10" i="5"/>
  <c r="N24" i="5" s="1"/>
  <c r="M10" i="5"/>
  <c r="M24" i="5" s="1"/>
  <c r="L10" i="5"/>
  <c r="L24" i="5" s="1"/>
  <c r="P9" i="5"/>
  <c r="P23" i="5" s="1"/>
  <c r="O9" i="5"/>
  <c r="O23" i="5" s="1"/>
  <c r="N9" i="5"/>
  <c r="N23" i="5" s="1"/>
  <c r="M9" i="5"/>
  <c r="L9" i="5"/>
  <c r="P8" i="5"/>
  <c r="O8" i="5"/>
  <c r="N8" i="5"/>
  <c r="M8" i="5"/>
  <c r="L8" i="5"/>
  <c r="P7" i="5"/>
  <c r="O7" i="5"/>
  <c r="N7" i="5"/>
  <c r="M7" i="5"/>
  <c r="L7" i="5"/>
  <c r="L21" i="5" s="1"/>
  <c r="P6" i="5"/>
  <c r="P20" i="5" s="1"/>
  <c r="O6" i="5"/>
  <c r="N6" i="5"/>
  <c r="M6" i="5"/>
  <c r="M20" i="5" s="1"/>
  <c r="L6" i="5"/>
  <c r="L20" i="5" s="1"/>
  <c r="P5" i="5"/>
  <c r="O5" i="5"/>
  <c r="O19" i="5" s="1"/>
  <c r="N5" i="5"/>
  <c r="N19" i="5" s="1"/>
  <c r="M5" i="5"/>
  <c r="M19" i="5" s="1"/>
  <c r="M68" i="5" s="1"/>
  <c r="L5" i="5"/>
  <c r="P4" i="5"/>
  <c r="O4" i="5"/>
  <c r="N4" i="5"/>
  <c r="M4" i="5"/>
  <c r="L4" i="5"/>
  <c r="B70" i="2"/>
  <c r="B69" i="2"/>
  <c r="B68" i="2"/>
  <c r="B67" i="2"/>
  <c r="B16" i="10" s="1"/>
  <c r="B62" i="2"/>
  <c r="B61" i="2"/>
  <c r="B60" i="2"/>
  <c r="B59" i="2"/>
  <c r="B58" i="2"/>
  <c r="B57" i="2"/>
  <c r="B56" i="2"/>
  <c r="B55" i="2"/>
  <c r="B54" i="2"/>
  <c r="B143" i="16" s="1"/>
  <c r="B53" i="2"/>
  <c r="B52" i="2"/>
  <c r="B49" i="2"/>
  <c r="B48" i="2"/>
  <c r="B47" i="2"/>
  <c r="D68" i="19" s="1"/>
  <c r="B45" i="2"/>
  <c r="F54" i="16" s="1"/>
  <c r="B44" i="2"/>
  <c r="B43" i="2"/>
  <c r="B40" i="2"/>
  <c r="B39" i="2"/>
  <c r="A7" i="8" s="1"/>
  <c r="B7" i="8" s="1"/>
  <c r="B38" i="2"/>
  <c r="A6" i="8" s="1"/>
  <c r="B6" i="8" s="1"/>
  <c r="B37" i="2"/>
  <c r="B36" i="2"/>
  <c r="B31" i="2"/>
  <c r="E16" i="11" s="1"/>
  <c r="B29" i="2"/>
  <c r="C28" i="2"/>
  <c r="B28" i="2"/>
  <c r="D25" i="2"/>
  <c r="B25" i="2"/>
  <c r="B35" i="10" s="1"/>
  <c r="F35" i="10" s="1"/>
  <c r="A24" i="2"/>
  <c r="B23" i="2"/>
  <c r="E8" i="2"/>
  <c r="F7" i="2"/>
  <c r="E7" i="2"/>
  <c r="B4" i="2"/>
  <c r="B2" i="2"/>
  <c r="H122" i="23" a="1"/>
  <c r="E91" i="23" a="1"/>
  <c r="Q99" i="23" a="1"/>
  <c r="G113" i="23" a="1"/>
  <c r="P119" i="23" a="1"/>
  <c r="J102" i="23" a="1"/>
  <c r="J150" i="23" a="1"/>
  <c r="P128" i="23" a="1"/>
  <c r="H5" i="23" a="1"/>
  <c r="A42" i="23" a="1"/>
  <c r="O27" i="23" a="1"/>
  <c r="M36" i="23" a="1"/>
  <c r="J144" i="23" a="1"/>
  <c r="M71" i="23" a="1"/>
  <c r="I112" i="23" a="1"/>
  <c r="N121" i="23" a="1"/>
  <c r="G132" i="23" a="1"/>
  <c r="K137" i="23" a="1"/>
  <c r="E13" i="23" a="1"/>
  <c r="G178" i="23" a="1"/>
  <c r="N105" i="23" a="1"/>
  <c r="J55" i="23" a="1"/>
  <c r="K119" i="23" a="1"/>
  <c r="O45" i="23" a="1"/>
  <c r="R57" i="23" a="1"/>
  <c r="H85" i="23" a="1"/>
  <c r="J85" i="23" a="1"/>
  <c r="A98" i="23" a="1"/>
  <c r="A62" i="23" a="1"/>
  <c r="K86" i="23" a="1"/>
  <c r="P68" i="23" a="1"/>
  <c r="L2" i="23" a="1"/>
  <c r="O61" i="23" a="1"/>
  <c r="O54" i="23" a="1"/>
  <c r="P150" i="23" a="1"/>
  <c r="A107" i="23" a="1"/>
  <c r="G142" i="23" a="1"/>
  <c r="P149" i="23" a="1"/>
  <c r="N98" i="23" a="1"/>
  <c r="G76" i="23" a="1"/>
  <c r="N59" i="23" a="1"/>
  <c r="N74" i="23" a="1"/>
  <c r="K59" i="23" a="1"/>
  <c r="J84" i="23" a="1"/>
  <c r="L14" i="23" a="1"/>
  <c r="F57" i="23" a="1"/>
  <c r="O111" i="23" a="1"/>
  <c r="K87" i="23" a="1"/>
  <c r="N137" i="23" a="1"/>
  <c r="J65" i="23" a="1"/>
  <c r="G251" i="23" a="1"/>
  <c r="K2" i="23" a="1"/>
  <c r="E64" i="23" a="1"/>
  <c r="O2" i="23" a="1"/>
  <c r="M114" i="23" a="1"/>
  <c r="F31" i="23" a="1"/>
  <c r="A12" i="23" a="1"/>
  <c r="H45" i="23" a="1"/>
  <c r="G266" i="23" a="1"/>
  <c r="H92" i="23" a="1"/>
  <c r="F17" i="23" a="1"/>
  <c r="F39" i="23" a="1"/>
  <c r="M128" i="23" a="1"/>
  <c r="J52" i="23" a="1"/>
  <c r="I141" i="23" a="1"/>
  <c r="N39" i="23" a="1"/>
  <c r="K17" i="23" a="1"/>
  <c r="J9" i="23" a="1"/>
  <c r="G214" i="23" a="1"/>
  <c r="O18" i="23" a="1"/>
  <c r="O150" i="23" a="1"/>
  <c r="F144" i="23" a="1"/>
  <c r="Q81" i="23" a="1"/>
  <c r="K27" i="23" a="1"/>
  <c r="L24" i="23" a="1"/>
  <c r="A37" i="23" a="1"/>
  <c r="G98" i="23" a="1"/>
  <c r="A95" i="23" a="1"/>
  <c r="A92" i="23" a="1"/>
  <c r="I58" i="23" a="1"/>
  <c r="F124" i="23" a="1"/>
  <c r="R62" i="23" a="1"/>
  <c r="E126" i="23" a="1"/>
  <c r="N88" i="23" a="1"/>
  <c r="P12" i="23" a="1"/>
  <c r="R79" i="23" a="1"/>
  <c r="G172" i="23" a="1"/>
  <c r="M22" i="23" a="1"/>
  <c r="O119" i="23" a="1"/>
  <c r="A128" i="23" a="1"/>
  <c r="M119" i="23" a="1"/>
  <c r="F111" i="23" a="1"/>
  <c r="E47" i="23" a="1"/>
  <c r="Q129" i="23" a="1"/>
  <c r="I47" i="23" a="1"/>
  <c r="Q26" i="23" a="1"/>
  <c r="L64" i="23" a="1"/>
  <c r="O84" i="23" a="1"/>
  <c r="Q69" i="23" a="1"/>
  <c r="L31" i="23" a="1"/>
  <c r="O138" i="23" a="1"/>
  <c r="K75" i="23" a="1"/>
  <c r="P64" i="23" a="1"/>
  <c r="R127" i="23" a="1"/>
  <c r="I16" i="23" a="1"/>
  <c r="G64" i="23" a="1"/>
  <c r="H21" i="23" a="1"/>
  <c r="E46" i="23" a="1"/>
  <c r="O49" i="23" a="1"/>
  <c r="E18" i="23" a="1"/>
  <c r="I136" i="23" a="1"/>
  <c r="K124" i="23" a="1"/>
  <c r="Q61" i="23" a="1"/>
  <c r="G101" i="23" a="1"/>
  <c r="L141" i="23" a="1"/>
  <c r="M59" i="23" a="1"/>
  <c r="H50" i="23" a="1"/>
  <c r="N10" i="23" a="1"/>
  <c r="E130" i="23" a="1"/>
  <c r="P78" i="23" a="1"/>
  <c r="J19" i="23" a="1"/>
  <c r="I59" i="23" a="1"/>
  <c r="P96" i="23" a="1"/>
  <c r="F71" i="23" a="1"/>
  <c r="F125" i="23" a="1"/>
  <c r="G220" i="23" a="1"/>
  <c r="O126" i="23" a="1"/>
  <c r="M2" i="23" a="1"/>
  <c r="A51" i="23" a="1"/>
  <c r="P95" i="23" a="1"/>
  <c r="A111" i="23" a="1"/>
  <c r="K127" i="23" a="1"/>
  <c r="O14" i="23" a="1"/>
  <c r="R56" i="23" a="1"/>
  <c r="K125" i="23" a="1"/>
  <c r="Q86" i="23" a="1"/>
  <c r="E107" i="23" a="1"/>
  <c r="Q82" i="23" a="1"/>
  <c r="Q120" i="23" a="1"/>
  <c r="K51" i="23" a="1"/>
  <c r="G6" i="23" a="1"/>
  <c r="H34" i="23" a="1"/>
  <c r="Q66" i="23" a="1"/>
  <c r="O98" i="23" a="1"/>
  <c r="L93" i="23" a="1"/>
  <c r="F109" i="23" a="1"/>
  <c r="L41" i="23" a="1"/>
  <c r="L85" i="23" a="1"/>
  <c r="E138" i="23" a="1"/>
  <c r="Q25" i="23" a="1"/>
  <c r="H23" i="23" a="1"/>
  <c r="E132" i="23" a="1"/>
  <c r="I31" i="23" a="1"/>
  <c r="L106" i="23" a="1"/>
  <c r="M53" i="23" a="1"/>
  <c r="K14" i="23" a="1"/>
  <c r="O82" i="23" a="1"/>
  <c r="O20" i="23" a="1"/>
  <c r="E93" i="23" a="1"/>
  <c r="A114" i="23" a="1"/>
  <c r="N61" i="23" a="1"/>
  <c r="N125" i="23" a="1"/>
  <c r="K128" i="23" a="1"/>
  <c r="P89" i="23" a="1"/>
  <c r="I93" i="23" a="1"/>
  <c r="F43" i="23" a="1"/>
  <c r="E95" i="23" a="1"/>
  <c r="K83" i="23" a="1"/>
  <c r="E123" i="23" a="1"/>
  <c r="I67" i="23" a="1"/>
  <c r="P73" i="23" a="1"/>
  <c r="J100" i="23" a="1"/>
  <c r="K95" i="23" a="1"/>
  <c r="P21" i="23" a="1"/>
  <c r="L66" i="23" a="1"/>
  <c r="R104" i="23" a="1"/>
  <c r="J147" i="23" a="1"/>
  <c r="Q136" i="23" a="1"/>
  <c r="M127" i="23" a="1"/>
  <c r="R125" i="23" a="1"/>
  <c r="P13" i="23" a="1"/>
  <c r="A17" i="23" a="1"/>
  <c r="O57" i="23" a="1"/>
  <c r="L19" i="23" a="1"/>
  <c r="N58" i="23" a="1"/>
  <c r="H9" i="23" a="1"/>
  <c r="N31" i="23" a="1"/>
  <c r="I85" i="23" a="1"/>
  <c r="F91" i="23" a="1"/>
  <c r="L3" i="23" a="1"/>
  <c r="P139" i="23" a="1"/>
  <c r="R29" i="23" a="1"/>
  <c r="O48" i="23" a="1"/>
  <c r="O148" i="23" a="1"/>
  <c r="N76" i="23" a="1"/>
  <c r="N145" i="23" a="1"/>
  <c r="Q119" i="23" a="1"/>
  <c r="F95" i="23" a="1"/>
  <c r="R39" i="23" a="1"/>
  <c r="O140" i="23" a="1"/>
  <c r="H59" i="23" a="1"/>
  <c r="K82" i="23" a="1"/>
  <c r="E61" i="23" a="1"/>
  <c r="K56" i="23" a="1"/>
  <c r="L60" i="23" a="1"/>
  <c r="R133" i="23" a="1"/>
  <c r="G233" i="23" a="1"/>
  <c r="I71" i="23" a="1"/>
  <c r="H124" i="23" a="1"/>
  <c r="L9" i="23" a="1"/>
  <c r="G40" i="23" a="1"/>
  <c r="G202" i="23" a="1"/>
  <c r="G35" i="23" a="1"/>
  <c r="J42" i="23" a="1"/>
  <c r="K10" i="23" a="1"/>
  <c r="E149" i="23" a="1"/>
  <c r="A137" i="23" a="1"/>
  <c r="K8" i="23" a="1"/>
  <c r="H22" i="23" a="1"/>
  <c r="M122" i="23" a="1"/>
  <c r="J26" i="23" a="1"/>
  <c r="A96" i="23" a="1"/>
  <c r="F132" i="23" a="1"/>
  <c r="N115" i="23" a="1"/>
  <c r="R12" i="23" a="1"/>
  <c r="K79" i="23" a="1"/>
  <c r="J115" i="23" a="1"/>
  <c r="K39" i="23" a="1"/>
  <c r="E141" i="23" a="1"/>
  <c r="M111" i="23" a="1"/>
  <c r="K117" i="23" a="1"/>
  <c r="O103" i="23" a="1"/>
  <c r="L139" i="23" a="1"/>
  <c r="F92" i="23" a="1"/>
  <c r="H20" i="23" a="1"/>
  <c r="A100" i="23" a="1"/>
  <c r="G185" i="23" a="1"/>
  <c r="G75" i="23" a="1"/>
  <c r="P48" i="23" a="1"/>
  <c r="N100" i="23" a="1"/>
  <c r="G67" i="23" a="1"/>
  <c r="I25" i="23" a="1"/>
  <c r="K136" i="23" a="1"/>
  <c r="E24" i="23" a="1"/>
  <c r="J136" i="23" a="1"/>
  <c r="I106" i="23" a="1"/>
  <c r="G3" i="23" a="1"/>
  <c r="A15" i="23" a="1"/>
  <c r="K81" i="23" a="1"/>
  <c r="M20" i="23" a="1"/>
  <c r="F68" i="23" a="1"/>
  <c r="I92" i="23" a="1"/>
  <c r="N2" i="23" a="1"/>
  <c r="I11" i="23" a="1"/>
  <c r="L21" i="23" a="1"/>
  <c r="O146" i="23" a="1"/>
  <c r="O117" i="23" a="1"/>
  <c r="N41" i="23" a="1"/>
  <c r="R46" i="23" a="1"/>
  <c r="G26" i="23" a="1"/>
  <c r="O135" i="23" a="1"/>
  <c r="I135" i="23" a="1"/>
  <c r="O35" i="23" a="1"/>
  <c r="A27" i="23" a="1"/>
  <c r="O80" i="23" a="1"/>
  <c r="I81" i="23" a="1"/>
  <c r="M133" i="23" a="1"/>
  <c r="J88" i="23" a="1"/>
  <c r="I91" i="23" a="1"/>
  <c r="G208" i="23" a="1"/>
  <c r="N131" i="23" a="1"/>
  <c r="P113" i="23" a="1"/>
  <c r="J54" i="23" a="1"/>
  <c r="N7" i="23" a="1"/>
  <c r="K116" i="23" a="1"/>
  <c r="K99" i="23" a="1"/>
  <c r="I57" i="23" a="1"/>
  <c r="L22" i="23" a="1"/>
  <c r="O8" i="23" a="1"/>
  <c r="L114" i="23" a="1"/>
  <c r="G74" i="23" a="1"/>
  <c r="K25" i="23" a="1"/>
  <c r="F103" i="23" a="1"/>
  <c r="G23" i="23" a="1"/>
  <c r="N36" i="23" a="1"/>
  <c r="A87" i="23" a="1"/>
  <c r="G68" i="23" a="1"/>
  <c r="H47" i="23" a="1"/>
  <c r="P90" i="23" a="1"/>
  <c r="H13" i="23" a="1"/>
  <c r="O13" i="23" a="1"/>
  <c r="P76" i="23" a="1"/>
  <c r="G45" i="23" a="1"/>
  <c r="G30" i="23" a="1"/>
  <c r="H14" i="23" a="1"/>
  <c r="O85" i="23" a="1"/>
  <c r="N103" i="23" a="1"/>
  <c r="N112" i="23" a="1"/>
  <c r="J80" i="23" a="1"/>
  <c r="M29" i="23" a="1"/>
  <c r="Q7" i="23" a="1"/>
  <c r="R132" i="23" a="1"/>
  <c r="R97" i="23" a="1"/>
  <c r="H42" i="23" a="1"/>
  <c r="G231" i="23" a="1"/>
  <c r="K2" i="19" a="1"/>
  <c r="H147" i="23" a="1"/>
  <c r="P112" i="23" a="1"/>
  <c r="G240" i="23" a="1"/>
  <c r="K93" i="23" a="1"/>
  <c r="A145" i="23" a="1"/>
  <c r="G189" i="23" a="1"/>
  <c r="I5" i="23" a="1"/>
  <c r="G20" i="23" a="1"/>
  <c r="Q36" i="23" a="1"/>
  <c r="Q64" i="23" a="1"/>
  <c r="N34" i="23" a="1"/>
  <c r="F138" i="23" a="1"/>
  <c r="P75" i="23" a="1"/>
  <c r="G211" i="23" a="1"/>
  <c r="F79" i="23" a="1"/>
  <c r="I86" i="23" a="1"/>
  <c r="R48" i="23" a="1"/>
  <c r="Q20" i="23" a="1"/>
  <c r="J131" i="23" a="1"/>
  <c r="F22" i="23" a="1"/>
  <c r="K60" i="23" a="1"/>
  <c r="O125" i="23" a="1"/>
  <c r="O47" i="23" a="1"/>
  <c r="N96" i="23" a="1"/>
  <c r="I124" i="23" a="1"/>
  <c r="I42" i="23" a="1"/>
  <c r="I76" i="23" a="1"/>
  <c r="M7" i="23" a="1"/>
  <c r="N85" i="23" a="1"/>
  <c r="G115" i="23" a="1"/>
  <c r="N19" i="23" a="1"/>
  <c r="N97" i="23" a="1"/>
  <c r="H81" i="23" a="1"/>
  <c r="J15" i="23" a="1"/>
  <c r="E4" i="23" a="1"/>
  <c r="E26" i="23" a="1"/>
  <c r="E109" i="23" a="1"/>
  <c r="G112" i="23" a="1"/>
  <c r="H72" i="23" a="1"/>
  <c r="E137" i="23" a="1"/>
  <c r="P88" i="23" a="1"/>
  <c r="E114" i="23" a="1"/>
  <c r="H17" i="23" a="1"/>
  <c r="P126" i="23" a="1"/>
  <c r="I97" i="23" a="1"/>
  <c r="G140" i="23" a="1"/>
  <c r="F143" i="23" a="1"/>
  <c r="F126" i="23" a="1"/>
  <c r="O127" i="23" a="1"/>
  <c r="R17" i="23" a="1"/>
  <c r="J13" i="23" a="1"/>
  <c r="M110" i="23" a="1"/>
  <c r="A33" i="23" a="1"/>
  <c r="N3" i="23" a="1"/>
  <c r="M132" i="23" a="1"/>
  <c r="K142" i="23" a="1"/>
  <c r="P39" i="23" a="1"/>
  <c r="I144" i="23" a="1"/>
  <c r="I139" i="23" a="1"/>
  <c r="G146" i="23" a="1"/>
  <c r="O68" i="23" a="1"/>
  <c r="H133" i="23" a="1"/>
  <c r="K107" i="23" a="1"/>
  <c r="Q149" i="23" a="1"/>
  <c r="J29" i="23" a="1"/>
  <c r="G108" i="23" a="1"/>
  <c r="A66" i="23" a="1"/>
  <c r="M131" i="23" a="1"/>
  <c r="H101" i="23" a="1"/>
  <c r="H29" i="23" a="1"/>
  <c r="N70" i="23" a="1"/>
  <c r="G116" i="23" a="1"/>
  <c r="R118" i="23" a="1"/>
  <c r="L107" i="23" a="1"/>
  <c r="P91" i="23" a="1"/>
  <c r="P140" i="23" a="1"/>
  <c r="L113" i="23" a="1"/>
  <c r="G14" i="25" a="1"/>
  <c r="A40" i="23" a="1"/>
  <c r="Q4" i="23" a="1"/>
  <c r="H145" i="23" a="1"/>
  <c r="O41" i="23" a="1"/>
  <c r="L71" i="23" a="1"/>
  <c r="K148" i="23" a="1"/>
  <c r="P142" i="23" a="1"/>
  <c r="P19" i="23" a="1"/>
  <c r="Q95" i="23" a="1"/>
  <c r="M99" i="23" a="1"/>
  <c r="E125" i="23" a="1"/>
  <c r="G265" i="23" a="1"/>
  <c r="L39" i="23" a="1"/>
  <c r="P98" i="23" a="1"/>
  <c r="I72" i="23" a="1"/>
  <c r="L42" i="23" a="1"/>
  <c r="P20" i="23" a="1"/>
  <c r="J57" i="23" a="1"/>
  <c r="H109" i="23" a="1"/>
  <c r="J114" i="23" a="1"/>
  <c r="F59" i="23" a="1"/>
  <c r="P28" i="23" a="1"/>
  <c r="B21" i="35" a="1"/>
  <c r="I7" i="23" a="1"/>
  <c r="F131" i="23" a="1"/>
  <c r="Q19" i="23" a="1"/>
  <c r="G89" i="23" a="1"/>
  <c r="K96" i="23" a="1"/>
  <c r="A86" i="23" a="1"/>
  <c r="R27" i="23" a="1"/>
  <c r="K85" i="23" a="1"/>
  <c r="H62" i="23" a="1"/>
  <c r="G206" i="23" a="1"/>
  <c r="E100" i="23" a="1"/>
  <c r="Q128" i="23" a="1"/>
  <c r="P54" i="23" a="1"/>
  <c r="A73" i="23" a="1"/>
  <c r="F2" i="23" a="1"/>
  <c r="L84" i="23" a="1"/>
  <c r="O147" i="23" a="1"/>
  <c r="G256" i="23" a="1"/>
  <c r="F114" i="23" a="1"/>
  <c r="K114" i="23" a="1"/>
  <c r="H139" i="23" a="1"/>
  <c r="M137" i="23" a="1"/>
  <c r="G239" i="23" a="1"/>
  <c r="N150" i="23" a="1"/>
  <c r="M10" i="23" a="1"/>
  <c r="A121" i="23" a="1"/>
  <c r="F37" i="23" a="1"/>
  <c r="N21" i="23" a="1"/>
  <c r="A112" i="23" a="1"/>
  <c r="I99" i="23" a="1"/>
  <c r="N92" i="23" a="1"/>
  <c r="A22" i="23" a="1"/>
  <c r="P94" i="23" a="1"/>
  <c r="P71" i="23" a="1"/>
  <c r="O75" i="23" a="1"/>
  <c r="F83" i="23" a="1"/>
  <c r="M121" i="23" a="1"/>
  <c r="E146" i="23" a="1"/>
  <c r="M93" i="23" a="1"/>
  <c r="J94" i="23" a="1"/>
  <c r="K18" i="23" a="1"/>
  <c r="F108" i="23" a="1"/>
  <c r="L47" i="23" a="1"/>
  <c r="R95" i="23" a="1"/>
  <c r="G203" i="23" a="1"/>
  <c r="G121" i="23" a="1"/>
  <c r="G57" i="23" a="1"/>
  <c r="E48" i="23" a="1"/>
  <c r="R87" i="23" a="1"/>
  <c r="H131" i="23" a="1"/>
  <c r="N32" i="23" a="1"/>
  <c r="O30" i="23" a="1"/>
  <c r="J126" i="23" a="1"/>
  <c r="M43" i="23" a="1"/>
  <c r="M16" i="23" a="1"/>
  <c r="M55" i="23" a="1"/>
  <c r="F10" i="23" a="1"/>
  <c r="N108" i="23" a="1"/>
  <c r="H66" i="23" a="1"/>
  <c r="H80" i="23" a="1"/>
  <c r="F66" i="23" a="1"/>
  <c r="K123" i="23" a="1"/>
  <c r="A4" i="23" a="1"/>
  <c r="Q130" i="23" a="1"/>
  <c r="M78" i="23" a="1"/>
  <c r="I18" i="23" a="1"/>
  <c r="A97" i="23" a="1"/>
  <c r="P38" i="23" a="1"/>
  <c r="G47" i="23" a="1"/>
  <c r="G93" i="23" a="1"/>
  <c r="N147" i="23" a="1"/>
  <c r="R122" i="23" a="1"/>
  <c r="E41" i="23" a="1"/>
  <c r="O53" i="23" a="1"/>
  <c r="C8" i="35" a="1"/>
  <c r="O97" i="23" a="1"/>
  <c r="O51" i="23" a="1"/>
  <c r="H128" i="23" a="1"/>
  <c r="K113" i="23" a="1"/>
  <c r="R121" i="23" a="1"/>
  <c r="K47" i="23" a="1"/>
  <c r="Q91" i="23" a="1"/>
  <c r="F112" i="23" a="1"/>
  <c r="M105" i="23" a="1"/>
  <c r="O106" i="23" a="1"/>
  <c r="A36" i="23" a="1"/>
  <c r="H135" i="23" a="1"/>
  <c r="M125" i="23" a="1"/>
  <c r="G264" i="23" a="1"/>
  <c r="P7" i="23" a="1"/>
  <c r="F88" i="23" a="1"/>
  <c r="G78" i="23" a="1"/>
  <c r="J130" i="23" a="1"/>
  <c r="F78" i="23" a="1"/>
  <c r="J113" i="23" a="1"/>
  <c r="G210" i="23" a="1"/>
  <c r="J76" i="23" a="1"/>
  <c r="I142" i="23" a="1"/>
  <c r="F87" i="23" a="1"/>
  <c r="E63" i="23" a="1"/>
  <c r="F53" i="23" a="1"/>
  <c r="J112" i="23" a="1"/>
  <c r="A45" i="23" a="1"/>
  <c r="Q63" i="23" a="1"/>
  <c r="F74" i="23" a="1"/>
  <c r="N80" i="23" a="1"/>
  <c r="O3" i="23" a="1"/>
  <c r="R18" i="23" a="1"/>
  <c r="A88" i="23" a="1"/>
  <c r="H10" i="23" a="1"/>
  <c r="A130" i="23" a="1"/>
  <c r="O74" i="23" a="1"/>
  <c r="E84" i="23" a="1"/>
  <c r="I79" i="23" a="1"/>
  <c r="P51" i="23" a="1"/>
  <c r="K36" i="23" a="1"/>
  <c r="R134" i="23" a="1"/>
  <c r="G176" i="23" a="1"/>
  <c r="K49" i="23" a="1"/>
  <c r="A43" i="23" a="1"/>
  <c r="Q142" i="23" a="1"/>
  <c r="O86" i="23" a="1"/>
  <c r="P66" i="23" a="1"/>
  <c r="P74" i="23" a="1"/>
  <c r="F18" i="23" a="1"/>
  <c r="P34" i="23" a="1"/>
  <c r="L98" i="23" a="1"/>
  <c r="C9" i="35" a="1"/>
  <c r="O115" i="23" a="1"/>
  <c r="R130" i="23" a="1"/>
  <c r="F63" i="23" a="1"/>
  <c r="G194" i="23" a="1"/>
  <c r="K103" i="23" a="1"/>
  <c r="P81" i="23" a="1"/>
  <c r="G134" i="23" a="1"/>
  <c r="J133" i="23" a="1"/>
  <c r="R90" i="23" a="1"/>
  <c r="L59" i="23" a="1"/>
  <c r="O81" i="23" a="1"/>
  <c r="O71" i="23" a="1"/>
  <c r="A74" i="23" a="1"/>
  <c r="I119" i="23" a="1"/>
  <c r="O46" i="23" a="1"/>
  <c r="K30" i="23" a="1"/>
  <c r="G225" i="23" a="1"/>
  <c r="N8" i="23" a="1"/>
  <c r="O70" i="23" a="1"/>
  <c r="Q75" i="23" a="1"/>
  <c r="L140" i="23" a="1"/>
  <c r="P87" i="23" a="1"/>
  <c r="K42" i="23" a="1"/>
  <c r="Q98" i="23" a="1"/>
  <c r="J86" i="23" a="1"/>
  <c r="Q47" i="23" a="1"/>
  <c r="E27" i="23" a="1"/>
  <c r="N15" i="23" a="1"/>
  <c r="G125" i="23" a="1"/>
  <c r="I115" i="23" a="1"/>
  <c r="I17" i="23" a="1"/>
  <c r="J48" i="23" a="1"/>
  <c r="J145" i="23" a="1"/>
  <c r="R113" i="23" a="1"/>
  <c r="E105" i="23" a="1"/>
  <c r="A139" i="23" a="1"/>
  <c r="L120" i="23" a="1"/>
  <c r="P111" i="23" a="1"/>
  <c r="A65" i="23" a="1"/>
  <c r="P127" i="23" a="1"/>
  <c r="O109" i="23" a="1"/>
  <c r="H44" i="23" a="1"/>
  <c r="G212" i="23" a="1"/>
  <c r="R53" i="23" a="1"/>
  <c r="N83" i="23" a="1"/>
  <c r="P85" i="23" a="1"/>
  <c r="L123" i="23" a="1"/>
  <c r="P24" i="23" a="1"/>
  <c r="H121" i="23" a="1"/>
  <c r="C11" i="35" a="1"/>
  <c r="M80" i="23" a="1"/>
  <c r="G200" i="23" a="1"/>
  <c r="G15" i="23" a="1"/>
  <c r="O43" i="23" a="1"/>
  <c r="A94" i="23" a="1"/>
  <c r="K146" i="23" a="1"/>
  <c r="L56" i="23" a="1"/>
  <c r="R146" i="23" a="1"/>
  <c r="R99" i="23" a="1"/>
  <c r="A123" i="23" a="1"/>
  <c r="F147" i="23" a="1"/>
  <c r="N67" i="23" a="1"/>
  <c r="N63" i="23" a="1"/>
  <c r="J77" i="23" a="1"/>
  <c r="N62" i="23" a="1"/>
  <c r="H96" i="23" a="1"/>
  <c r="G167" i="23" a="1"/>
  <c r="L94" i="23" a="1"/>
  <c r="A109" i="23" a="1"/>
  <c r="I98" i="23" a="1"/>
  <c r="Q80" i="23" a="1"/>
  <c r="I8" i="23" a="1"/>
  <c r="E1" i="5" a="1"/>
  <c r="H116" i="23" a="1"/>
  <c r="L51" i="23" a="1"/>
  <c r="F96" i="23" a="1"/>
  <c r="R28" i="23" a="1"/>
  <c r="P70" i="23" a="1"/>
  <c r="L25" i="23" a="1"/>
  <c r="N95" i="23" a="1"/>
  <c r="F23" i="23" a="1"/>
  <c r="N90" i="23" a="1"/>
  <c r="J11" i="23" a="1"/>
  <c r="L20" i="23" a="1"/>
  <c r="P138" i="23" a="1"/>
  <c r="K98" i="23" a="1"/>
  <c r="L62" i="23" a="1"/>
  <c r="N71" i="23" a="1"/>
  <c r="N143" i="23" a="1"/>
  <c r="E15" i="23" a="1"/>
  <c r="A11" i="23" a="1"/>
  <c r="F69" i="23" a="1"/>
  <c r="E14" i="23" a="1"/>
  <c r="F115" i="23" a="1"/>
  <c r="H150" i="23" a="1"/>
  <c r="J33" i="23" a="1"/>
  <c r="E94" i="23" a="1"/>
  <c r="G236" i="23" a="1"/>
  <c r="G131" i="23" a="1"/>
  <c r="I39" i="23" a="1"/>
  <c r="N146" i="23" a="1"/>
  <c r="I20" i="23" a="1"/>
  <c r="H25" i="23" a="1"/>
  <c r="K109" i="23" a="1"/>
  <c r="Q104" i="23" a="1"/>
  <c r="A68" i="23" a="1"/>
  <c r="H15" i="23" a="1"/>
  <c r="E144" i="23" a="1"/>
  <c r="H63" i="23" a="1"/>
  <c r="G138" i="23" a="1"/>
  <c r="R33" i="23" a="1"/>
  <c r="P6" i="23" a="1"/>
  <c r="E17" i="23" a="1"/>
  <c r="A71" i="23" a="1"/>
  <c r="E145" i="23" a="1"/>
  <c r="G127" i="23" a="1"/>
  <c r="M46" i="23" a="1"/>
  <c r="P55" i="23" a="1"/>
  <c r="K54" i="23" a="1"/>
  <c r="M54" i="23" a="1"/>
  <c r="F33" i="23" a="1"/>
  <c r="O67" i="23" a="1"/>
  <c r="M33" i="23" a="1"/>
  <c r="Q22" i="23" a="1"/>
  <c r="G91" i="23" a="1"/>
  <c r="H94" i="23" a="1"/>
  <c r="E20" i="23" a="1"/>
  <c r="F24" i="23" a="1"/>
  <c r="O95" i="23" a="1"/>
  <c r="Q103" i="23" a="1"/>
  <c r="J49" i="23" a="1"/>
  <c r="H108" i="23" a="1"/>
  <c r="P69" i="23" a="1"/>
  <c r="P59" i="23" a="1"/>
  <c r="R105" i="23" a="1"/>
  <c r="L13" i="23" a="1"/>
  <c r="F122" i="23" a="1"/>
  <c r="L136" i="23" a="1"/>
  <c r="Q144" i="23" a="1"/>
  <c r="G235" i="23" a="1"/>
  <c r="E6" i="23" a="1"/>
  <c r="P99" i="23" a="1"/>
  <c r="E49" i="23" a="1"/>
  <c r="R143" i="23" a="1"/>
  <c r="R68" i="23" a="1"/>
  <c r="Q56" i="23" a="1"/>
  <c r="L89" i="23" a="1"/>
  <c r="Q73" i="23" a="1"/>
  <c r="E101" i="23" a="1"/>
  <c r="M123" i="23" a="1"/>
  <c r="F149" i="23" a="1"/>
  <c r="L110" i="23" a="1"/>
  <c r="L16" i="23" a="1"/>
  <c r="K90" i="23" a="1"/>
  <c r="H140" i="23" a="1"/>
  <c r="I96" i="23" a="1"/>
  <c r="P143" i="23" a="1"/>
  <c r="J27" i="23" a="1"/>
  <c r="A149" i="23" a="1"/>
  <c r="G133" i="23" a="1"/>
  <c r="I70" i="23" a="1"/>
  <c r="A75" i="23" a="1"/>
  <c r="H134" i="23" a="1"/>
  <c r="Q96" i="23" a="1"/>
  <c r="H71" i="23" a="1"/>
  <c r="L132" i="23" a="1"/>
  <c r="F3" i="23" a="1"/>
  <c r="K38" i="23" a="1"/>
  <c r="G180" i="23" a="1"/>
  <c r="G27" i="23" a="1"/>
  <c r="I130" i="23" a="1"/>
  <c r="K32" i="23" a="1"/>
  <c r="H113" i="23" a="1"/>
  <c r="A82" i="23" a="1"/>
  <c r="J34" i="23" a="1"/>
  <c r="R69" i="23" a="1"/>
  <c r="I132" i="23" a="1"/>
  <c r="E85" i="23" a="1"/>
  <c r="K31" i="23" a="1"/>
  <c r="J95" i="23" a="1"/>
  <c r="M38" i="23" a="1"/>
  <c r="K46" i="23" a="1"/>
  <c r="G232" i="23" a="1"/>
  <c r="M18" i="23" a="1"/>
  <c r="J21" i="23" a="1"/>
  <c r="A48" i="23" a="1"/>
  <c r="N126" i="23" a="1"/>
  <c r="A116" i="23" a="1"/>
  <c r="K52" i="23" a="1"/>
  <c r="M73" i="23" a="1"/>
  <c r="O120" i="23" a="1"/>
  <c r="L109" i="23" a="1"/>
  <c r="K145" i="23" a="1"/>
  <c r="Q141" i="23" a="1"/>
  <c r="A144" i="23" a="1"/>
  <c r="N51" i="23" a="1"/>
  <c r="I60" i="23" a="1"/>
  <c r="A131" i="23" a="1"/>
  <c r="J111" i="23" a="1"/>
  <c r="R93" i="23" a="1"/>
  <c r="G14" i="23" a="1"/>
  <c r="A70" i="23" a="1"/>
  <c r="O92" i="23" a="1"/>
  <c r="O29" i="23" a="1"/>
  <c r="Q89" i="23" a="1"/>
  <c r="Q62" i="23" a="1"/>
  <c r="M83" i="23" a="1"/>
  <c r="M24" i="23" a="1"/>
  <c r="R70" i="23" a="1"/>
  <c r="M75" i="23" a="1"/>
  <c r="Q122" i="23" a="1"/>
  <c r="N27" i="23" a="1"/>
  <c r="A84" i="23" a="1"/>
  <c r="O59" i="23" a="1"/>
  <c r="G109" i="23" a="1"/>
  <c r="M130" i="23" a="1"/>
  <c r="M96" i="23" a="1"/>
  <c r="P30" i="23" a="1"/>
  <c r="I145" i="23" a="1"/>
  <c r="Q132" i="23" a="1"/>
  <c r="Q3" i="23" a="1"/>
  <c r="J96" i="23" a="1"/>
  <c r="M144" i="23" a="1"/>
  <c r="O100" i="23" a="1"/>
  <c r="L61" i="23" a="1"/>
  <c r="P11" i="23" a="1"/>
  <c r="M103" i="23" a="1"/>
  <c r="I38" i="23" a="1"/>
  <c r="M17" i="23" a="1"/>
  <c r="H30" i="23" a="1"/>
  <c r="I69" i="23" a="1"/>
  <c r="P147" i="23" a="1"/>
  <c r="I61" i="23" a="1"/>
  <c r="O72" i="23" a="1"/>
  <c r="M49" i="23" a="1"/>
  <c r="M8" i="23" a="1"/>
  <c r="L142" i="23" a="1"/>
  <c r="G257" i="23" a="1"/>
  <c r="Q30" i="23" a="1"/>
  <c r="M35" i="23" a="1"/>
  <c r="R116" i="23" a="1"/>
  <c r="H33" i="23" a="1"/>
  <c r="E44" i="23" a="1"/>
  <c r="O12" i="23" a="1"/>
  <c r="K77" i="23" a="1"/>
  <c r="H38" i="23" a="1"/>
  <c r="L48" i="23" a="1"/>
  <c r="M79" i="23" a="1"/>
  <c r="M25" i="23" a="1"/>
  <c r="K22" i="23" a="1"/>
  <c r="G136" i="23" a="1"/>
  <c r="E57" i="23" a="1"/>
  <c r="P77" i="23" a="1"/>
  <c r="R41" i="23" a="1"/>
  <c r="Q146" i="23" a="1"/>
  <c r="Q71" i="23" a="1"/>
  <c r="I45" i="23" a="1"/>
  <c r="A46" i="23" a="1"/>
  <c r="J134" i="23" a="1"/>
  <c r="J6" i="23" a="1"/>
  <c r="A34" i="23" a="1"/>
  <c r="Q39" i="23" a="1"/>
  <c r="A105" i="23" a="1"/>
  <c r="H148" i="23" a="1"/>
  <c r="J60" i="23" a="1"/>
  <c r="N75" i="23" a="1"/>
  <c r="A126" i="23" a="1"/>
  <c r="H37" i="23" a="1"/>
  <c r="M107" i="23" a="1"/>
  <c r="O139" i="23" a="1"/>
  <c r="R67" i="23" a="1"/>
  <c r="K16" i="23" a="1"/>
  <c r="R94" i="23" a="1"/>
  <c r="A30" i="23" a="1"/>
  <c r="L104" i="23" a="1"/>
  <c r="M145" i="23" a="1"/>
  <c r="Q123" i="23" a="1"/>
  <c r="R103" i="23" a="1"/>
  <c r="L5" i="23" a="1"/>
  <c r="M140" i="23" a="1"/>
  <c r="K64" i="23" a="1"/>
  <c r="K24" i="23" a="1"/>
  <c r="N52" i="23" a="1"/>
  <c r="P5" i="23" a="1"/>
  <c r="G268" i="23" a="1"/>
  <c r="F85" i="23" a="1"/>
  <c r="L23" i="23" a="1"/>
  <c r="L100" i="23" a="1"/>
  <c r="Q40" i="23" a="1"/>
  <c r="P4" i="23" a="1"/>
  <c r="P57" i="23" a="1"/>
  <c r="H119" i="23" a="1"/>
  <c r="F117" i="23" a="1"/>
  <c r="G102" i="23" a="1"/>
  <c r="H70" i="23" a="1"/>
  <c r="G179" i="23" a="1"/>
  <c r="N48" i="23" a="1"/>
  <c r="K129" i="23" a="1"/>
  <c r="N139" i="23" a="1"/>
  <c r="J108" i="23" a="1"/>
  <c r="G173" i="23" a="1"/>
  <c r="G201" i="23" a="1"/>
  <c r="M109" i="23" a="1"/>
  <c r="F45" i="23" a="1"/>
  <c r="R124" i="23" a="1"/>
  <c r="H100" i="23" a="1"/>
  <c r="I21" i="23" a="1"/>
  <c r="I143" i="23" a="1"/>
  <c r="M143" i="23" a="1"/>
  <c r="K106" i="23" a="1"/>
  <c r="R38" i="23" a="1"/>
  <c r="O58" i="23" a="1"/>
  <c r="I55" i="23" a="1"/>
  <c r="H126" i="23" a="1"/>
  <c r="N65" i="23" a="1"/>
  <c r="K11" i="23" a="1"/>
  <c r="M60" i="23" a="1"/>
  <c r="E108" i="23" a="1"/>
  <c r="G12" i="23" a="1"/>
  <c r="L38" i="23" a="1"/>
  <c r="I105" i="23" a="1"/>
  <c r="L58" i="23" a="1"/>
  <c r="G19" i="23" a="1"/>
  <c r="L45" i="23" a="1"/>
  <c r="L57" i="23" a="1"/>
  <c r="G97" i="23" a="1"/>
  <c r="G260" i="23" a="1"/>
  <c r="Q94" i="23" a="1"/>
  <c r="I35" i="23" a="1"/>
  <c r="F105" i="23" a="1"/>
  <c r="J62" i="23" a="1"/>
  <c r="Q33" i="23" a="1"/>
  <c r="A122" i="23" a="1"/>
  <c r="G192" i="23" a="1"/>
  <c r="F135" i="23" a="1"/>
  <c r="N138" i="23" a="1"/>
  <c r="N64" i="23" a="1"/>
  <c r="F136" i="23" a="1"/>
  <c r="L108" i="23" a="1"/>
  <c r="A93" i="23" a="1"/>
  <c r="Q38" i="23" a="1"/>
  <c r="E133" i="23" a="1"/>
  <c r="P67" i="23" a="1"/>
  <c r="O55" i="23" a="1"/>
  <c r="E11" i="23" a="1"/>
  <c r="E83" i="23" a="1"/>
  <c r="J109" i="23" a="1"/>
  <c r="F55" i="23" a="1"/>
  <c r="P60" i="23" a="1"/>
  <c r="R32" i="23" a="1"/>
  <c r="F107" i="23" a="1"/>
  <c r="H11" i="23" a="1"/>
  <c r="P115" i="23" a="1"/>
  <c r="E102" i="23" a="1"/>
  <c r="K29" i="23" a="1"/>
  <c r="F11" i="23" a="1"/>
  <c r="F100" i="23" a="1"/>
  <c r="J7" i="23" a="1"/>
  <c r="G242" i="23" a="1"/>
  <c r="J140" i="23" a="1"/>
  <c r="K33" i="23" a="1"/>
  <c r="I14" i="23" a="1"/>
  <c r="G228" i="23" a="1"/>
  <c r="I19" i="23" a="1"/>
  <c r="J138" i="23" a="1"/>
  <c r="F58" i="23" a="1"/>
  <c r="J56" i="23" a="1"/>
  <c r="R136" i="23" a="1"/>
  <c r="P29" i="23" a="1"/>
  <c r="R102" i="23" a="1"/>
  <c r="I103" i="23" a="1"/>
  <c r="A3" i="23" a="1"/>
  <c r="R50" i="23" a="1"/>
  <c r="M149" i="23" a="1"/>
  <c r="N9" i="23" a="1"/>
  <c r="H46" i="23" a="1"/>
  <c r="E54" i="23" a="1"/>
  <c r="Q48" i="23" a="1"/>
  <c r="F9" i="23" a="1"/>
  <c r="I95" i="23" a="1"/>
  <c r="R77" i="23" a="1"/>
  <c r="N113" i="23" a="1"/>
  <c r="C10" i="35" a="1"/>
  <c r="E75" i="23" a="1"/>
  <c r="G147" i="23" a="1"/>
  <c r="I120" i="23" a="1"/>
  <c r="G234" i="23" a="1"/>
  <c r="N73" i="23" a="1"/>
  <c r="K91" i="23" a="1"/>
  <c r="M37" i="23" a="1"/>
  <c r="Q59" i="23" a="1"/>
  <c r="F26" i="23" a="1"/>
  <c r="G69" i="23" a="1"/>
  <c r="H146" i="23" a="1"/>
  <c r="N123" i="23" a="1"/>
  <c r="J64" i="23" a="1"/>
  <c r="G43" i="23" a="1"/>
  <c r="N5" i="23" a="1"/>
  <c r="I84" i="23" a="1"/>
  <c r="R44" i="23" a="1"/>
  <c r="N50" i="23" a="1"/>
  <c r="K94" i="23" a="1"/>
  <c r="A47" i="23" a="1"/>
  <c r="H52" i="23" a="1"/>
  <c r="R145" i="23" a="1"/>
  <c r="R148" i="23" a="1"/>
  <c r="J89" i="23" a="1"/>
  <c r="E30" i="23" a="1"/>
  <c r="G188" i="23" a="1"/>
  <c r="E96" i="23" a="1"/>
  <c r="N124" i="23" a="1"/>
  <c r="F28" i="23" a="1"/>
  <c r="N44" i="23" a="1"/>
  <c r="A56" i="23" a="1"/>
  <c r="K48" i="23" a="1"/>
  <c r="E33" i="23" a="1"/>
  <c r="R135" i="23" a="1"/>
  <c r="H24" i="23" a="1"/>
  <c r="A129" i="23" a="1"/>
  <c r="L101" i="23" a="1"/>
  <c r="Q10" i="23" a="1"/>
  <c r="R114" i="23" a="1"/>
  <c r="K110" i="23" a="1"/>
  <c r="J45" i="23" a="1"/>
  <c r="J123" i="23" a="1"/>
  <c r="G126" i="23" a="1"/>
  <c r="E150" i="23" a="1"/>
  <c r="E120" i="23" a="1"/>
  <c r="N102" i="23" a="1"/>
  <c r="N134" i="23" a="1"/>
  <c r="E67" i="23" a="1"/>
  <c r="G253" i="23" a="1"/>
  <c r="G263" i="23" a="1"/>
  <c r="O17" i="23" a="1"/>
  <c r="M21" i="23" a="1"/>
  <c r="F27" i="23" a="1"/>
  <c r="I123" i="23" a="1"/>
  <c r="F30" i="23" a="1"/>
  <c r="F20" i="23" a="1"/>
  <c r="J8" i="23" a="1"/>
  <c r="L4" i="23" a="1"/>
  <c r="K43" i="23" a="1"/>
  <c r="H31" i="23" a="1"/>
  <c r="P109" i="23" a="1"/>
  <c r="A57" i="23" a="1"/>
  <c r="F113" i="23" a="1"/>
  <c r="F150" i="23" a="1"/>
  <c r="L102" i="23" a="1"/>
  <c r="E134" i="23" a="1"/>
  <c r="K6" i="23" a="1"/>
  <c r="E82" i="23" a="1"/>
  <c r="O112" i="23" a="1"/>
  <c r="L46" i="23" a="1"/>
  <c r="G169" i="23" a="1"/>
  <c r="R141" i="23" a="1"/>
  <c r="E2" i="23" a="1"/>
  <c r="A90" i="23" a="1"/>
  <c r="Q55" i="23" a="1"/>
  <c r="N129" i="23" a="1"/>
  <c r="P116" i="23" a="1"/>
  <c r="H7" i="23" a="1"/>
  <c r="P27" i="23" a="1"/>
  <c r="A132" i="23" a="1"/>
  <c r="J35" i="23" a="1"/>
  <c r="AK4" i="22" a="1"/>
  <c r="A10" i="23" a="1"/>
  <c r="H4" i="23" a="1"/>
  <c r="L149" i="23" a="1"/>
  <c r="H102" i="23" a="1"/>
  <c r="Q60" i="23" a="1"/>
  <c r="G118" i="23" a="1"/>
  <c r="O6" i="23" a="1"/>
  <c r="G174" i="23" a="1"/>
  <c r="M104" i="23" a="1"/>
  <c r="Q72" i="23" a="1"/>
  <c r="G86" i="23" a="1"/>
  <c r="I75" i="23" a="1"/>
  <c r="M56" i="23" a="1"/>
  <c r="I52" i="23" a="1"/>
  <c r="M3" i="23" a="1"/>
  <c r="G106" i="23" a="1"/>
  <c r="F145" i="23" a="1"/>
  <c r="E19" i="23" a="1"/>
  <c r="A50" i="23" a="1"/>
  <c r="P105" i="23" a="1"/>
  <c r="K9" i="23" a="1"/>
  <c r="G191" i="23" a="1"/>
  <c r="G151" i="23" a="1"/>
  <c r="N120" i="23" a="1"/>
  <c r="P37" i="23" a="1"/>
  <c r="P41" i="23" a="1"/>
  <c r="F25" i="23" a="1"/>
  <c r="Q90" i="23" a="1"/>
  <c r="I148" i="23" a="1"/>
  <c r="E76" i="23" a="1"/>
  <c r="O96" i="23" a="1"/>
  <c r="I41" i="23" a="1"/>
  <c r="Q29" i="23" a="1"/>
  <c r="O44" i="23" a="1"/>
  <c r="M90" i="23" a="1"/>
  <c r="L33" i="23" a="1"/>
  <c r="I77" i="23" a="1"/>
  <c r="O116" i="23" a="1"/>
  <c r="A54" i="23" a="1"/>
  <c r="J107" i="23" a="1"/>
  <c r="Q135" i="23" a="1"/>
  <c r="J74" i="23" a="1"/>
  <c r="G52" i="23" a="1"/>
  <c r="J110" i="23" a="1"/>
  <c r="O87" i="23" a="1"/>
  <c r="G107" i="23" a="1"/>
  <c r="N122" i="23" a="1"/>
  <c r="G1" i="5" a="1"/>
  <c r="N149" i="23" a="1"/>
  <c r="F129" i="23" a="1"/>
  <c r="H117" i="23" a="1"/>
  <c r="P118" i="23" a="1"/>
  <c r="F134" i="23" a="1"/>
  <c r="I122" i="23" a="1"/>
  <c r="N82" i="23" a="1"/>
  <c r="Q70" i="23" a="1"/>
  <c r="G204" i="23" a="1"/>
  <c r="F32" i="23" a="1"/>
  <c r="I32" i="23" a="1"/>
  <c r="M4" i="23" a="1"/>
  <c r="I40" i="23" a="1"/>
  <c r="N84" i="23" a="1"/>
  <c r="A80" i="23" a="1"/>
  <c r="E21" i="23" a="1"/>
  <c r="N128" i="23" a="1"/>
  <c r="Q32" i="23" a="1"/>
  <c r="P129" i="23" a="1"/>
  <c r="G209" i="23" a="1"/>
  <c r="H79" i="23" a="1"/>
  <c r="Q21" i="23" a="1"/>
  <c r="H90" i="23" a="1"/>
  <c r="A85" i="23" a="1"/>
  <c r="F15" i="23" a="1"/>
  <c r="H68" i="23" a="1"/>
  <c r="F118" i="23" a="1"/>
  <c r="G217" i="23" a="1"/>
  <c r="G100" i="23" a="1"/>
  <c r="R88" i="23" a="1"/>
  <c r="Q148" i="23" a="1"/>
  <c r="G245" i="23" a="1"/>
  <c r="H54" i="23" a="1"/>
  <c r="F49" i="23" a="1"/>
  <c r="I13" i="23" a="1"/>
  <c r="G66" i="23" a="1"/>
  <c r="A35" i="23" a="1"/>
  <c r="H132" i="23" a="1"/>
  <c r="I26" i="23" a="1"/>
  <c r="K6" i="19" a="1"/>
  <c r="N132" i="23" a="1"/>
  <c r="A61" i="23" a="1"/>
  <c r="J83" i="23" a="1"/>
  <c r="M116" i="23" a="1"/>
  <c r="G5" i="23" a="1"/>
  <c r="G17" i="23" a="1"/>
  <c r="O128" i="23" a="1"/>
  <c r="R59" i="23" a="1"/>
  <c r="M69" i="23" a="1"/>
  <c r="O38" i="23" a="1"/>
  <c r="I131" i="23" a="1"/>
  <c r="O124" i="23" a="1"/>
  <c r="K63" i="23" a="1"/>
  <c r="O7" i="23" a="1"/>
  <c r="N119" i="23" a="1"/>
  <c r="P65" i="23" a="1"/>
  <c r="G248" i="23" a="1"/>
  <c r="E128" i="23" a="1"/>
  <c r="H149" i="23" a="1"/>
  <c r="Q16" i="23" a="1"/>
  <c r="Q18" i="23" a="1"/>
  <c r="M65" i="23" a="1"/>
  <c r="R23" i="23" a="1"/>
  <c r="L63" i="23" a="1"/>
  <c r="Q131" i="23" a="1"/>
  <c r="E81" i="23" a="1"/>
  <c r="N66" i="23" a="1"/>
  <c r="K65" i="23" a="1"/>
  <c r="J121" i="23" a="1"/>
  <c r="H123" i="23" a="1"/>
  <c r="H35" i="23" a="1"/>
  <c r="A81" i="23" a="1"/>
  <c r="P53" i="23" a="1"/>
  <c r="H36" i="23" a="1"/>
  <c r="I73" i="23" a="1"/>
  <c r="R112" i="23" a="1"/>
  <c r="K41" i="23" a="1"/>
  <c r="I30" i="23" a="1"/>
  <c r="M31" i="23" a="1"/>
  <c r="K132" i="23" a="1"/>
  <c r="R85" i="23" a="1"/>
  <c r="N28" i="23" a="1"/>
  <c r="K45" i="23" a="1"/>
  <c r="G58" i="23" a="1"/>
  <c r="G39" i="23" a="1"/>
  <c r="H91" i="23" a="1"/>
  <c r="N104" i="23" a="1"/>
  <c r="L74" i="23" a="1"/>
  <c r="Q102" i="23" a="1"/>
  <c r="G244" i="23" a="1"/>
  <c r="A147" i="23" a="1"/>
  <c r="F62" i="23" a="1"/>
  <c r="A14" i="23" a="1"/>
  <c r="O73" i="23" a="1"/>
  <c r="G145" i="23" a="1"/>
  <c r="G56" i="23" a="1"/>
  <c r="E60" i="23" a="1"/>
  <c r="N22" i="23" a="1"/>
  <c r="L67" i="23" a="1"/>
  <c r="E79" i="23" a="1"/>
  <c r="M81" i="23" a="1"/>
  <c r="Q67" i="23" a="1"/>
  <c r="I118" i="23" a="1"/>
  <c r="N49" i="23" a="1"/>
  <c r="R36" i="23" a="1"/>
  <c r="O93" i="23" a="1"/>
  <c r="K58" i="23" a="1"/>
  <c r="L143" i="23" a="1"/>
  <c r="Q76" i="23" a="1"/>
  <c r="I146" i="23" a="1"/>
  <c r="L78" i="23" a="1"/>
  <c r="M19" i="23" a="1"/>
  <c r="H77" i="23" a="1"/>
  <c r="Q8" i="23" a="1"/>
  <c r="R75" i="23" a="1"/>
  <c r="F8" i="23" a="1"/>
  <c r="K134" i="23" a="1"/>
  <c r="M67" i="23" a="1"/>
  <c r="I138" i="23" a="1"/>
  <c r="G123" i="23" a="1"/>
  <c r="O122" i="23" a="1"/>
  <c r="M26" i="23" a="1"/>
  <c r="K71" i="23" a="1"/>
  <c r="Q49" i="23" a="1"/>
  <c r="K150" i="23" a="1"/>
  <c r="J75" i="23" a="1"/>
  <c r="P134" i="23" a="1"/>
  <c r="I29" i="23" a="1"/>
  <c r="P45" i="23" a="1"/>
  <c r="J50" i="23" a="1"/>
  <c r="A150" i="23" a="1"/>
  <c r="M135" i="23" a="1"/>
  <c r="A134" i="23" a="1"/>
  <c r="G205" i="23" a="1"/>
  <c r="O50" i="23" a="1"/>
  <c r="J135" i="23" a="1"/>
  <c r="M113" i="23" a="1"/>
  <c r="P17" i="23" a="1"/>
  <c r="P9" i="23" a="1"/>
  <c r="H61" i="23" a="1"/>
  <c r="H3" i="23" a="1"/>
  <c r="R58" i="23" a="1"/>
  <c r="M82" i="23" a="1"/>
  <c r="K126" i="23" a="1"/>
  <c r="Q107" i="23" a="1"/>
  <c r="R120" i="23" a="1"/>
  <c r="M76" i="23" a="1"/>
  <c r="P72" i="23" a="1"/>
  <c r="F82" i="23" a="1"/>
  <c r="J119" i="23" a="1"/>
  <c r="H84" i="23" a="1"/>
  <c r="G105" i="23" a="1"/>
  <c r="F146" i="23" a="1"/>
  <c r="A79" i="23" a="1"/>
  <c r="A78" i="23" a="1"/>
  <c r="F36" i="23" a="1"/>
  <c r="N30" i="23" a="1"/>
  <c r="M98" i="23" a="1"/>
  <c r="G215" i="23" a="1"/>
  <c r="M13" i="23" a="1"/>
  <c r="K120" i="23" a="1"/>
  <c r="N23" i="23" a="1"/>
  <c r="F89" i="23" a="1"/>
  <c r="M47" i="23" a="1"/>
  <c r="F93" i="23" a="1"/>
  <c r="J68" i="23" a="1"/>
  <c r="F137" i="23" a="1"/>
  <c r="P58" i="23" a="1"/>
  <c r="A39" i="23" a="1"/>
  <c r="N86" i="23" a="1"/>
  <c r="A138" i="23" a="1"/>
  <c r="I113" i="23" a="1"/>
  <c r="A9" i="23" a="1"/>
  <c r="K102" i="23" a="1"/>
  <c r="E10" i="23" a="1"/>
  <c r="M72" i="23" a="1"/>
  <c r="I15" i="23" a="1"/>
  <c r="L146" i="23" a="1"/>
  <c r="A127" i="23" a="1"/>
  <c r="L131" i="23" a="1"/>
  <c r="F139" i="23" a="1"/>
  <c r="I33" i="23" a="1"/>
  <c r="J137" i="23" a="1"/>
  <c r="J90" i="23" a="1"/>
  <c r="A99" i="23" a="1"/>
  <c r="J5" i="23" a="1"/>
  <c r="H142" i="23" a="1"/>
  <c r="M28" i="23" a="1"/>
  <c r="R86" i="23" a="1"/>
  <c r="J70" i="23" a="1"/>
  <c r="J103" i="23" a="1"/>
  <c r="F121" i="23" a="1"/>
  <c r="K72" i="23" a="1"/>
  <c r="E39" i="23" a="1"/>
  <c r="N38" i="23" a="1"/>
  <c r="E59" i="23" a="1"/>
  <c r="Q143" i="23" a="1"/>
  <c r="I82" i="23" a="1"/>
  <c r="R60" i="23" a="1"/>
  <c r="M115" i="23" a="1"/>
  <c r="O4" i="23" a="1"/>
  <c r="G9" i="23" a="1"/>
  <c r="R101" i="23" a="1"/>
  <c r="H53" i="23" a="1"/>
  <c r="F73" i="23" a="1"/>
  <c r="L6" i="23" a="1"/>
  <c r="K84" i="23" a="1"/>
  <c r="P117" i="23" a="1"/>
  <c r="P32" i="23" a="1"/>
  <c r="J104" i="23" a="1"/>
  <c r="Q97" i="23" a="1"/>
  <c r="H99" i="23" a="1"/>
  <c r="O107" i="23" a="1"/>
  <c r="K34" i="23" a="1"/>
  <c r="P92" i="23" a="1"/>
  <c r="K130" i="23" a="1"/>
  <c r="E66" i="23" a="1"/>
  <c r="P26" i="23" a="1"/>
  <c r="L50" i="23" a="1"/>
  <c r="J20" i="23" a="1"/>
  <c r="P82" i="23" a="1"/>
  <c r="G59" i="23" a="1"/>
  <c r="J122" i="23" a="1"/>
  <c r="A44" i="23" a="1"/>
  <c r="R115" i="23" a="1"/>
  <c r="P110" i="23" a="1"/>
  <c r="K100" i="23" a="1"/>
  <c r="J71" i="23" a="1"/>
  <c r="N4" i="23" a="1"/>
  <c r="N57" i="23" a="1"/>
  <c r="G99" i="23" a="1"/>
  <c r="I94" i="23" a="1"/>
  <c r="G221" i="23" a="1"/>
  <c r="H95" i="23" a="1"/>
  <c r="J98" i="23" a="1"/>
  <c r="N111" i="23" a="1"/>
  <c r="A13" i="23" a="1"/>
  <c r="A124" i="23" a="1"/>
  <c r="K149" i="23" a="1"/>
  <c r="L76" i="23" a="1"/>
  <c r="M94" i="23" a="1"/>
  <c r="R137" i="23" a="1"/>
  <c r="F77" i="23" a="1"/>
  <c r="J79" i="23" a="1"/>
  <c r="F72" i="23" a="1"/>
  <c r="A28" i="23" a="1"/>
  <c r="A89" i="23" a="1"/>
  <c r="F12" i="23" a="1"/>
  <c r="K23" i="23" a="1"/>
  <c r="O134" i="23" a="1"/>
  <c r="G137" i="23" a="1"/>
  <c r="M87" i="23" a="1"/>
  <c r="E62" i="23" a="1"/>
  <c r="G62" i="23" a="1"/>
  <c r="H106" i="23" a="1"/>
  <c r="L37" i="23" a="1"/>
  <c r="Q77" i="23" a="1"/>
  <c r="J125" i="23" a="1"/>
  <c r="G177" i="23" a="1"/>
  <c r="P25" i="23" a="1"/>
  <c r="E129" i="23" a="1"/>
  <c r="N81" i="23" a="1"/>
  <c r="R73" i="23" a="1"/>
  <c r="G141" i="23" a="1"/>
  <c r="G150" i="23" a="1"/>
  <c r="N130" i="23" a="1"/>
  <c r="P15" i="23" a="1"/>
  <c r="N144" i="23" a="1"/>
  <c r="O133" i="23" a="1"/>
  <c r="I63" i="23" a="1"/>
  <c r="R147" i="23" a="1"/>
  <c r="J44" i="23" a="1"/>
  <c r="F65" i="23" a="1"/>
  <c r="E110" i="23" a="1"/>
  <c r="A77" i="23" a="1"/>
  <c r="H27" i="23" a="1"/>
  <c r="J46" i="23" a="1"/>
  <c r="J10" i="23" a="1"/>
  <c r="G60" i="23" a="1"/>
  <c r="N135" i="23" a="1"/>
  <c r="O65" i="23" a="1"/>
  <c r="P114" i="23" a="1"/>
  <c r="J105" i="23" a="1"/>
  <c r="H97" i="23" a="1"/>
  <c r="L88" i="23" a="1"/>
  <c r="N20" i="23" a="1"/>
  <c r="P83" i="23" a="1"/>
  <c r="J31" i="23" a="1"/>
  <c r="P123" i="23" a="1"/>
  <c r="O39" i="23" a="1"/>
  <c r="E71" i="23" a="1"/>
  <c r="G79" i="23" a="1"/>
  <c r="I137" i="23" a="1"/>
  <c r="E43" i="23" a="1"/>
  <c r="F140" i="23" a="1"/>
  <c r="E140" i="23" a="1"/>
  <c r="F44" i="23" a="1"/>
  <c r="M147" i="23" a="1"/>
  <c r="M126" i="23" a="1"/>
  <c r="R54" i="23" a="1"/>
  <c r="L138" i="23" a="1"/>
  <c r="J58" i="23" a="1"/>
  <c r="G54" i="23" a="1"/>
  <c r="P135" i="23" a="1"/>
  <c r="R45" i="23" a="1"/>
  <c r="N107" i="23" a="1"/>
  <c r="G187" i="23" a="1"/>
  <c r="F110" i="23" a="1"/>
  <c r="O31" i="23" a="1"/>
  <c r="M108" i="23" a="1"/>
  <c r="L77" i="23" a="1"/>
  <c r="R89" i="23" a="1"/>
  <c r="I28" i="23" a="1"/>
  <c r="L30" i="23" a="1"/>
  <c r="L26" i="23" a="1"/>
  <c r="Q147" i="23" a="1"/>
  <c r="G49" i="23" a="1"/>
  <c r="N87" i="23" a="1"/>
  <c r="J87" i="23" a="1"/>
  <c r="K135" i="23" a="1"/>
  <c r="I65" i="23" a="1"/>
  <c r="M34" i="23" a="1"/>
  <c r="O25" i="23" a="1"/>
  <c r="M40" i="23" a="1"/>
  <c r="M51" i="23" a="1"/>
  <c r="J30" i="23" a="1"/>
  <c r="G255" i="23" a="1"/>
  <c r="A115" i="23" a="1"/>
  <c r="C1" i="5" a="1"/>
  <c r="O10" i="23" a="1"/>
  <c r="P132" i="23" a="1"/>
  <c r="K62" i="23" a="1"/>
  <c r="K26" i="23" a="1"/>
  <c r="I150" i="23" a="1"/>
  <c r="L28" i="23" a="1"/>
  <c r="M77" i="23" a="1"/>
  <c r="R131" i="23" a="1"/>
  <c r="I54" i="23" a="1"/>
  <c r="N25" i="23" a="1"/>
  <c r="Q134" i="23" a="1"/>
  <c r="Q28" i="23" a="1"/>
  <c r="R8" i="23" a="1"/>
  <c r="E78" i="23" a="1"/>
  <c r="Q83" i="23" a="1"/>
  <c r="N14" i="23" a="1"/>
  <c r="H87" i="23" a="1"/>
  <c r="P3" i="23" a="1"/>
  <c r="E37" i="23" a="1"/>
  <c r="P125" i="23" a="1"/>
  <c r="F151" i="23" a="1"/>
  <c r="L55" i="23" a="1"/>
  <c r="J61" i="23" a="1"/>
  <c r="J37" i="23" a="1"/>
  <c r="A120" i="23" a="1"/>
  <c r="P108" i="23" a="1"/>
  <c r="A23" i="23" a="1"/>
  <c r="P44" i="23" a="1"/>
  <c r="E92" i="23" a="1"/>
  <c r="A135" i="23" a="1"/>
  <c r="E35" i="23" a="1"/>
  <c r="K97" i="23" a="1"/>
  <c r="J148" i="23" a="1"/>
  <c r="O77" i="23" a="1"/>
  <c r="I129" i="23" a="1"/>
  <c r="G207" i="23" a="1"/>
  <c r="I80" i="23" a="1"/>
  <c r="P131" i="23" a="1"/>
  <c r="R20" i="23" a="1"/>
  <c r="F101" i="23" a="1"/>
  <c r="M74" i="23" a="1"/>
  <c r="I64" i="23" a="1"/>
  <c r="L86" i="23" a="1"/>
  <c r="N12" i="23" a="1"/>
  <c r="G168" i="23" a="1"/>
  <c r="Q41" i="23" a="1"/>
  <c r="N11" i="23" a="1"/>
  <c r="L35" i="23" a="1"/>
  <c r="H28" i="23" a="1"/>
  <c r="G241" i="23" a="1"/>
  <c r="N133" i="23" a="1"/>
  <c r="K12" i="23" a="1"/>
  <c r="O5" i="23" a="1"/>
  <c r="A148" i="23" a="1"/>
  <c r="R13" i="23" a="1"/>
  <c r="N6" i="23" a="1"/>
  <c r="L53" i="23" a="1"/>
  <c r="F64" i="23" a="1"/>
  <c r="E51" i="23" a="1"/>
  <c r="A31" i="23" a="1"/>
  <c r="G37" i="23" a="1"/>
  <c r="J25" i="23" a="1"/>
  <c r="R128" i="23" a="1"/>
  <c r="K88" i="23" a="1"/>
  <c r="F6" i="23" a="1"/>
  <c r="J146" i="23" a="1"/>
  <c r="M42" i="23" a="1"/>
  <c r="H16" i="23" a="1"/>
  <c r="O52" i="23" a="1"/>
  <c r="F148" i="23" a="1"/>
  <c r="Q11" i="23" a="1"/>
  <c r="G38" i="23" a="1"/>
  <c r="G63" i="23" a="1"/>
  <c r="G11" i="23" a="1"/>
  <c r="G135" i="23" a="1"/>
  <c r="N37" i="23" a="1"/>
  <c r="Q126" i="23" a="1"/>
  <c r="G198" i="23" a="1"/>
  <c r="F99" i="23" a="1"/>
  <c r="I6" i="23" a="1"/>
  <c r="K76" i="23" a="1"/>
  <c r="N18" i="23" a="1"/>
  <c r="K35" i="23" a="1"/>
  <c r="E87" i="23" a="1"/>
  <c r="J116" i="23" a="1"/>
  <c r="N53" i="23" a="1"/>
  <c r="L40" i="23" a="1"/>
  <c r="A76" i="23" a="1"/>
  <c r="E119" i="23" a="1"/>
  <c r="K108" i="23" a="1"/>
  <c r="O91" i="23" a="1"/>
  <c r="M30" i="23" a="1"/>
  <c r="M95" i="23" a="1"/>
  <c r="M86" i="23" a="1"/>
  <c r="J67" i="23" a="1"/>
  <c r="E112" i="23" a="1"/>
  <c r="E8" i="23" a="1"/>
  <c r="G33" i="23" a="1"/>
  <c r="G70" i="23" a="1"/>
  <c r="P47" i="23" a="1"/>
  <c r="F90" i="23" a="1"/>
  <c r="F70" i="23" a="1"/>
  <c r="K20" i="23" a="1"/>
  <c r="R21" i="23" a="1"/>
  <c r="I114" i="23" a="1"/>
  <c r="L117" i="23" a="1"/>
  <c r="F50" i="23" a="1"/>
  <c r="A52" i="23" a="1"/>
  <c r="A67" i="23" a="1"/>
  <c r="O15" i="23" a="1"/>
  <c r="N118" i="23" a="1"/>
  <c r="I12" i="23" a="1"/>
  <c r="O21" i="23" a="1"/>
  <c r="R106" i="23" a="1"/>
  <c r="N47" i="23" a="1"/>
  <c r="M5" i="23" a="1"/>
  <c r="L137" i="23" a="1"/>
  <c r="Q93" i="23" a="1"/>
  <c r="G81" i="23" a="1"/>
  <c r="G16" i="23" a="1"/>
  <c r="K66" i="23" a="1"/>
  <c r="I22" i="23" a="1"/>
  <c r="E90" i="23" a="1"/>
  <c r="R91" i="23" a="1"/>
  <c r="G124" i="23" a="1"/>
  <c r="K67" i="23" a="1"/>
  <c r="E103" i="23" a="1"/>
  <c r="L127" i="23" a="1"/>
  <c r="J72" i="23" a="1"/>
  <c r="H60" i="23" a="1"/>
  <c r="A1" i="5" a="1"/>
  <c r="F86" i="23" a="1"/>
  <c r="G197" i="23" a="1"/>
  <c r="K21" i="23" a="1"/>
  <c r="J129" i="23" a="1"/>
  <c r="A72" i="23" a="1"/>
  <c r="P36" i="23" a="1"/>
  <c r="J99" i="23" a="1"/>
  <c r="L15" i="23" a="1"/>
  <c r="K141" i="23" a="1"/>
  <c r="N45" i="23" a="1"/>
  <c r="P56" i="23" a="1"/>
  <c r="L112" i="23" a="1"/>
  <c r="O62" i="23" a="1"/>
  <c r="O56" i="23" a="1"/>
  <c r="Q117" i="23" a="1"/>
  <c r="G237" i="23" a="1"/>
  <c r="L99" i="23" a="1"/>
  <c r="J97" i="23" a="1"/>
  <c r="K5" i="23" a="1"/>
  <c r="R51" i="23" a="1"/>
  <c r="P86" i="23" a="1"/>
  <c r="O101" i="23" a="1"/>
  <c r="H114" i="23" a="1"/>
  <c r="I62" i="23" a="1"/>
  <c r="E73" i="23" a="1"/>
  <c r="P148" i="23" a="1"/>
  <c r="Q92" i="23" a="1"/>
  <c r="E135" i="23" a="1"/>
  <c r="K3" i="23" a="1"/>
  <c r="M45" i="23" a="1"/>
  <c r="O32" i="23" a="1"/>
  <c r="K4" i="23" a="1"/>
  <c r="I43" i="23" a="1"/>
  <c r="G24" i="23" a="1"/>
  <c r="M12" i="23" a="1"/>
  <c r="P107" i="23" a="1"/>
  <c r="M97" i="23" a="1"/>
  <c r="L43" i="23" a="1"/>
  <c r="J51" i="23" a="1"/>
  <c r="N42" i="23" a="1"/>
  <c r="J12" i="23" a="1"/>
  <c r="R140" i="23" a="1"/>
  <c r="N148" i="23" a="1"/>
  <c r="G10" i="23" a="1"/>
  <c r="Q51" i="23" a="1"/>
  <c r="J40" i="23" a="1"/>
  <c r="G261" i="23" a="1"/>
  <c r="P62" i="23" a="1"/>
  <c r="J92" i="23" a="1"/>
  <c r="P101" i="23" a="1"/>
  <c r="F5" i="23" a="1"/>
  <c r="R7" i="23" a="1"/>
  <c r="N142" i="23" a="1"/>
  <c r="K89" i="23" a="1"/>
  <c r="Q114" i="23" a="1"/>
  <c r="I102" i="23" a="1"/>
  <c r="F51" i="23" a="1"/>
  <c r="G246" i="23" a="1"/>
  <c r="K19" i="23" a="1"/>
  <c r="O137" i="23" a="1"/>
  <c r="J141" i="23" a="1"/>
  <c r="E111" i="23" a="1"/>
  <c r="R80" i="23" a="1"/>
  <c r="F48" i="23" a="1"/>
  <c r="I36" i="23" a="1"/>
  <c r="A29" i="23" a="1"/>
  <c r="R14" i="23" a="1"/>
  <c r="A2" i="23" a="1"/>
  <c r="E104" i="23" a="1"/>
  <c r="I111" i="23" a="1"/>
  <c r="G53" i="23" a="1"/>
  <c r="Q17" i="23" a="1"/>
  <c r="J149" i="23" a="1"/>
  <c r="H138" i="23" a="1"/>
  <c r="I127" i="23" a="1"/>
  <c r="A69" i="23" a="1"/>
  <c r="G175" i="23" a="1"/>
  <c r="H110" i="23" a="1"/>
  <c r="R139" i="23" a="1"/>
  <c r="L96" i="23" a="1"/>
  <c r="F119" i="23" a="1"/>
  <c r="N106" i="23" a="1"/>
  <c r="K44" i="23" a="1"/>
  <c r="L125" i="23" a="1"/>
  <c r="K118" i="23" a="1"/>
  <c r="H8" i="23" a="1"/>
  <c r="J28" i="23" a="1"/>
  <c r="I9" i="23" a="1"/>
  <c r="M101" i="23" a="1"/>
  <c r="G65" i="23" a="1"/>
  <c r="L34" i="23" a="1"/>
  <c r="F41" i="23" a="1"/>
  <c r="N69" i="23" a="1"/>
  <c r="G31" i="23" a="1"/>
  <c r="A64" i="23" a="1"/>
  <c r="O105" i="23" a="1"/>
  <c r="I100" i="23" a="1"/>
  <c r="R47" i="23" a="1"/>
  <c r="G88" i="23" a="1"/>
  <c r="E118" i="23" a="1"/>
  <c r="G199" i="23" a="1"/>
  <c r="O11" i="23" a="1"/>
  <c r="L145" i="23" a="1"/>
  <c r="Q145" i="23" a="1"/>
  <c r="L124" i="23" a="1"/>
  <c r="O121" i="23" a="1"/>
  <c r="M106" i="23" a="1"/>
  <c r="P50" i="23" a="1"/>
  <c r="F94" i="23" a="1"/>
  <c r="Q87" i="23" a="1"/>
  <c r="R43" i="23" a="1"/>
  <c r="E147" i="23" a="1"/>
  <c r="Q2" i="23" a="1"/>
  <c r="G92" i="23" a="1"/>
  <c r="R108" i="23" a="1"/>
  <c r="A20" i="23" a="1"/>
  <c r="K53" i="23" a="1"/>
  <c r="H75" i="23" a="1"/>
  <c r="G262" i="23" a="1"/>
  <c r="K40" i="23" a="1"/>
  <c r="G128" i="23" a="1"/>
  <c r="H26" i="23" a="1"/>
  <c r="L68" i="23" a="1"/>
  <c r="F61" i="23" a="1"/>
  <c r="L95" i="23" a="1"/>
  <c r="R4" i="23" a="1"/>
  <c r="M57" i="23" a="1"/>
  <c r="R19" i="23" a="1"/>
  <c r="Q50" i="23" a="1"/>
  <c r="K15" i="23" a="1"/>
  <c r="Q101" i="23" a="1"/>
  <c r="L82" i="23" a="1"/>
  <c r="I125" i="23" a="1"/>
  <c r="E97" i="23" a="1"/>
  <c r="F104" i="23" a="1"/>
  <c r="I34" i="23" a="1"/>
  <c r="P133" i="23" a="1"/>
  <c r="O145" i="23" a="1"/>
  <c r="K139" i="23" a="1"/>
  <c r="E36" i="23" a="1"/>
  <c r="A102" i="23" a="1"/>
  <c r="P120" i="23" a="1"/>
  <c r="A18" i="23" a="1"/>
  <c r="F102" i="23" a="1"/>
  <c r="J59" i="23" a="1"/>
  <c r="Q108" i="23" a="1"/>
  <c r="O66" i="23" a="1"/>
  <c r="R84" i="23" a="1"/>
  <c r="K61" i="23" a="1"/>
  <c r="Q5" i="23" a="1"/>
  <c r="I149" i="23" a="1"/>
  <c r="H151" i="23" a="1"/>
  <c r="R31" i="23" a="1"/>
  <c r="I66" i="23" a="1"/>
  <c r="M14" i="23" a="1"/>
  <c r="G181" i="23" a="1"/>
  <c r="M9" i="23" a="1"/>
  <c r="H129" i="23" a="1"/>
  <c r="N40" i="23" a="1"/>
  <c r="K147" i="23" a="1"/>
  <c r="J43" i="23" a="1"/>
  <c r="G247" i="23" a="1"/>
  <c r="I133" i="23" a="1"/>
  <c r="Q133" i="23" a="1"/>
  <c r="G182" i="23" a="1"/>
  <c r="K115" i="23" a="1"/>
  <c r="F130" i="23" a="1"/>
  <c r="E5" i="23" a="1"/>
  <c r="Q78" i="23" a="1"/>
  <c r="O141" i="23" a="1"/>
  <c r="R55" i="23" a="1"/>
  <c r="G29" i="23" a="1"/>
  <c r="A63" i="23" a="1"/>
  <c r="J106" i="23" a="1"/>
  <c r="J4" i="23" a="1"/>
  <c r="F47" i="23" a="1"/>
  <c r="E88" i="23" a="1"/>
  <c r="Q105" i="23" a="1"/>
  <c r="O130" i="23" a="1"/>
  <c r="N46" i="23" a="1"/>
  <c r="H2" i="23" a="1"/>
  <c r="M58" i="23" a="1"/>
  <c r="I90" i="23" a="1"/>
  <c r="K73" i="23" a="1"/>
  <c r="H48" i="23" a="1"/>
  <c r="F128" i="23" a="1"/>
  <c r="E32" i="23" a="1"/>
  <c r="N140" i="23" a="1"/>
  <c r="P137" i="23" a="1"/>
  <c r="J24" i="23" a="1"/>
  <c r="J142" i="23" a="1"/>
  <c r="R61" i="23" a="1"/>
  <c r="G95" i="23" a="1"/>
  <c r="Q124" i="23" a="1"/>
  <c r="L92" i="23" a="1"/>
  <c r="N29" i="23" a="1"/>
  <c r="J127" i="23" a="1"/>
  <c r="L75" i="23" a="1"/>
  <c r="E70" i="23" a="1"/>
  <c r="N55" i="23" a="1"/>
  <c r="F14" i="23" a="1"/>
  <c r="A53" i="23" a="1"/>
  <c r="G71" i="23" a="1"/>
  <c r="Q12" i="23" a="1"/>
  <c r="E122" i="23" a="1"/>
  <c r="E45" i="23" a="1"/>
  <c r="G243" i="23" a="1"/>
  <c r="J124" i="23" a="1"/>
  <c r="L29" i="23" a="1"/>
  <c r="R16" i="23" a="1"/>
  <c r="J78" i="23" a="1"/>
  <c r="G122" i="23" a="1"/>
  <c r="F35" i="23" a="1"/>
  <c r="L91" i="23" a="1"/>
  <c r="H18" i="23" a="1"/>
  <c r="G2" i="23" a="1"/>
  <c r="L147" i="23" a="1"/>
  <c r="H107" i="23" a="1"/>
  <c r="R5" i="23" a="1"/>
  <c r="H73" i="23" a="1"/>
  <c r="O114" i="23" a="1"/>
  <c r="A8" i="23" a="1"/>
  <c r="Q106" i="23" a="1"/>
  <c r="H39" i="23" a="1"/>
  <c r="I126" i="23" a="1"/>
  <c r="M84" i="23" a="1"/>
  <c r="G227" i="23" a="1"/>
  <c r="E99" i="23" a="1"/>
  <c r="K68" i="23" a="1"/>
  <c r="N16" i="23" a="1"/>
  <c r="E28" i="23" a="1"/>
  <c r="E115" i="23" a="1"/>
  <c r="G224" i="23" a="1"/>
  <c r="F75" i="23" a="1"/>
  <c r="J38" i="23" a="1"/>
  <c r="L144" i="23" a="1"/>
  <c r="K37" i="23" a="1"/>
  <c r="I51" i="23" a="1"/>
  <c r="O131" i="23" a="1"/>
  <c r="J16" i="23" a="1"/>
  <c r="R111" i="23" a="1"/>
  <c r="O104" i="23" a="1"/>
  <c r="H6" i="23" a="1"/>
  <c r="G120" i="23" a="1"/>
  <c r="A142" i="23" a="1"/>
  <c r="P144" i="23" a="1"/>
  <c r="A143" i="23" a="1"/>
  <c r="G46" i="23" a="1"/>
  <c r="G254" i="23" a="1"/>
  <c r="H41" i="23" a="1"/>
  <c r="I4" i="23" a="1"/>
  <c r="O60" i="23" a="1"/>
  <c r="R52" i="23" a="1"/>
  <c r="Q31" i="23" a="1"/>
  <c r="Q58" i="23" a="1"/>
  <c r="G258" i="23" a="1"/>
  <c r="P80" i="23" a="1"/>
  <c r="Q100" i="23" a="1"/>
  <c r="M15" i="23" a="1"/>
  <c r="N78" i="23" a="1"/>
  <c r="K143" i="23" a="1"/>
  <c r="G36" i="23" a="1"/>
  <c r="O34" i="23" a="1"/>
  <c r="E136" i="23" a="1"/>
  <c r="K138" i="23" a="1"/>
  <c r="F84" i="23" a="1"/>
  <c r="I89" i="23" a="1"/>
  <c r="J66" i="23" a="1"/>
  <c r="K74" i="23" a="1"/>
  <c r="O99" i="23" a="1"/>
  <c r="E55" i="23" a="1"/>
  <c r="Q54" i="23" a="1"/>
  <c r="R2" i="23" a="1"/>
  <c r="K92" i="23" a="1"/>
  <c r="K140" i="23" a="1"/>
  <c r="N35" i="23" a="1"/>
  <c r="L70" i="23" a="1"/>
  <c r="A136" i="23" a="1"/>
  <c r="C7" i="35" a="1"/>
  <c r="R126" i="23" a="1"/>
  <c r="L115" i="23" a="1"/>
  <c r="R65" i="23" a="1"/>
  <c r="E143" i="23" a="1"/>
  <c r="O22" i="23" a="1"/>
  <c r="R24" i="23" a="1"/>
  <c r="G196" i="23" a="1"/>
  <c r="A146" i="23" a="1"/>
  <c r="R129" i="23" a="1"/>
  <c r="G183" i="23" a="1"/>
  <c r="M146" i="23" a="1"/>
  <c r="F16" i="23" a="1"/>
  <c r="M136" i="23" a="1"/>
  <c r="I68" i="23" a="1"/>
  <c r="J39" i="23" a="1"/>
  <c r="P2" i="23" a="1"/>
  <c r="I48" i="23" a="1"/>
  <c r="R138" i="23" a="1"/>
  <c r="G193" i="23" a="1"/>
  <c r="O108" i="23" a="1"/>
  <c r="M150" i="23" a="1"/>
  <c r="O69" i="23" a="1"/>
  <c r="H137" i="23" a="1"/>
  <c r="L17" i="23" a="1"/>
  <c r="K112" i="23" a="1"/>
  <c r="K105" i="23" a="1"/>
  <c r="F42" i="23" a="1"/>
  <c r="M64" i="23" a="1"/>
  <c r="H43" i="23" a="1"/>
  <c r="O142" i="23" a="1"/>
  <c r="K78" i="23" a="1"/>
  <c r="G80" i="23" a="1"/>
  <c r="N72" i="23" a="1"/>
  <c r="R64" i="23" a="1"/>
  <c r="A83" i="23" a="1"/>
  <c r="E139" i="23" a="1"/>
  <c r="L135" i="23" a="1"/>
  <c r="F34" i="23" a="1"/>
  <c r="G271" i="23" a="1"/>
  <c r="Q46" i="23" a="1"/>
  <c r="K50" i="23" a="1"/>
  <c r="E117" i="23" a="1"/>
  <c r="G190" i="23" a="1"/>
  <c r="G259" i="23" a="1"/>
  <c r="G8" i="23" a="1"/>
  <c r="G267" i="23" a="1"/>
  <c r="R144" i="23" a="1"/>
  <c r="G269" i="23" a="1"/>
  <c r="J118" i="23" a="1"/>
  <c r="F21" i="23" a="1"/>
  <c r="Q79" i="23" a="1"/>
  <c r="Q140" i="23" a="1"/>
  <c r="P124" i="23" a="1"/>
  <c r="Q9" i="23" a="1"/>
  <c r="J23" i="23" a="1"/>
  <c r="J120" i="23" a="1"/>
  <c r="L116" i="23" a="1"/>
  <c r="N24" i="23" a="1"/>
  <c r="G44" i="23" a="1"/>
  <c r="R66" i="23" a="1"/>
  <c r="O83" i="23" a="1"/>
  <c r="Q34" i="23" a="1"/>
  <c r="A104" i="23" a="1"/>
  <c r="Q68" i="23" a="1"/>
  <c r="H104" i="23" a="1"/>
  <c r="E74" i="23" a="1"/>
  <c r="K111" i="23" a="1"/>
  <c r="Q84" i="23" a="1"/>
  <c r="O110" i="23" a="1"/>
  <c r="M112" i="23" a="1"/>
  <c r="H55" i="23" a="1"/>
  <c r="P93" i="23" a="1"/>
  <c r="L73" i="23" a="1"/>
  <c r="G117" i="23" a="1"/>
  <c r="H40" i="23" a="1"/>
  <c r="F67" i="23" a="1"/>
  <c r="M50" i="23" a="1"/>
  <c r="G21" i="23" a="1"/>
  <c r="J73" i="23" a="1"/>
  <c r="A113" i="23" a="1"/>
  <c r="R42" i="23" a="1"/>
  <c r="G143" i="23" a="1"/>
  <c r="H12" i="23" a="1"/>
  <c r="I147" i="23" a="1"/>
  <c r="O28" i="23" a="1"/>
  <c r="G22" i="23" a="1"/>
  <c r="I109" i="23" a="1"/>
  <c r="G129" i="23" a="1"/>
  <c r="P122" i="23" a="1"/>
  <c r="A118" i="23" a="1"/>
  <c r="L130" i="23" a="1"/>
  <c r="R110" i="23" a="1"/>
  <c r="P100" i="23" a="1"/>
  <c r="H136" i="23" a="1"/>
  <c r="G238" i="23" a="1"/>
  <c r="Q65" i="23" a="1"/>
  <c r="I27" i="23" a="1"/>
  <c r="O149" i="23" a="1"/>
  <c r="R49" i="23" a="1"/>
  <c r="A103" i="23" a="1"/>
  <c r="P146" i="23" a="1"/>
  <c r="E52" i="23" a="1"/>
  <c r="R82" i="23" a="1"/>
  <c r="G50" i="23" a="1"/>
  <c r="E22" i="23" a="1"/>
  <c r="J36" i="23" a="1"/>
  <c r="G111" i="23" a="1"/>
  <c r="F40" i="23" a="1"/>
  <c r="P79" i="23" a="1"/>
  <c r="Q113" i="23" a="1"/>
  <c r="I24" i="23" a="1"/>
  <c r="E12" i="23" a="1"/>
  <c r="M62" i="23" a="1"/>
  <c r="Q115" i="23" a="1"/>
  <c r="G18" i="23" a="1"/>
  <c r="G130" i="23" a="1"/>
  <c r="J3" i="23" a="1"/>
  <c r="R34" i="23" a="1"/>
  <c r="P8" i="23" a="1"/>
  <c r="I128" i="23" a="1"/>
  <c r="P103" i="23" a="1"/>
  <c r="L121" i="23" a="1"/>
  <c r="G144" i="23" a="1"/>
  <c r="I37" i="23" a="1"/>
  <c r="P33" i="23" a="1"/>
  <c r="A108" i="23" a="1"/>
  <c r="R107" i="23" a="1"/>
  <c r="A19" i="23" a="1"/>
  <c r="L126" i="23" a="1"/>
  <c r="AK6" i="22" a="1"/>
  <c r="G110" i="23" a="1"/>
  <c r="I53" i="23" a="1"/>
  <c r="I83" i="23" a="1"/>
  <c r="I50" i="23" a="1"/>
  <c r="H19" i="23" a="1"/>
  <c r="K5" i="19" a="1"/>
  <c r="G83" i="23" a="1"/>
  <c r="M92" i="23" a="1"/>
  <c r="O136" i="23" a="1"/>
  <c r="K104" i="23" a="1"/>
  <c r="F13" i="23" a="1"/>
  <c r="I110" i="23" a="1"/>
  <c r="A26" i="23" a="1"/>
  <c r="O40" i="23" a="1"/>
  <c r="O9" i="23" a="1"/>
  <c r="G171" i="23" a="1"/>
  <c r="H58" i="23" a="1"/>
  <c r="L8" i="23" a="1"/>
  <c r="Q137" i="23" a="1"/>
  <c r="H49" i="23" a="1"/>
  <c r="O132" i="23" a="1"/>
  <c r="O33" i="23" a="1"/>
  <c r="P130" i="23" a="1"/>
  <c r="Q42" i="23" a="1"/>
  <c r="Q112" i="23" a="1"/>
  <c r="O63" i="23" a="1"/>
  <c r="G61" i="23" a="1"/>
  <c r="K144" i="23" a="1"/>
  <c r="I107" i="23" a="1"/>
  <c r="O79" i="23" a="1"/>
  <c r="N33" i="23" a="1"/>
  <c r="K4" i="19" a="1"/>
  <c r="L97" i="23" a="1"/>
  <c r="H86" i="23" a="1"/>
  <c r="E9" i="23" a="1"/>
  <c r="G7" i="23" a="1"/>
  <c r="L80" i="23" a="1"/>
  <c r="N54" i="23" a="1"/>
  <c r="A7" i="23" a="1"/>
  <c r="K28" i="23" a="1"/>
  <c r="I88" i="23" a="1"/>
  <c r="P97" i="23" a="1"/>
  <c r="A141" i="23" a="1"/>
  <c r="R26" i="23" a="1"/>
  <c r="G149" i="23" a="1"/>
  <c r="J53" i="23" a="1"/>
  <c r="M118" i="23" a="1"/>
  <c r="I87" i="23" a="1"/>
  <c r="Q127" i="23" a="1"/>
  <c r="M66" i="23" a="1"/>
  <c r="G222" i="23" a="1"/>
  <c r="L7" i="23" a="1"/>
  <c r="H98" i="23" a="1"/>
  <c r="O42" i="23" a="1"/>
  <c r="G104" i="23" a="1"/>
  <c r="R98" i="23" a="1"/>
  <c r="G252" i="23" a="1"/>
  <c r="H143" i="23" a="1"/>
  <c r="F142" i="23" a="1"/>
  <c r="H76" i="23" a="1"/>
  <c r="F97" i="23" a="1"/>
  <c r="O118" i="23" a="1"/>
  <c r="G55" i="23" a="1"/>
  <c r="P141" i="23" a="1"/>
  <c r="R74" i="23" a="1"/>
  <c r="N56" i="23" a="1"/>
  <c r="E40" i="23" a="1"/>
  <c r="I44" i="23" a="1"/>
  <c r="R142" i="23" a="1"/>
  <c r="E29" i="23" a="1"/>
  <c r="H120" i="23" a="1"/>
  <c r="M134" i="23" a="1"/>
  <c r="H65" i="23" a="1"/>
  <c r="R123" i="23" a="1"/>
  <c r="G94" i="23" a="1"/>
  <c r="L52" i="23" a="1"/>
  <c r="G195" i="23" a="1"/>
  <c r="J139" i="23" a="1"/>
  <c r="N77" i="23" a="1"/>
  <c r="F81" i="23" a="1"/>
  <c r="A60" i="23" a="1"/>
  <c r="I2" i="23" a="1"/>
  <c r="A6" i="23" a="1"/>
  <c r="J143" i="23" a="1"/>
  <c r="I134" i="23" a="1"/>
  <c r="G4" i="23" a="1"/>
  <c r="A101" i="23" a="1"/>
  <c r="G249" i="23" a="1"/>
  <c r="P14" i="23" a="1"/>
  <c r="M91" i="23" a="1"/>
  <c r="L111" i="23" a="1"/>
  <c r="H69" i="23" a="1"/>
  <c r="F4" i="23" a="1"/>
  <c r="Q13" i="23" a="1"/>
  <c r="I46" i="23" a="1"/>
  <c r="G77" i="23" a="1"/>
  <c r="Q74" i="23" a="1"/>
  <c r="E38" i="23" a="1"/>
  <c r="E50" i="23" a="1"/>
  <c r="M142" i="23" a="1"/>
  <c r="O78" i="23" a="1"/>
  <c r="L54" i="23" a="1"/>
  <c r="Q24" i="23" a="1"/>
  <c r="N109" i="23" a="1"/>
  <c r="N68" i="23" a="1"/>
  <c r="H103" i="23" a="1"/>
  <c r="M100" i="23" a="1"/>
  <c r="A133" i="23" a="1"/>
  <c r="M129" i="23" a="1"/>
  <c r="N136" i="23" a="1"/>
  <c r="I117" i="23" a="1"/>
  <c r="A119" i="23" a="1"/>
  <c r="M70" i="23" a="1"/>
  <c r="H125" i="23" a="1"/>
  <c r="K3" i="19" a="1"/>
  <c r="H115" i="23" a="1"/>
  <c r="O24" i="23" a="1"/>
  <c r="G96" i="23" a="1"/>
  <c r="G170" i="23" a="1"/>
  <c r="G270" i="23" a="1"/>
  <c r="L87" i="23" a="1"/>
  <c r="Q150" i="23" a="1"/>
  <c r="J22" i="23" a="1"/>
  <c r="F123" i="23" a="1"/>
  <c r="M44" i="23" a="1"/>
  <c r="E7" i="23" a="1"/>
  <c r="J63" i="23" a="1"/>
  <c r="O76" i="23" a="1"/>
  <c r="J47" i="23" a="1"/>
  <c r="I3" i="23" a="1"/>
  <c r="P31" i="23" a="1"/>
  <c r="N110" i="23" a="1"/>
  <c r="L148" i="23" a="1"/>
  <c r="H141" i="23" a="1"/>
  <c r="A5" i="23" a="1"/>
  <c r="O19" i="23" a="1"/>
  <c r="N43" i="23" a="1"/>
  <c r="G186" i="23" a="1"/>
  <c r="I49" i="23" a="1"/>
  <c r="Q14" i="23" a="1"/>
  <c r="G216" i="23" a="1"/>
  <c r="H127" i="23" a="1"/>
  <c r="E31" i="23" a="1"/>
  <c r="M11" i="23" a="1"/>
  <c r="G42" i="23" a="1"/>
  <c r="J93" i="23" a="1"/>
  <c r="K101" i="23" a="1"/>
  <c r="P49" i="23" a="1"/>
  <c r="A21" i="23" a="1"/>
  <c r="J18" i="23" a="1"/>
  <c r="Q37" i="23" a="1"/>
  <c r="Q109" i="23" a="1"/>
  <c r="G48" i="23" a="1"/>
  <c r="E69" i="23" a="1"/>
  <c r="K57" i="23" a="1"/>
  <c r="G219" i="23" a="1"/>
  <c r="M68" i="23" a="1"/>
  <c r="Q88" i="23" a="1"/>
  <c r="A140" i="23" a="1"/>
  <c r="J91" i="23" a="1"/>
  <c r="O37" i="23" a="1"/>
  <c r="Q121" i="23" a="1"/>
  <c r="O102" i="23" a="1"/>
  <c r="P23" i="23" a="1"/>
  <c r="H83" i="23" a="1"/>
  <c r="Q116" i="23" a="1"/>
  <c r="R117" i="23" a="1"/>
  <c r="E68" i="23" a="1"/>
  <c r="I104" i="23" a="1"/>
  <c r="O144" i="23" a="1"/>
  <c r="H105" i="23" a="1"/>
  <c r="Q43" i="23" a="1"/>
  <c r="M89" i="23" a="1"/>
  <c r="H111" i="23" a="1"/>
  <c r="M120" i="23" a="1"/>
  <c r="O113" i="23" a="1"/>
  <c r="E16" i="23" a="1"/>
  <c r="M27" i="23" a="1"/>
  <c r="K13" i="23" a="1"/>
  <c r="Q53" i="23" a="1"/>
  <c r="L72" i="23" a="1"/>
  <c r="P16" i="23" a="1"/>
  <c r="Q35" i="23" a="1"/>
  <c r="O129" i="23" a="1"/>
  <c r="M48" i="23" a="1"/>
  <c r="H82" i="23" a="1"/>
  <c r="M52" i="23" a="1"/>
  <c r="N101" i="23" a="1"/>
  <c r="M88" i="23" a="1"/>
  <c r="M85" i="23" a="1"/>
  <c r="M141" i="23" a="1"/>
  <c r="F56" i="23" a="1"/>
  <c r="N99" i="23" a="1"/>
  <c r="R150" i="23" a="1"/>
  <c r="L12" i="23" a="1"/>
  <c r="E116" i="23" a="1"/>
  <c r="E121" i="23" a="1"/>
  <c r="A32" i="23" a="1"/>
  <c r="H51" i="23" a="1"/>
  <c r="R35" i="23" a="1"/>
  <c r="N94" i="23" a="1"/>
  <c r="O23" i="23" a="1"/>
  <c r="L128" i="23" a="1"/>
  <c r="H130" i="23" a="1"/>
  <c r="I140" i="23" a="1"/>
  <c r="Q110" i="23" a="1"/>
  <c r="L134" i="23" a="1"/>
  <c r="Q139" i="23" a="1"/>
  <c r="K122" i="23" a="1"/>
  <c r="G32" i="23" a="1"/>
  <c r="R11" i="23" a="1"/>
  <c r="J117" i="23" a="1"/>
  <c r="H78" i="23" a="1"/>
  <c r="A16" i="23" a="1"/>
  <c r="M61" i="23" a="1"/>
  <c r="K7" i="23" a="1"/>
  <c r="R30" i="23" a="1"/>
  <c r="J132" i="23" a="1"/>
  <c r="F52" i="23" a="1"/>
  <c r="L69" i="23" a="1"/>
  <c r="L81" i="23" a="1"/>
  <c r="E23" i="23" a="1"/>
  <c r="I78" i="23" a="1"/>
  <c r="F54" i="23" a="1"/>
  <c r="G28" i="23" a="1"/>
  <c r="P43" i="23" a="1"/>
  <c r="H93" i="23" a="1"/>
  <c r="F98" i="23" a="1"/>
  <c r="Q118" i="23" a="1"/>
  <c r="M139" i="23" a="1"/>
  <c r="E65" i="23" a="1"/>
  <c r="M117" i="23" a="1"/>
  <c r="G90" i="23" a="1"/>
  <c r="H118" i="23" a="1"/>
  <c r="G119" i="23" a="1"/>
  <c r="O88" i="23" a="1"/>
  <c r="G114" i="23" a="1"/>
  <c r="O16" i="23" a="1"/>
  <c r="E80" i="23" a="1"/>
  <c r="P145" i="23" a="1"/>
  <c r="L11" i="23" a="1"/>
  <c r="P61" i="23" a="1"/>
  <c r="R92" i="23" a="1"/>
  <c r="A24" i="23" a="1"/>
  <c r="E72" i="23" a="1"/>
  <c r="L118" i="23" a="1"/>
  <c r="F29" i="23" a="1"/>
  <c r="R78" i="23" a="1"/>
  <c r="E58" i="23" a="1"/>
  <c r="H144" i="23" a="1"/>
  <c r="A41" i="23" a="1"/>
  <c r="O94" i="23" a="1"/>
  <c r="M102" i="23" a="1"/>
  <c r="N79" i="23" a="1"/>
  <c r="A58" i="23" a="1"/>
  <c r="I56" i="23" a="1"/>
  <c r="L36" i="23" a="1"/>
  <c r="L49" i="23" a="1"/>
  <c r="F60" i="23" a="1"/>
  <c r="L27" i="23" a="1"/>
  <c r="G25" i="23" a="1"/>
  <c r="N17" i="23" a="1"/>
  <c r="L150" i="23" a="1"/>
  <c r="R71" i="23" a="1"/>
  <c r="E86" i="23" a="1"/>
  <c r="R63" i="23" a="1"/>
  <c r="R81" i="23" a="1"/>
  <c r="K69" i="23" a="1"/>
  <c r="R100" i="23" a="1"/>
  <c r="N13" i="23" a="1"/>
  <c r="I74" i="23" a="1"/>
  <c r="F127" i="23" a="1"/>
  <c r="E77" i="23" a="1"/>
  <c r="F38" i="23" a="1"/>
  <c r="K121" i="23" a="1"/>
  <c r="R72" i="23" a="1"/>
  <c r="A25" i="23" a="1"/>
  <c r="I116" i="23" a="1"/>
  <c r="P46" i="23" a="1"/>
  <c r="N93" i="23" a="1"/>
  <c r="A110" i="23" a="1"/>
  <c r="H89" i="23" a="1"/>
  <c r="G72" i="23" a="1"/>
  <c r="J32" i="23" a="1"/>
  <c r="M32" i="23" a="1"/>
  <c r="E124" i="23" a="1"/>
  <c r="J14" i="23" a="1"/>
  <c r="P10" i="23" a="1"/>
  <c r="K70" i="23" a="1"/>
  <c r="G103" i="23" a="1"/>
  <c r="N117" i="23" a="1"/>
  <c r="I121" i="23" a="1"/>
  <c r="M39" i="23" a="1"/>
  <c r="Q45" i="23" a="1"/>
  <c r="N91" i="23" a="1"/>
  <c r="L129" i="23" a="1"/>
  <c r="P40" i="23" a="1"/>
  <c r="H64" i="23" a="1"/>
  <c r="G73" i="23" a="1"/>
  <c r="K55" i="23" a="1"/>
  <c r="I101" i="23" a="1"/>
  <c r="R37" i="23" a="1"/>
  <c r="F19" i="23" a="1"/>
  <c r="Q138" i="23" a="1"/>
  <c r="M41" i="23" a="1"/>
  <c r="E25" i="23" a="1"/>
  <c r="O143" i="23" a="1"/>
  <c r="J2" i="23" a="1"/>
  <c r="E142" i="23" a="1"/>
  <c r="A59" i="23" a="1"/>
  <c r="Q27" i="23" a="1"/>
  <c r="E148" i="23" a="1"/>
  <c r="R149" i="23" a="1"/>
  <c r="F141" i="23" a="1"/>
  <c r="A117" i="23" a="1"/>
  <c r="I1" i="5" a="1"/>
  <c r="F120" i="23" a="1"/>
  <c r="O64" i="23" a="1"/>
  <c r="J69" i="23" a="1"/>
  <c r="O89" i="23" a="1"/>
  <c r="R76" i="23" a="1"/>
  <c r="G34" i="23" a="1"/>
  <c r="R109" i="23" a="1"/>
  <c r="M6" i="23" a="1"/>
  <c r="Q125" i="23" a="1"/>
  <c r="G82" i="23" a="1"/>
  <c r="P42" i="23" a="1"/>
  <c r="M138" i="23" a="1"/>
  <c r="H74" i="23" a="1"/>
  <c r="P102" i="23" a="1"/>
  <c r="K80" i="23" a="1"/>
  <c r="G229" i="23" a="1"/>
  <c r="R119" i="23" a="1"/>
  <c r="A38" i="23" a="1"/>
  <c r="L10" i="23" a="1"/>
  <c r="G13" i="23" a="1"/>
  <c r="G223" i="23" a="1"/>
  <c r="E89" i="23" a="1"/>
  <c r="M148" i="23" a="1"/>
  <c r="A49" i="23" a="1"/>
  <c r="Q57" i="23" a="1"/>
  <c r="L133" i="23" a="1"/>
  <c r="G213" i="23" a="1"/>
  <c r="N141" i="23" a="1"/>
  <c r="E106" i="23" a="1"/>
  <c r="A106" i="23" a="1"/>
  <c r="F80" i="23" a="1"/>
  <c r="M124" i="23" a="1"/>
  <c r="J17" i="23" a="1"/>
  <c r="H56" i="23" a="1"/>
  <c r="P106" i="23" a="1"/>
  <c r="G84" i="23" a="1"/>
  <c r="R22" i="23" a="1"/>
  <c r="E127" i="23" a="1"/>
  <c r="K133" i="23" a="1"/>
  <c r="P84" i="23" a="1"/>
  <c r="G41" i="23" a="1"/>
  <c r="E131" i="23" a="1"/>
  <c r="O26" i="23" a="1"/>
  <c r="G250" i="23" a="1"/>
  <c r="G51" i="23" a="1"/>
  <c r="P35" i="23" a="1"/>
  <c r="F133" i="23" a="1"/>
  <c r="L105" i="23" a="1"/>
  <c r="R25" i="23" a="1"/>
  <c r="G230" i="23" a="1"/>
  <c r="O36" i="23" a="1"/>
  <c r="H67" i="23" a="1"/>
  <c r="E56" i="23" a="1"/>
  <c r="P104" i="23" a="1"/>
  <c r="G184" i="23" a="1"/>
  <c r="H57" i="23" a="1"/>
  <c r="Q15" i="23" a="1"/>
  <c r="A125" i="23" a="1"/>
  <c r="R15" i="23" a="1"/>
  <c r="L18" i="23" a="1"/>
  <c r="Q44" i="23" a="1"/>
  <c r="E113" i="23" a="1"/>
  <c r="J81" i="23" a="1"/>
  <c r="I10" i="23" a="1"/>
  <c r="G226" i="23" a="1"/>
  <c r="F46" i="23" a="1"/>
  <c r="P52" i="23" a="1"/>
  <c r="Q23" i="23" a="1"/>
  <c r="Q85" i="23" a="1"/>
  <c r="R6" i="23" a="1"/>
  <c r="L44" i="23" a="1"/>
  <c r="F106" i="23" a="1"/>
  <c r="J82" i="23" a="1"/>
  <c r="P18" i="23" a="1"/>
  <c r="O123" i="23" a="1"/>
  <c r="E42" i="23" a="1"/>
  <c r="N114" i="23" a="1"/>
  <c r="R10" i="23" a="1"/>
  <c r="J41" i="23" a="1"/>
  <c r="O90" i="23" a="1"/>
  <c r="P22" i="23" a="1"/>
  <c r="N60" i="23" a="1"/>
  <c r="G85" i="23" a="1"/>
  <c r="A91" i="23" a="1"/>
  <c r="L79" i="23" a="1"/>
  <c r="J101" i="23" a="1"/>
  <c r="N26" i="23" a="1"/>
  <c r="E98" i="23" a="1"/>
  <c r="N127" i="23" a="1"/>
  <c r="I108" i="23" a="1"/>
  <c r="E3" i="23" a="1"/>
  <c r="Q6" i="23" a="1"/>
  <c r="H32" i="23" a="1"/>
  <c r="F116" i="23" a="1"/>
  <c r="R3" i="23" a="1"/>
  <c r="R40" i="23" a="1"/>
  <c r="K131" i="23" a="1"/>
  <c r="G218" i="23" a="1"/>
  <c r="Q111" i="23" a="1"/>
  <c r="F76" i="23" a="1"/>
  <c r="G139" i="23" a="1"/>
  <c r="H88" i="23" a="1"/>
  <c r="L119" i="23" a="1"/>
  <c r="L65" i="23" a="1"/>
  <c r="N89" i="23" a="1"/>
  <c r="E53" i="23" a="1"/>
  <c r="P63" i="23" a="1"/>
  <c r="R83" i="23" a="1"/>
  <c r="R9" i="23" a="1"/>
  <c r="M63" i="23" a="1"/>
  <c r="F7" i="23" a="1"/>
  <c r="P136" i="23" a="1"/>
  <c r="G148" i="23" a="1"/>
  <c r="A55" i="23" a="1"/>
  <c r="G87" i="23" a="1"/>
  <c r="R96" i="23" a="1"/>
  <c r="P121" i="23" a="1"/>
  <c r="L103" i="23" a="1"/>
  <c r="L32" i="23" a="1"/>
  <c r="L83" i="23" a="1"/>
  <c r="L122" i="23" a="1"/>
  <c r="N116" i="23" a="1"/>
  <c r="J128" i="23" a="1"/>
  <c r="I23" i="23" a="1"/>
  <c r="E34" i="23" a="1"/>
  <c r="L90" i="23" a="1"/>
  <c r="H112" i="23" a="1"/>
  <c r="Q52" i="23" a="1"/>
  <c r="M23" i="23" a="1"/>
  <c r="B2" i="16" l="1"/>
  <c r="B5" i="2"/>
  <c r="B36" i="10"/>
  <c r="B11" i="12"/>
  <c r="B27" i="11"/>
  <c r="E27" i="11"/>
  <c r="B7" i="11"/>
  <c r="B28" i="11"/>
  <c r="C7" i="11"/>
  <c r="E28" i="11"/>
  <c r="C8" i="1"/>
  <c r="A8" i="11"/>
  <c r="C38" i="16"/>
  <c r="A9" i="1"/>
  <c r="A17" i="11"/>
  <c r="A18" i="11" s="1"/>
  <c r="A19" i="11" s="1"/>
  <c r="A20" i="11" s="1"/>
  <c r="A21" i="11" s="1"/>
  <c r="A22" i="11" s="1"/>
  <c r="A23" i="11" s="1"/>
  <c r="A24" i="11" s="1"/>
  <c r="A1" i="2"/>
  <c r="F36" i="10"/>
  <c r="E20" i="11"/>
  <c r="E22" i="11"/>
  <c r="A7" i="11"/>
  <c r="C14" i="9"/>
  <c r="E14" i="9" s="1"/>
  <c r="B23" i="11"/>
  <c r="B134" i="16"/>
  <c r="B34" i="16" s="1"/>
  <c r="B29" i="10"/>
  <c r="F29" i="10" s="1"/>
  <c r="F31" i="10"/>
  <c r="F111" i="10"/>
  <c r="F110" i="10"/>
  <c r="F122" i="10"/>
  <c r="M2" i="23"/>
  <c r="BR2" i="23" s="1"/>
  <c r="F4" i="23"/>
  <c r="F155" i="23" s="1"/>
  <c r="F306" i="23" s="1"/>
  <c r="F2" i="10"/>
  <c r="R3" i="23"/>
  <c r="A19" i="23"/>
  <c r="H5" i="23"/>
  <c r="P19" i="23"/>
  <c r="Q22" i="23"/>
  <c r="J24" i="23"/>
  <c r="K41" i="23"/>
  <c r="R127" i="23"/>
  <c r="G6" i="23"/>
  <c r="A7" i="23"/>
  <c r="K24" i="23"/>
  <c r="G42" i="23"/>
  <c r="E78" i="23"/>
  <c r="R5" i="23"/>
  <c r="E18" i="23"/>
  <c r="K34" i="23"/>
  <c r="G38" i="23"/>
  <c r="I52" i="23"/>
  <c r="H6" i="23"/>
  <c r="A8" i="23"/>
  <c r="E17" i="23"/>
  <c r="R19" i="23"/>
  <c r="L24" i="23"/>
  <c r="H42" i="23"/>
  <c r="I78" i="23"/>
  <c r="I6" i="23"/>
  <c r="E7" i="23"/>
  <c r="F18" i="23"/>
  <c r="F169" i="23" s="1"/>
  <c r="F320" i="23" s="1"/>
  <c r="A21" i="23"/>
  <c r="H38" i="23"/>
  <c r="H4" i="23"/>
  <c r="N22" i="23"/>
  <c r="L29" i="23"/>
  <c r="E37" i="23"/>
  <c r="H7" i="23"/>
  <c r="F17" i="23"/>
  <c r="F168" i="23" s="1"/>
  <c r="F319" i="23" s="1"/>
  <c r="I26" i="23"/>
  <c r="Q7" i="23"/>
  <c r="H10" i="23"/>
  <c r="E13" i="23"/>
  <c r="E15" i="23"/>
  <c r="L21" i="23"/>
  <c r="F65" i="23"/>
  <c r="F216" i="23" s="1"/>
  <c r="F367" i="23" s="1"/>
  <c r="G32" i="23"/>
  <c r="P24" i="23"/>
  <c r="R7" i="23"/>
  <c r="H8" i="23"/>
  <c r="I9" i="23"/>
  <c r="G15" i="23"/>
  <c r="O21" i="23"/>
  <c r="Q28" i="23"/>
  <c r="K35" i="23"/>
  <c r="O19" i="23"/>
  <c r="I10" i="23"/>
  <c r="I11" i="23"/>
  <c r="F13" i="23"/>
  <c r="F164" i="23" s="1"/>
  <c r="F315" i="23" s="1"/>
  <c r="O16" i="23"/>
  <c r="E2" i="23"/>
  <c r="A3" i="23"/>
  <c r="J9" i="23"/>
  <c r="A12" i="23"/>
  <c r="H15" i="23"/>
  <c r="O55" i="23"/>
  <c r="J26" i="23"/>
  <c r="F9" i="23"/>
  <c r="F160" i="23" s="1"/>
  <c r="F311" i="23" s="1"/>
  <c r="J11" i="23"/>
  <c r="H13" i="23"/>
  <c r="Q16" i="23"/>
  <c r="P67" i="23"/>
  <c r="G17" i="23"/>
  <c r="I2" i="23"/>
  <c r="L10" i="23"/>
  <c r="N14" i="23"/>
  <c r="R16" i="23"/>
  <c r="A24" i="23"/>
  <c r="A4" i="23"/>
  <c r="K11" i="23"/>
  <c r="O12" i="23"/>
  <c r="J13" i="23"/>
  <c r="A20" i="23"/>
  <c r="J44" i="23"/>
  <c r="CD44" i="23" s="1"/>
  <c r="Q67" i="23"/>
  <c r="K21" i="23"/>
  <c r="E1" i="5"/>
  <c r="J2" i="23"/>
  <c r="M10" i="23"/>
  <c r="BR10" i="23" s="1"/>
  <c r="O11" i="23"/>
  <c r="P14" i="23"/>
  <c r="K49" i="23"/>
  <c r="R27" i="23"/>
  <c r="I47" i="23"/>
  <c r="K3" i="19"/>
  <c r="F3" i="23"/>
  <c r="F154" i="23" s="1"/>
  <c r="F305" i="23" s="1"/>
  <c r="A5" i="23"/>
  <c r="P12" i="23"/>
  <c r="P25" i="23"/>
  <c r="G50" i="23"/>
  <c r="J41" i="23"/>
  <c r="CD41" i="23" s="1"/>
  <c r="R2" i="23"/>
  <c r="E4" i="23"/>
  <c r="P11" i="23"/>
  <c r="Q14" i="23"/>
  <c r="K27" i="23"/>
  <c r="G31" i="23"/>
  <c r="R50" i="23"/>
  <c r="P109" i="23"/>
  <c r="AK4" i="22"/>
  <c r="G3" i="23"/>
  <c r="Q25" i="23"/>
  <c r="H58" i="23"/>
  <c r="F71" i="23"/>
  <c r="F222" i="23" s="1"/>
  <c r="F373" i="23" s="1"/>
  <c r="G5" i="23"/>
  <c r="R4" i="23"/>
  <c r="A6" i="23"/>
  <c r="O24" i="23"/>
  <c r="H47" i="23"/>
  <c r="L38" i="23"/>
  <c r="I62" i="23"/>
  <c r="I7" i="23"/>
  <c r="E9" i="23"/>
  <c r="F63" i="23"/>
  <c r="F214" i="23" s="1"/>
  <c r="F365" i="23" s="1"/>
  <c r="G8" i="23"/>
  <c r="I17" i="23"/>
  <c r="H63" i="23"/>
  <c r="G1" i="5"/>
  <c r="Q3" i="23"/>
  <c r="G4" i="23"/>
  <c r="A29" i="23"/>
  <c r="I58" i="23"/>
  <c r="H71" i="23"/>
  <c r="K4" i="19"/>
  <c r="E5" i="23"/>
  <c r="O27" i="23"/>
  <c r="I41" i="23"/>
  <c r="R25" i="23"/>
  <c r="J29" i="23"/>
  <c r="E32" i="23"/>
  <c r="I38" i="23"/>
  <c r="I42" i="23"/>
  <c r="J58" i="23"/>
  <c r="CD58" i="23" s="1"/>
  <c r="E80" i="23"/>
  <c r="I1" i="5"/>
  <c r="AK6" i="22"/>
  <c r="F6" i="23"/>
  <c r="F157" i="23" s="1"/>
  <c r="F308" i="23" s="1"/>
  <c r="H9" i="23"/>
  <c r="J10" i="23"/>
  <c r="N11" i="23"/>
  <c r="Q12" i="23"/>
  <c r="G13" i="23"/>
  <c r="O14" i="23"/>
  <c r="F15" i="23"/>
  <c r="F166" i="23" s="1"/>
  <c r="F317" i="23" s="1"/>
  <c r="P16" i="23"/>
  <c r="A18" i="23"/>
  <c r="J21" i="23"/>
  <c r="A26" i="23"/>
  <c r="N27" i="23"/>
  <c r="P31" i="23"/>
  <c r="G47" i="23"/>
  <c r="E62" i="23"/>
  <c r="F2" i="23"/>
  <c r="E3" i="23"/>
  <c r="E8" i="23"/>
  <c r="H17" i="23"/>
  <c r="R22" i="23"/>
  <c r="K29" i="23"/>
  <c r="F32" i="23"/>
  <c r="F183" i="23" s="1"/>
  <c r="F334" i="23" s="1"/>
  <c r="K38" i="23"/>
  <c r="Q55" i="23"/>
  <c r="I5" i="23"/>
  <c r="K23" i="23"/>
  <c r="O29" i="23"/>
  <c r="F37" i="23"/>
  <c r="F188" i="23" s="1"/>
  <c r="F339" i="23" s="1"/>
  <c r="I53" i="23"/>
  <c r="K2" i="23"/>
  <c r="J3" i="23"/>
  <c r="I4" i="23"/>
  <c r="J6" i="23"/>
  <c r="J7" i="23"/>
  <c r="K8" i="23"/>
  <c r="N10" i="23"/>
  <c r="R11" i="23"/>
  <c r="K15" i="23"/>
  <c r="A16" i="23"/>
  <c r="M17" i="23"/>
  <c r="BR17" i="23" s="1"/>
  <c r="G18" i="23"/>
  <c r="P21" i="23"/>
  <c r="Q24" i="23"/>
  <c r="L26" i="23"/>
  <c r="L32" i="23"/>
  <c r="L41" i="23"/>
  <c r="L49" i="23"/>
  <c r="J53" i="23"/>
  <c r="CD53" i="23" s="1"/>
  <c r="E74" i="23"/>
  <c r="K9" i="23"/>
  <c r="K13" i="23"/>
  <c r="R14" i="23"/>
  <c r="I15" i="23"/>
  <c r="K26" i="23"/>
  <c r="K44" i="23"/>
  <c r="I63" i="23"/>
  <c r="L2" i="23"/>
  <c r="J5" i="23"/>
  <c r="L9" i="23"/>
  <c r="G12" i="23"/>
  <c r="O13" i="23"/>
  <c r="A14" i="23"/>
  <c r="J20" i="23"/>
  <c r="L23" i="23"/>
  <c r="O26" i="23"/>
  <c r="P29" i="23"/>
  <c r="A30" i="23"/>
  <c r="M44" i="23"/>
  <c r="BR44" i="23" s="1"/>
  <c r="M49" i="23"/>
  <c r="BR49" i="23" s="1"/>
  <c r="J51" i="23"/>
  <c r="CD51" i="23" s="1"/>
  <c r="J63" i="23"/>
  <c r="CD63" i="23" s="1"/>
  <c r="K3" i="23"/>
  <c r="J4" i="23"/>
  <c r="K6" i="23"/>
  <c r="L8" i="23"/>
  <c r="O10" i="23"/>
  <c r="A11" i="23"/>
  <c r="L15" i="23"/>
  <c r="N17" i="23"/>
  <c r="E19" i="23"/>
  <c r="Q21" i="23"/>
  <c r="J28" i="23"/>
  <c r="M32" i="23"/>
  <c r="BR32" i="23" s="1"/>
  <c r="F40" i="23"/>
  <c r="F191" i="23" s="1"/>
  <c r="F342" i="23" s="1"/>
  <c r="M51" i="23"/>
  <c r="BR51" i="23" s="1"/>
  <c r="G74" i="23"/>
  <c r="K5" i="23"/>
  <c r="L7" i="23"/>
  <c r="M9" i="23"/>
  <c r="BR9" i="23" s="1"/>
  <c r="I12" i="23"/>
  <c r="P13" i="23"/>
  <c r="I18" i="23"/>
  <c r="M20" i="23"/>
  <c r="BR20" i="23" s="1"/>
  <c r="R21" i="23"/>
  <c r="M23" i="23"/>
  <c r="BR23" i="23" s="1"/>
  <c r="A25" i="23"/>
  <c r="P26" i="23"/>
  <c r="K28" i="23"/>
  <c r="N32" i="23"/>
  <c r="G40" i="23"/>
  <c r="K5" i="19"/>
  <c r="L3" i="23"/>
  <c r="M4" i="23"/>
  <c r="L6" i="23"/>
  <c r="M8" i="23"/>
  <c r="BR8" i="23" s="1"/>
  <c r="P10" i="23"/>
  <c r="P15" i="23"/>
  <c r="E16" i="23"/>
  <c r="R17" i="23"/>
  <c r="F19" i="23"/>
  <c r="F170" i="23" s="1"/>
  <c r="F321" i="23" s="1"/>
  <c r="N23" i="23"/>
  <c r="J30" i="23"/>
  <c r="I36" i="23"/>
  <c r="J46" i="23"/>
  <c r="CD46" i="23" s="1"/>
  <c r="O51" i="23"/>
  <c r="N2" i="23"/>
  <c r="M3" i="23"/>
  <c r="BR3" i="23" s="1"/>
  <c r="L5" i="23"/>
  <c r="M7" i="23"/>
  <c r="BR7" i="23" s="1"/>
  <c r="P9" i="23"/>
  <c r="J12" i="23"/>
  <c r="Q13" i="23"/>
  <c r="L18" i="23"/>
  <c r="G19" i="23"/>
  <c r="N20" i="23"/>
  <c r="I25" i="23"/>
  <c r="Q26" i="23"/>
  <c r="L28" i="23"/>
  <c r="K33" i="23"/>
  <c r="H40" i="23"/>
  <c r="M60" i="23"/>
  <c r="BR60" i="23" s="1"/>
  <c r="N4" i="23"/>
  <c r="M6" i="23"/>
  <c r="BR6" i="23" s="1"/>
  <c r="Q10" i="23"/>
  <c r="E11" i="23"/>
  <c r="E14" i="23"/>
  <c r="Q15" i="23"/>
  <c r="F16" i="23"/>
  <c r="F167" i="23" s="1"/>
  <c r="F318" i="23" s="1"/>
  <c r="O23" i="23"/>
  <c r="M28" i="23"/>
  <c r="BR28" i="23" s="1"/>
  <c r="A34" i="23"/>
  <c r="E35" i="23"/>
  <c r="J36" i="23"/>
  <c r="CD36" i="23" s="1"/>
  <c r="I40" i="23"/>
  <c r="M43" i="23"/>
  <c r="BR43" i="23" s="1"/>
  <c r="G100" i="23"/>
  <c r="O2" i="23"/>
  <c r="N3" i="23"/>
  <c r="O5" i="23"/>
  <c r="N7" i="23"/>
  <c r="O8" i="23"/>
  <c r="Q9" i="23"/>
  <c r="H14" i="23"/>
  <c r="I16" i="23"/>
  <c r="P18" i="23"/>
  <c r="H19" i="23"/>
  <c r="J22" i="23"/>
  <c r="N28" i="23"/>
  <c r="O30" i="23"/>
  <c r="L33" i="23"/>
  <c r="O4" i="23"/>
  <c r="N6" i="23"/>
  <c r="A10" i="23"/>
  <c r="F11" i="23"/>
  <c r="F162" i="23" s="1"/>
  <c r="F313" i="23" s="1"/>
  <c r="R15" i="23"/>
  <c r="P23" i="23"/>
  <c r="M25" i="23"/>
  <c r="BR25" i="23" s="1"/>
  <c r="F35" i="23"/>
  <c r="F186" i="23" s="1"/>
  <c r="F337" i="23" s="1"/>
  <c r="L57" i="23"/>
  <c r="O60" i="23"/>
  <c r="A1" i="5"/>
  <c r="P2" i="23"/>
  <c r="P5" i="23"/>
  <c r="O7" i="23"/>
  <c r="P8" i="23"/>
  <c r="A9" i="23"/>
  <c r="R9" i="23"/>
  <c r="M12" i="23"/>
  <c r="BR12" i="23" s="1"/>
  <c r="A13" i="23"/>
  <c r="J14" i="23"/>
  <c r="K16" i="23"/>
  <c r="Q18" i="23"/>
  <c r="Q20" i="23"/>
  <c r="K22" i="23"/>
  <c r="O28" i="23"/>
  <c r="P30" i="23"/>
  <c r="M33" i="23"/>
  <c r="BR33" i="23" s="1"/>
  <c r="O43" i="23"/>
  <c r="Q48" i="23"/>
  <c r="Q54" i="23"/>
  <c r="A65" i="23"/>
  <c r="P86" i="23"/>
  <c r="P100" i="23"/>
  <c r="K2" i="19"/>
  <c r="K6" i="19"/>
  <c r="P3" i="23"/>
  <c r="Q4" i="23"/>
  <c r="Q5" i="23"/>
  <c r="O6" i="23"/>
  <c r="G11" i="23"/>
  <c r="N19" i="23"/>
  <c r="Q23" i="23"/>
  <c r="Q30" i="23"/>
  <c r="N33" i="23"/>
  <c r="G34" i="23"/>
  <c r="H35" i="23"/>
  <c r="E50" i="23"/>
  <c r="M57" i="23"/>
  <c r="BR57" i="23" s="1"/>
  <c r="E65" i="23"/>
  <c r="H77" i="23"/>
  <c r="C1" i="5"/>
  <c r="A2" i="23"/>
  <c r="Q2" i="23"/>
  <c r="R6" i="23"/>
  <c r="P7" i="23"/>
  <c r="Q8" i="23"/>
  <c r="N12" i="23"/>
  <c r="K14" i="23"/>
  <c r="A15" i="23"/>
  <c r="L16" i="23"/>
  <c r="R18" i="23"/>
  <c r="R20" i="23"/>
  <c r="L22" i="23"/>
  <c r="O25" i="23"/>
  <c r="J27" i="23"/>
  <c r="P28" i="23"/>
  <c r="R30" i="23"/>
  <c r="F31" i="23"/>
  <c r="F182" i="23" s="1"/>
  <c r="F333" i="23" s="1"/>
  <c r="R33" i="23"/>
  <c r="J34" i="23"/>
  <c r="CD34" i="23" s="1"/>
  <c r="F50" i="23"/>
  <c r="F201" i="23" s="1"/>
  <c r="F352" i="23" s="1"/>
  <c r="P57" i="23"/>
  <c r="P61" i="23"/>
  <c r="R86" i="23"/>
  <c r="F5" i="23"/>
  <c r="F156" i="23" s="1"/>
  <c r="F307" i="23" s="1"/>
  <c r="K7" i="23"/>
  <c r="N8" i="23"/>
  <c r="K10" i="23"/>
  <c r="Q11" i="23"/>
  <c r="K12" i="23"/>
  <c r="R13" i="23"/>
  <c r="L14" i="23"/>
  <c r="M16" i="23"/>
  <c r="BR16" i="23" s="1"/>
  <c r="Q19" i="23"/>
  <c r="O20" i="23"/>
  <c r="M22" i="23"/>
  <c r="BR22" i="23" s="1"/>
  <c r="N24" i="23"/>
  <c r="N25" i="23"/>
  <c r="M27" i="23"/>
  <c r="BR27" i="23" s="1"/>
  <c r="N29" i="23"/>
  <c r="H32" i="23"/>
  <c r="G35" i="23"/>
  <c r="M41" i="23"/>
  <c r="BR41" i="23" s="1"/>
  <c r="P43" i="23"/>
  <c r="N49" i="23"/>
  <c r="H50" i="23"/>
  <c r="I54" i="23"/>
  <c r="L58" i="23"/>
  <c r="I86" i="23"/>
  <c r="Q29" i="23"/>
  <c r="H31" i="23"/>
  <c r="L34" i="23"/>
  <c r="L35" i="23"/>
  <c r="J40" i="23"/>
  <c r="CD40" i="23" s="1"/>
  <c r="L52" i="23"/>
  <c r="L53" i="23"/>
  <c r="P60" i="23"/>
  <c r="J71" i="23"/>
  <c r="CD71" i="23" s="1"/>
  <c r="J78" i="23"/>
  <c r="CD78" i="23" s="1"/>
  <c r="E87" i="23"/>
  <c r="K42" i="23"/>
  <c r="M52" i="23"/>
  <c r="BR52" i="23" s="1"/>
  <c r="R57" i="23"/>
  <c r="K62" i="23"/>
  <c r="A64" i="23"/>
  <c r="G66" i="23"/>
  <c r="L17" i="23"/>
  <c r="H18" i="23"/>
  <c r="E20" i="23"/>
  <c r="A23" i="23"/>
  <c r="R24" i="23"/>
  <c r="A28" i="23"/>
  <c r="R29" i="23"/>
  <c r="E30" i="23"/>
  <c r="O32" i="23"/>
  <c r="I37" i="23"/>
  <c r="E39" i="23"/>
  <c r="M40" i="23"/>
  <c r="BR40" i="23" s="1"/>
  <c r="Q44" i="23"/>
  <c r="M47" i="23"/>
  <c r="BR47" i="23" s="1"/>
  <c r="R51" i="23"/>
  <c r="Q52" i="23"/>
  <c r="M78" i="23"/>
  <c r="BR78" i="23" s="1"/>
  <c r="H87" i="23"/>
  <c r="A27" i="23"/>
  <c r="J31" i="23"/>
  <c r="CD31" i="23" s="1"/>
  <c r="N34" i="23"/>
  <c r="L42" i="23"/>
  <c r="L62" i="23"/>
  <c r="E72" i="23"/>
  <c r="K146" i="23"/>
  <c r="F20" i="23"/>
  <c r="F171" i="23" s="1"/>
  <c r="F322" i="23" s="1"/>
  <c r="E22" i="23"/>
  <c r="E27" i="23"/>
  <c r="F30" i="23"/>
  <c r="F181" i="23" s="1"/>
  <c r="F332" i="23" s="1"/>
  <c r="Q32" i="23"/>
  <c r="F33" i="23"/>
  <c r="F184" i="23" s="1"/>
  <c r="F335" i="23" s="1"/>
  <c r="J37" i="23"/>
  <c r="CD37" i="23" s="1"/>
  <c r="F39" i="23"/>
  <c r="F190" i="23" s="1"/>
  <c r="F341" i="23" s="1"/>
  <c r="N40" i="23"/>
  <c r="R44" i="23"/>
  <c r="E45" i="23"/>
  <c r="O47" i="23"/>
  <c r="R52" i="23"/>
  <c r="O62" i="23"/>
  <c r="F64" i="23"/>
  <c r="F215" i="23" s="1"/>
  <c r="F366" i="23" s="1"/>
  <c r="E75" i="23"/>
  <c r="M104" i="23"/>
  <c r="BR104" i="23" s="1"/>
  <c r="R120" i="23"/>
  <c r="E25" i="23"/>
  <c r="E26" i="23"/>
  <c r="K31" i="23"/>
  <c r="O34" i="23"/>
  <c r="M42" i="23"/>
  <c r="BR42" i="23" s="1"/>
  <c r="A48" i="23"/>
  <c r="F72" i="23"/>
  <c r="F223" i="23" s="1"/>
  <c r="F374" i="23" s="1"/>
  <c r="N104" i="23"/>
  <c r="G20" i="23"/>
  <c r="F21" i="23"/>
  <c r="F172" i="23" s="1"/>
  <c r="F323" i="23" s="1"/>
  <c r="F22" i="23"/>
  <c r="F173" i="23" s="1"/>
  <c r="F324" i="23" s="1"/>
  <c r="E24" i="23"/>
  <c r="F26" i="23"/>
  <c r="F177" i="23" s="1"/>
  <c r="F328" i="23" s="1"/>
  <c r="F27" i="23"/>
  <c r="F178" i="23" s="1"/>
  <c r="F329" i="23" s="1"/>
  <c r="E29" i="23"/>
  <c r="G30" i="23"/>
  <c r="R32" i="23"/>
  <c r="G33" i="23"/>
  <c r="E36" i="23"/>
  <c r="K37" i="23"/>
  <c r="G39" i="23"/>
  <c r="N42" i="23"/>
  <c r="Q47" i="23"/>
  <c r="F56" i="23"/>
  <c r="F207" i="23" s="1"/>
  <c r="F358" i="23" s="1"/>
  <c r="R69" i="23"/>
  <c r="G72" i="23"/>
  <c r="R12" i="23"/>
  <c r="L13" i="23"/>
  <c r="M15" i="23"/>
  <c r="BR15" i="23" s="1"/>
  <c r="O17" i="23"/>
  <c r="I19" i="23"/>
  <c r="G23" i="23"/>
  <c r="F25" i="23"/>
  <c r="F176" i="23" s="1"/>
  <c r="F327" i="23" s="1"/>
  <c r="E28" i="23"/>
  <c r="L31" i="23"/>
  <c r="P34" i="23"/>
  <c r="J39" i="23"/>
  <c r="CD39" i="23" s="1"/>
  <c r="F41" i="23"/>
  <c r="F192" i="23" s="1"/>
  <c r="F343" i="23" s="1"/>
  <c r="F43" i="23"/>
  <c r="F194" i="23" s="1"/>
  <c r="F345" i="23" s="1"/>
  <c r="N48" i="23"/>
  <c r="F49" i="23"/>
  <c r="F200" i="23" s="1"/>
  <c r="F351" i="23" s="1"/>
  <c r="M5" i="23"/>
  <c r="BR5" i="23" s="1"/>
  <c r="F7" i="23"/>
  <c r="F158" i="23" s="1"/>
  <c r="F309" i="23" s="1"/>
  <c r="I8" i="23"/>
  <c r="E10" i="23"/>
  <c r="R10" i="23"/>
  <c r="L11" i="23"/>
  <c r="E12" i="23"/>
  <c r="M13" i="23"/>
  <c r="BR13" i="23" s="1"/>
  <c r="F14" i="23"/>
  <c r="F165" i="23" s="1"/>
  <c r="F316" i="23" s="1"/>
  <c r="N15" i="23"/>
  <c r="G16" i="23"/>
  <c r="M18" i="23"/>
  <c r="BR18" i="23" s="1"/>
  <c r="H20" i="23"/>
  <c r="G21" i="23"/>
  <c r="G22" i="23"/>
  <c r="F24" i="23"/>
  <c r="F175" i="23" s="1"/>
  <c r="F326" i="23" s="1"/>
  <c r="G26" i="23"/>
  <c r="G27" i="23"/>
  <c r="F29" i="23"/>
  <c r="F180" i="23" s="1"/>
  <c r="F331" i="23" s="1"/>
  <c r="H30" i="23"/>
  <c r="F36" i="23"/>
  <c r="F187" i="23" s="1"/>
  <c r="F338" i="23" s="1"/>
  <c r="G43" i="23"/>
  <c r="P45" i="23"/>
  <c r="G121" i="23"/>
  <c r="G2" i="23"/>
  <c r="H3" i="23"/>
  <c r="K4" i="23"/>
  <c r="P6" i="23"/>
  <c r="N9" i="23"/>
  <c r="P17" i="23"/>
  <c r="J19" i="23"/>
  <c r="H22" i="23"/>
  <c r="H23" i="23"/>
  <c r="G25" i="23"/>
  <c r="H28" i="23"/>
  <c r="M31" i="23"/>
  <c r="BR31" i="23" s="1"/>
  <c r="A32" i="23"/>
  <c r="I33" i="23"/>
  <c r="K39" i="23"/>
  <c r="E46" i="23"/>
  <c r="O48" i="23"/>
  <c r="E55" i="23"/>
  <c r="K61" i="23"/>
  <c r="N5" i="23"/>
  <c r="G7" i="23"/>
  <c r="J8" i="23"/>
  <c r="F10" i="23"/>
  <c r="F161" i="23" s="1"/>
  <c r="F312" i="23" s="1"/>
  <c r="M11" i="23"/>
  <c r="BR11" i="23" s="1"/>
  <c r="F12" i="23"/>
  <c r="F163" i="23" s="1"/>
  <c r="F314" i="23" s="1"/>
  <c r="N13" i="23"/>
  <c r="G14" i="23"/>
  <c r="O15" i="23"/>
  <c r="H16" i="23"/>
  <c r="N18" i="23"/>
  <c r="I20" i="23"/>
  <c r="H21" i="23"/>
  <c r="G24" i="23"/>
  <c r="H26" i="23"/>
  <c r="G29" i="23"/>
  <c r="I30" i="23"/>
  <c r="H41" i="23"/>
  <c r="H43" i="23"/>
  <c r="P48" i="23"/>
  <c r="E63" i="23"/>
  <c r="I126" i="23"/>
  <c r="H2" i="23"/>
  <c r="I3" i="23"/>
  <c r="L4" i="23"/>
  <c r="O9" i="23"/>
  <c r="Q17" i="23"/>
  <c r="M19" i="23"/>
  <c r="BR19" i="23" s="1"/>
  <c r="I22" i="23"/>
  <c r="I23" i="23"/>
  <c r="H25" i="23"/>
  <c r="I27" i="23"/>
  <c r="I28" i="23"/>
  <c r="O31" i="23"/>
  <c r="J33" i="23"/>
  <c r="CD33" i="23" s="1"/>
  <c r="H36" i="23"/>
  <c r="L39" i="23"/>
  <c r="K43" i="23"/>
  <c r="R45" i="23"/>
  <c r="F46" i="23"/>
  <c r="F197" i="23" s="1"/>
  <c r="F348" i="23" s="1"/>
  <c r="I49" i="23"/>
  <c r="F55" i="23"/>
  <c r="F206" i="23" s="1"/>
  <c r="F357" i="23" s="1"/>
  <c r="F58" i="23"/>
  <c r="F209" i="23" s="1"/>
  <c r="F360" i="23" s="1"/>
  <c r="M61" i="23"/>
  <c r="BR61" i="23" s="1"/>
  <c r="I84" i="23"/>
  <c r="L12" i="23"/>
  <c r="M14" i="23"/>
  <c r="BR14" i="23" s="1"/>
  <c r="N16" i="23"/>
  <c r="A17" i="23"/>
  <c r="O18" i="23"/>
  <c r="P20" i="23"/>
  <c r="E21" i="23"/>
  <c r="M24" i="23"/>
  <c r="BR24" i="23" s="1"/>
  <c r="R26" i="23"/>
  <c r="H27" i="23"/>
  <c r="I31" i="23"/>
  <c r="H33" i="23"/>
  <c r="M34" i="23"/>
  <c r="BR34" i="23" s="1"/>
  <c r="G36" i="23"/>
  <c r="H37" i="23"/>
  <c r="L43" i="23"/>
  <c r="N44" i="23"/>
  <c r="A45" i="23"/>
  <c r="G46" i="23"/>
  <c r="L47" i="23"/>
  <c r="R48" i="23"/>
  <c r="J49" i="23"/>
  <c r="CD49" i="23" s="1"/>
  <c r="A50" i="23"/>
  <c r="P51" i="23"/>
  <c r="Q57" i="23"/>
  <c r="G58" i="23"/>
  <c r="Q60" i="23"/>
  <c r="N61" i="23"/>
  <c r="K68" i="23"/>
  <c r="N78" i="23"/>
  <c r="G80" i="23"/>
  <c r="H82" i="23"/>
  <c r="N84" i="23"/>
  <c r="R128" i="23"/>
  <c r="F45" i="23"/>
  <c r="F196" i="23" s="1"/>
  <c r="F347" i="23" s="1"/>
  <c r="K46" i="23"/>
  <c r="Q62" i="23"/>
  <c r="K63" i="23"/>
  <c r="H65" i="23"/>
  <c r="K66" i="23"/>
  <c r="R67" i="23"/>
  <c r="N96" i="23"/>
  <c r="N121" i="23"/>
  <c r="N66" i="23"/>
  <c r="M74" i="23"/>
  <c r="BR74" i="23" s="1"/>
  <c r="Q96" i="23"/>
  <c r="N113" i="23"/>
  <c r="N132" i="23"/>
  <c r="Q34" i="23"/>
  <c r="M35" i="23"/>
  <c r="BR35" i="23" s="1"/>
  <c r="G45" i="23"/>
  <c r="L46" i="23"/>
  <c r="R49" i="23"/>
  <c r="A51" i="23"/>
  <c r="N63" i="23"/>
  <c r="K64" i="23"/>
  <c r="I65" i="23"/>
  <c r="Q71" i="23"/>
  <c r="R77" i="23"/>
  <c r="H79" i="23"/>
  <c r="N85" i="23"/>
  <c r="E90" i="23"/>
  <c r="R96" i="23"/>
  <c r="H101" i="23"/>
  <c r="K106" i="23"/>
  <c r="N35" i="23"/>
  <c r="N36" i="23"/>
  <c r="M37" i="23"/>
  <c r="BR37" i="23" s="1"/>
  <c r="N38" i="23"/>
  <c r="O39" i="23"/>
  <c r="O42" i="23"/>
  <c r="Q43" i="23"/>
  <c r="R47" i="23"/>
  <c r="I50" i="23"/>
  <c r="J54" i="23"/>
  <c r="CD54" i="23" s="1"/>
  <c r="E59" i="23"/>
  <c r="L64" i="23"/>
  <c r="J65" i="23"/>
  <c r="CD65" i="23" s="1"/>
  <c r="O74" i="23"/>
  <c r="F90" i="23"/>
  <c r="F241" i="23" s="1"/>
  <c r="F392" i="23" s="1"/>
  <c r="E34" i="23"/>
  <c r="P40" i="23"/>
  <c r="Q41" i="23"/>
  <c r="E44" i="23"/>
  <c r="H45" i="23"/>
  <c r="M46" i="23"/>
  <c r="BR46" i="23" s="1"/>
  <c r="I48" i="23"/>
  <c r="F59" i="23"/>
  <c r="F210" i="23" s="1"/>
  <c r="F361" i="23" s="1"/>
  <c r="E70" i="23"/>
  <c r="I79" i="23"/>
  <c r="F81" i="23"/>
  <c r="F232" i="23" s="1"/>
  <c r="F383" i="23" s="1"/>
  <c r="H83" i="23"/>
  <c r="K101" i="23"/>
  <c r="O106" i="23"/>
  <c r="O35" i="23"/>
  <c r="O36" i="23"/>
  <c r="N37" i="23"/>
  <c r="O38" i="23"/>
  <c r="P39" i="23"/>
  <c r="Q40" i="23"/>
  <c r="P42" i="23"/>
  <c r="A43" i="23"/>
  <c r="R43" i="23"/>
  <c r="N46" i="23"/>
  <c r="J48" i="23"/>
  <c r="CD48" i="23" s="1"/>
  <c r="J50" i="23"/>
  <c r="CD50" i="23" s="1"/>
  <c r="L54" i="23"/>
  <c r="I56" i="23"/>
  <c r="G59" i="23"/>
  <c r="L65" i="23"/>
  <c r="J79" i="23"/>
  <c r="CD79" i="23" s="1"/>
  <c r="H81" i="23"/>
  <c r="I83" i="23"/>
  <c r="P85" i="23"/>
  <c r="I90" i="23"/>
  <c r="R41" i="23"/>
  <c r="F44" i="23"/>
  <c r="F195" i="23" s="1"/>
  <c r="F346" i="23" s="1"/>
  <c r="K45" i="23"/>
  <c r="N59" i="23"/>
  <c r="N65" i="23"/>
  <c r="G70" i="23"/>
  <c r="K81" i="23"/>
  <c r="M83" i="23"/>
  <c r="BR83" i="23" s="1"/>
  <c r="Q85" i="23"/>
  <c r="R90" i="23"/>
  <c r="G134" i="23"/>
  <c r="K30" i="23"/>
  <c r="I32" i="23"/>
  <c r="P35" i="23"/>
  <c r="P36" i="23"/>
  <c r="Q37" i="23"/>
  <c r="P38" i="23"/>
  <c r="Q39" i="23"/>
  <c r="R40" i="23"/>
  <c r="G44" i="23"/>
  <c r="O46" i="23"/>
  <c r="K48" i="23"/>
  <c r="L50" i="23"/>
  <c r="E51" i="23"/>
  <c r="E53" i="23"/>
  <c r="N54" i="23"/>
  <c r="J56" i="23"/>
  <c r="CD56" i="23" s="1"/>
  <c r="K73" i="23"/>
  <c r="A91" i="23"/>
  <c r="F116" i="23"/>
  <c r="F267" i="23" s="1"/>
  <c r="F418" i="23" s="1"/>
  <c r="J138" i="23"/>
  <c r="CD138" i="23" s="1"/>
  <c r="J18" i="23"/>
  <c r="K20" i="23"/>
  <c r="A22" i="23"/>
  <c r="O22" i="23"/>
  <c r="E23" i="23"/>
  <c r="J25" i="23"/>
  <c r="M26" i="23"/>
  <c r="BR26" i="23" s="1"/>
  <c r="R28" i="23"/>
  <c r="H29" i="23"/>
  <c r="Q31" i="23"/>
  <c r="O33" i="23"/>
  <c r="H34" i="23"/>
  <c r="A35" i="23"/>
  <c r="Q36" i="23"/>
  <c r="A39" i="23"/>
  <c r="A40" i="23"/>
  <c r="A42" i="23"/>
  <c r="L45" i="23"/>
  <c r="L48" i="23"/>
  <c r="O50" i="23"/>
  <c r="F51" i="23"/>
  <c r="F202" i="23" s="1"/>
  <c r="F353" i="23" s="1"/>
  <c r="O59" i="23"/>
  <c r="I60" i="23"/>
  <c r="G69" i="23"/>
  <c r="N73" i="23"/>
  <c r="O138" i="23"/>
  <c r="J17" i="23"/>
  <c r="K19" i="23"/>
  <c r="M21" i="23"/>
  <c r="BR21" i="23" s="1"/>
  <c r="R23" i="23"/>
  <c r="H24" i="23"/>
  <c r="P27" i="23"/>
  <c r="F28" i="23"/>
  <c r="F179" i="23" s="1"/>
  <c r="F330" i="23" s="1"/>
  <c r="L30" i="23"/>
  <c r="J32" i="23"/>
  <c r="CD32" i="23" s="1"/>
  <c r="A33" i="23"/>
  <c r="Q35" i="23"/>
  <c r="R37" i="23"/>
  <c r="Q38" i="23"/>
  <c r="R39" i="23"/>
  <c r="H44" i="23"/>
  <c r="E47" i="23"/>
  <c r="P50" i="23"/>
  <c r="F52" i="23"/>
  <c r="F203" i="23" s="1"/>
  <c r="F354" i="23" s="1"/>
  <c r="F53" i="23"/>
  <c r="F204" i="23" s="1"/>
  <c r="F355" i="23" s="1"/>
  <c r="L56" i="23"/>
  <c r="R59" i="23"/>
  <c r="R76" i="23"/>
  <c r="E86" i="23"/>
  <c r="F91" i="23"/>
  <c r="F242" i="23" s="1"/>
  <c r="F393" i="23" s="1"/>
  <c r="Q94" i="23"/>
  <c r="H116" i="23"/>
  <c r="O3" i="23"/>
  <c r="P4" i="23"/>
  <c r="E6" i="23"/>
  <c r="Q6" i="23"/>
  <c r="F8" i="23"/>
  <c r="F159" i="23" s="1"/>
  <c r="F310" i="23" s="1"/>
  <c r="R8" i="23"/>
  <c r="G10" i="23"/>
  <c r="H12" i="23"/>
  <c r="I14" i="23"/>
  <c r="J16" i="23"/>
  <c r="K18" i="23"/>
  <c r="L20" i="23"/>
  <c r="P22" i="23"/>
  <c r="F23" i="23"/>
  <c r="F174" i="23" s="1"/>
  <c r="F325" i="23" s="1"/>
  <c r="N26" i="23"/>
  <c r="I29" i="23"/>
  <c r="E31" i="23"/>
  <c r="R31" i="23"/>
  <c r="P33" i="23"/>
  <c r="I34" i="23"/>
  <c r="A36" i="23"/>
  <c r="R36" i="23"/>
  <c r="A38" i="23"/>
  <c r="E41" i="23"/>
  <c r="E43" i="23"/>
  <c r="N45" i="23"/>
  <c r="M48" i="23"/>
  <c r="BR48" i="23" s="1"/>
  <c r="E49" i="23"/>
  <c r="G53" i="23"/>
  <c r="P54" i="23"/>
  <c r="A55" i="23"/>
  <c r="F61" i="23"/>
  <c r="F212" i="23" s="1"/>
  <c r="F363" i="23" s="1"/>
  <c r="N69" i="23"/>
  <c r="G9" i="23"/>
  <c r="H11" i="23"/>
  <c r="I13" i="23"/>
  <c r="J15" i="23"/>
  <c r="K17" i="23"/>
  <c r="L19" i="23"/>
  <c r="N21" i="23"/>
  <c r="I24" i="23"/>
  <c r="L25" i="23"/>
  <c r="Q27" i="23"/>
  <c r="G28" i="23"/>
  <c r="M30" i="23"/>
  <c r="BR30" i="23" s="1"/>
  <c r="K32" i="23"/>
  <c r="R35" i="23"/>
  <c r="E40" i="23"/>
  <c r="I44" i="23"/>
  <c r="O45" i="23"/>
  <c r="F47" i="23"/>
  <c r="F198" i="23" s="1"/>
  <c r="F349" i="23" s="1"/>
  <c r="Q50" i="23"/>
  <c r="I51" i="23"/>
  <c r="G52" i="23"/>
  <c r="L60" i="23"/>
  <c r="F86" i="23"/>
  <c r="F237" i="23" s="1"/>
  <c r="F388" i="23" s="1"/>
  <c r="R94" i="23"/>
  <c r="O116" i="23"/>
  <c r="G37" i="23"/>
  <c r="J38" i="23"/>
  <c r="CD38" i="23" s="1"/>
  <c r="M39" i="23"/>
  <c r="BR39" i="23" s="1"/>
  <c r="G41" i="23"/>
  <c r="J42" i="23"/>
  <c r="CD42" i="23" s="1"/>
  <c r="N43" i="23"/>
  <c r="H46" i="23"/>
  <c r="P47" i="23"/>
  <c r="G49" i="23"/>
  <c r="Q51" i="23"/>
  <c r="E52" i="23"/>
  <c r="H53" i="23"/>
  <c r="M54" i="23"/>
  <c r="BR54" i="23" s="1"/>
  <c r="R55" i="23"/>
  <c r="H56" i="23"/>
  <c r="N60" i="23"/>
  <c r="J62" i="23"/>
  <c r="CD62" i="23" s="1"/>
  <c r="G65" i="23"/>
  <c r="L66" i="23"/>
  <c r="A68" i="23"/>
  <c r="P69" i="23"/>
  <c r="K74" i="23"/>
  <c r="Q77" i="23"/>
  <c r="H78" i="23"/>
  <c r="G86" i="23"/>
  <c r="A90" i="23"/>
  <c r="O91" i="23"/>
  <c r="K103" i="23"/>
  <c r="M113" i="23"/>
  <c r="BR113" i="23" s="1"/>
  <c r="I149" i="23"/>
  <c r="H75" i="23"/>
  <c r="I81" i="23"/>
  <c r="L83" i="23"/>
  <c r="F89" i="23"/>
  <c r="F240" i="23" s="1"/>
  <c r="F391" i="23" s="1"/>
  <c r="I107" i="23"/>
  <c r="F134" i="23"/>
  <c r="F285" i="23" s="1"/>
  <c r="E57" i="23"/>
  <c r="H59" i="23"/>
  <c r="M64" i="23"/>
  <c r="BR64" i="23" s="1"/>
  <c r="A67" i="23"/>
  <c r="J72" i="23"/>
  <c r="CD72" i="23" s="1"/>
  <c r="I75" i="23"/>
  <c r="O78" i="23"/>
  <c r="M79" i="23"/>
  <c r="BR79" i="23" s="1"/>
  <c r="L81" i="23"/>
  <c r="P83" i="23"/>
  <c r="R85" i="23"/>
  <c r="M107" i="23"/>
  <c r="BR107" i="23" s="1"/>
  <c r="H134" i="23"/>
  <c r="N53" i="23"/>
  <c r="A54" i="23"/>
  <c r="R54" i="23"/>
  <c r="G55" i="23"/>
  <c r="O56" i="23"/>
  <c r="R62" i="23"/>
  <c r="O63" i="23"/>
  <c r="O65" i="23"/>
  <c r="N68" i="23"/>
  <c r="H70" i="23"/>
  <c r="Q79" i="23"/>
  <c r="N81" i="23"/>
  <c r="O84" i="23"/>
  <c r="J89" i="23"/>
  <c r="CD89" i="23" s="1"/>
  <c r="L95" i="23"/>
  <c r="Q104" i="23"/>
  <c r="N134" i="23"/>
  <c r="O53" i="23"/>
  <c r="F57" i="23"/>
  <c r="F208" i="23" s="1"/>
  <c r="F359" i="23" s="1"/>
  <c r="R58" i="23"/>
  <c r="I59" i="23"/>
  <c r="N64" i="23"/>
  <c r="E67" i="23"/>
  <c r="K75" i="23"/>
  <c r="R83" i="23"/>
  <c r="A92" i="23"/>
  <c r="M95" i="23"/>
  <c r="BR95" i="23" s="1"/>
  <c r="R107" i="23"/>
  <c r="G115" i="23"/>
  <c r="P53" i="23"/>
  <c r="H55" i="23"/>
  <c r="J59" i="23"/>
  <c r="CD59" i="23" s="1"/>
  <c r="R65" i="23"/>
  <c r="O68" i="23"/>
  <c r="O72" i="23"/>
  <c r="N75" i="23"/>
  <c r="E76" i="23"/>
  <c r="P81" i="23"/>
  <c r="N97" i="23"/>
  <c r="M99" i="23"/>
  <c r="BR99" i="23" s="1"/>
  <c r="E60" i="23"/>
  <c r="Q63" i="23"/>
  <c r="F67" i="23"/>
  <c r="F218" i="23" s="1"/>
  <c r="F369" i="23" s="1"/>
  <c r="P70" i="23"/>
  <c r="P72" i="23"/>
  <c r="F73" i="23"/>
  <c r="F224" i="23" s="1"/>
  <c r="F375" i="23" s="1"/>
  <c r="R89" i="23"/>
  <c r="O99" i="23"/>
  <c r="A111" i="23"/>
  <c r="I115" i="23"/>
  <c r="Q53" i="23"/>
  <c r="I55" i="23"/>
  <c r="R56" i="23"/>
  <c r="H57" i="23"/>
  <c r="A58" i="23"/>
  <c r="K59" i="23"/>
  <c r="A66" i="23"/>
  <c r="G67" i="23"/>
  <c r="P68" i="23"/>
  <c r="P75" i="23"/>
  <c r="R81" i="23"/>
  <c r="F92" i="23"/>
  <c r="F243" i="23" s="1"/>
  <c r="F394" i="23" s="1"/>
  <c r="K111" i="23"/>
  <c r="J115" i="23"/>
  <c r="CD115" i="23" s="1"/>
  <c r="E38" i="23"/>
  <c r="H39" i="23"/>
  <c r="K40" i="23"/>
  <c r="N41" i="23"/>
  <c r="O44" i="23"/>
  <c r="A46" i="23"/>
  <c r="J47" i="23"/>
  <c r="CD47" i="23" s="1"/>
  <c r="O49" i="23"/>
  <c r="M50" i="23"/>
  <c r="BR50" i="23" s="1"/>
  <c r="K51" i="23"/>
  <c r="E54" i="23"/>
  <c r="I57" i="23"/>
  <c r="F60" i="23"/>
  <c r="F211" i="23" s="1"/>
  <c r="F362" i="23" s="1"/>
  <c r="R64" i="23"/>
  <c r="Q70" i="23"/>
  <c r="R72" i="23"/>
  <c r="G73" i="23"/>
  <c r="G76" i="23"/>
  <c r="H92" i="23"/>
  <c r="K115" i="23"/>
  <c r="L125" i="23"/>
  <c r="L36" i="23"/>
  <c r="A37" i="23"/>
  <c r="O37" i="23"/>
  <c r="R38" i="23"/>
  <c r="R42" i="23"/>
  <c r="I43" i="23"/>
  <c r="I45" i="23"/>
  <c r="Q46" i="23"/>
  <c r="F48" i="23"/>
  <c r="F199" i="23" s="1"/>
  <c r="F350" i="23" s="1"/>
  <c r="P49" i="23"/>
  <c r="O52" i="23"/>
  <c r="R53" i="23"/>
  <c r="J55" i="23"/>
  <c r="CD55" i="23" s="1"/>
  <c r="J57" i="23"/>
  <c r="CD57" i="23" s="1"/>
  <c r="A71" i="23"/>
  <c r="I73" i="23"/>
  <c r="O88" i="23"/>
  <c r="L120" i="23"/>
  <c r="I21" i="23"/>
  <c r="J23" i="23"/>
  <c r="K25" i="23"/>
  <c r="L27" i="23"/>
  <c r="M29" i="23"/>
  <c r="BR29" i="23" s="1"/>
  <c r="N31" i="23"/>
  <c r="E33" i="23"/>
  <c r="Q33" i="23"/>
  <c r="F34" i="23"/>
  <c r="F185" i="23" s="1"/>
  <c r="F336" i="23" s="1"/>
  <c r="R34" i="23"/>
  <c r="I35" i="23"/>
  <c r="F38" i="23"/>
  <c r="F189" i="23" s="1"/>
  <c r="F340" i="23" s="1"/>
  <c r="I39" i="23"/>
  <c r="L40" i="23"/>
  <c r="A41" i="23"/>
  <c r="O41" i="23"/>
  <c r="F42" i="23"/>
  <c r="F193" i="23" s="1"/>
  <c r="F344" i="23" s="1"/>
  <c r="A44" i="23"/>
  <c r="P44" i="23"/>
  <c r="K47" i="23"/>
  <c r="A49" i="23"/>
  <c r="Q49" i="23"/>
  <c r="N50" i="23"/>
  <c r="L51" i="23"/>
  <c r="P52" i="23"/>
  <c r="F54" i="23"/>
  <c r="F205" i="23" s="1"/>
  <c r="F356" i="23" s="1"/>
  <c r="K55" i="23"/>
  <c r="A56" i="23"/>
  <c r="M59" i="23"/>
  <c r="BR59" i="23" s="1"/>
  <c r="G60" i="23"/>
  <c r="E61" i="23"/>
  <c r="J73" i="23"/>
  <c r="CD73" i="23" s="1"/>
  <c r="Q88" i="23"/>
  <c r="E105" i="23"/>
  <c r="P125" i="23"/>
  <c r="N30" i="23"/>
  <c r="A31" i="23"/>
  <c r="P32" i="23"/>
  <c r="M36" i="23"/>
  <c r="BR36" i="23" s="1"/>
  <c r="P37" i="23"/>
  <c r="J43" i="23"/>
  <c r="CD43" i="23" s="1"/>
  <c r="J45" i="23"/>
  <c r="CD45" i="23" s="1"/>
  <c r="R46" i="23"/>
  <c r="G48" i="23"/>
  <c r="N55" i="23"/>
  <c r="E58" i="23"/>
  <c r="H60" i="23"/>
  <c r="E66" i="23"/>
  <c r="O67" i="23"/>
  <c r="J76" i="23"/>
  <c r="CD76" i="23" s="1"/>
  <c r="R88" i="23"/>
  <c r="R61" i="23"/>
  <c r="F62" i="23"/>
  <c r="F213" i="23" s="1"/>
  <c r="F364" i="23" s="1"/>
  <c r="M63" i="23"/>
  <c r="BR63" i="23" s="1"/>
  <c r="F66" i="23"/>
  <c r="F217" i="23" s="1"/>
  <c r="F368" i="23" s="1"/>
  <c r="R73" i="23"/>
  <c r="G84" i="23"/>
  <c r="Q86" i="23"/>
  <c r="O90" i="23"/>
  <c r="G91" i="23"/>
  <c r="R132" i="23"/>
  <c r="H150" i="23"/>
  <c r="G108" i="23"/>
  <c r="P116" i="23"/>
  <c r="F136" i="23"/>
  <c r="F287" i="23" s="1"/>
  <c r="M87" i="23"/>
  <c r="BR87" i="23" s="1"/>
  <c r="N91" i="23"/>
  <c r="G92" i="23"/>
  <c r="E93" i="23"/>
  <c r="P99" i="23"/>
  <c r="H105" i="23"/>
  <c r="H108" i="23"/>
  <c r="I108" i="23"/>
  <c r="M136" i="23"/>
  <c r="BR136" i="23" s="1"/>
  <c r="N87" i="23"/>
  <c r="P91" i="23"/>
  <c r="L93" i="23"/>
  <c r="R99" i="23"/>
  <c r="I105" i="23"/>
  <c r="E110" i="23"/>
  <c r="E124" i="23"/>
  <c r="A127" i="23"/>
  <c r="E130" i="23"/>
  <c r="P136" i="23"/>
  <c r="J141" i="23"/>
  <c r="CD141" i="23" s="1"/>
  <c r="M82" i="23"/>
  <c r="BR82" i="23" s="1"/>
  <c r="P84" i="23"/>
  <c r="A88" i="23"/>
  <c r="Q91" i="23"/>
  <c r="L92" i="23"/>
  <c r="O108" i="23"/>
  <c r="G110" i="23"/>
  <c r="K112" i="23"/>
  <c r="N80" i="23"/>
  <c r="R84" i="23"/>
  <c r="Q87" i="23"/>
  <c r="E88" i="23"/>
  <c r="R91" i="23"/>
  <c r="F94" i="23"/>
  <c r="F245" i="23" s="1"/>
  <c r="F396" i="23" s="1"/>
  <c r="I98" i="23"/>
  <c r="Q108" i="23"/>
  <c r="L117" i="23"/>
  <c r="M127" i="23"/>
  <c r="BR127" i="23" s="1"/>
  <c r="L130" i="23"/>
  <c r="P141" i="23"/>
  <c r="O58" i="23"/>
  <c r="R60" i="23"/>
  <c r="G61" i="23"/>
  <c r="A63" i="23"/>
  <c r="R63" i="23"/>
  <c r="O66" i="23"/>
  <c r="J67" i="23"/>
  <c r="CD67" i="23" s="1"/>
  <c r="H68" i="23"/>
  <c r="I69" i="23"/>
  <c r="M71" i="23"/>
  <c r="BR71" i="23" s="1"/>
  <c r="I74" i="23"/>
  <c r="Q75" i="23"/>
  <c r="I77" i="23"/>
  <c r="E79" i="23"/>
  <c r="H85" i="23"/>
  <c r="P93" i="23"/>
  <c r="E97" i="23"/>
  <c r="N98" i="23"/>
  <c r="K105" i="23"/>
  <c r="A107" i="23"/>
  <c r="M110" i="23"/>
  <c r="BR110" i="23" s="1"/>
  <c r="R112" i="23"/>
  <c r="M117" i="23"/>
  <c r="BR117" i="23" s="1"/>
  <c r="M130" i="23"/>
  <c r="BR130" i="23" s="1"/>
  <c r="P147" i="23"/>
  <c r="M56" i="23"/>
  <c r="BR56" i="23" s="1"/>
  <c r="N57" i="23"/>
  <c r="P59" i="23"/>
  <c r="A60" i="23"/>
  <c r="H61" i="23"/>
  <c r="M62" i="23"/>
  <c r="BR62" i="23" s="1"/>
  <c r="I64" i="23"/>
  <c r="P66" i="23"/>
  <c r="K69" i="23"/>
  <c r="O80" i="23"/>
  <c r="P82" i="23"/>
  <c r="A83" i="23"/>
  <c r="K85" i="23"/>
  <c r="R87" i="23"/>
  <c r="I88" i="23"/>
  <c r="J96" i="23"/>
  <c r="CD96" i="23" s="1"/>
  <c r="L97" i="23"/>
  <c r="N117" i="23"/>
  <c r="N127" i="23"/>
  <c r="Q147" i="23"/>
  <c r="L44" i="23"/>
  <c r="Q45" i="23"/>
  <c r="I46" i="23"/>
  <c r="N47" i="23"/>
  <c r="H48" i="23"/>
  <c r="H51" i="23"/>
  <c r="H52" i="23"/>
  <c r="K54" i="23"/>
  <c r="M55" i="23"/>
  <c r="BR55" i="23" s="1"/>
  <c r="P58" i="23"/>
  <c r="K67" i="23"/>
  <c r="I68" i="23"/>
  <c r="M70" i="23"/>
  <c r="BR70" i="23" s="1"/>
  <c r="J74" i="23"/>
  <c r="CD74" i="23" s="1"/>
  <c r="R75" i="23"/>
  <c r="G79" i="23"/>
  <c r="M94" i="23"/>
  <c r="BR94" i="23" s="1"/>
  <c r="F95" i="23"/>
  <c r="F246" i="23" s="1"/>
  <c r="F397" i="23" s="1"/>
  <c r="K96" i="23"/>
  <c r="M97" i="23"/>
  <c r="BR97" i="23" s="1"/>
  <c r="E101" i="23"/>
  <c r="F107" i="23"/>
  <c r="F258" i="23" s="1"/>
  <c r="F409" i="23" s="1"/>
  <c r="R110" i="23"/>
  <c r="O117" i="23"/>
  <c r="L143" i="23"/>
  <c r="R147" i="23"/>
  <c r="N56" i="23"/>
  <c r="O57" i="23"/>
  <c r="Q58" i="23"/>
  <c r="A59" i="23"/>
  <c r="Q59" i="23"/>
  <c r="I61" i="23"/>
  <c r="N62" i="23"/>
  <c r="J64" i="23"/>
  <c r="CD64" i="23" s="1"/>
  <c r="Q66" i="23"/>
  <c r="J68" i="23"/>
  <c r="CD68" i="23" s="1"/>
  <c r="O71" i="23"/>
  <c r="L77" i="23"/>
  <c r="P80" i="23"/>
  <c r="R82" i="23"/>
  <c r="R93" i="23"/>
  <c r="N94" i="23"/>
  <c r="J95" i="23"/>
  <c r="CD95" i="23" s="1"/>
  <c r="L96" i="23"/>
  <c r="I104" i="23"/>
  <c r="O105" i="23"/>
  <c r="Q127" i="23"/>
  <c r="N143" i="23"/>
  <c r="P71" i="23"/>
  <c r="L74" i="23"/>
  <c r="L76" i="23"/>
  <c r="M77" i="23"/>
  <c r="BR77" i="23" s="1"/>
  <c r="R79" i="23"/>
  <c r="L101" i="23"/>
  <c r="Q109" i="23"/>
  <c r="J123" i="23"/>
  <c r="CD123" i="23" s="1"/>
  <c r="A126" i="23"/>
  <c r="O134" i="23"/>
  <c r="M76" i="23"/>
  <c r="BR76" i="23" s="1"/>
  <c r="P78" i="23"/>
  <c r="E82" i="23"/>
  <c r="J88" i="23"/>
  <c r="CD88" i="23" s="1"/>
  <c r="O92" i="23"/>
  <c r="Q97" i="23"/>
  <c r="A98" i="23"/>
  <c r="M101" i="23"/>
  <c r="BR101" i="23" s="1"/>
  <c r="I102" i="23"/>
  <c r="N119" i="23"/>
  <c r="J129" i="23"/>
  <c r="CD129" i="23" s="1"/>
  <c r="H139" i="23"/>
  <c r="O150" i="23"/>
  <c r="R71" i="23"/>
  <c r="Q72" i="23"/>
  <c r="Q73" i="23"/>
  <c r="N74" i="23"/>
  <c r="O75" i="23"/>
  <c r="P76" i="23"/>
  <c r="O77" i="23"/>
  <c r="A81" i="23"/>
  <c r="L86" i="23"/>
  <c r="K88" i="23"/>
  <c r="L90" i="23"/>
  <c r="Q92" i="23"/>
  <c r="K95" i="23"/>
  <c r="L115" i="23"/>
  <c r="R123" i="23"/>
  <c r="J126" i="23"/>
  <c r="CD126" i="23" s="1"/>
  <c r="A103" i="23"/>
  <c r="G114" i="23"/>
  <c r="Q115" i="23"/>
  <c r="L126" i="23"/>
  <c r="G131" i="23"/>
  <c r="A137" i="23"/>
  <c r="H145" i="23"/>
  <c r="G200" i="23"/>
  <c r="E118" i="23"/>
  <c r="P119" i="23"/>
  <c r="M131" i="23"/>
  <c r="BR131" i="23" s="1"/>
  <c r="F137" i="23"/>
  <c r="F288" i="23" s="1"/>
  <c r="J145" i="23"/>
  <c r="CD145" i="23" s="1"/>
  <c r="E91" i="23"/>
  <c r="F96" i="23"/>
  <c r="F247" i="23" s="1"/>
  <c r="F398" i="23" s="1"/>
  <c r="N102" i="23"/>
  <c r="E103" i="23"/>
  <c r="N126" i="23"/>
  <c r="E128" i="23"/>
  <c r="G190" i="23"/>
  <c r="K98" i="23"/>
  <c r="A113" i="23"/>
  <c r="N131" i="23"/>
  <c r="G137" i="23"/>
  <c r="O145" i="23"/>
  <c r="H151" i="23"/>
  <c r="Q102" i="23"/>
  <c r="G113" i="23"/>
  <c r="Q118" i="23"/>
  <c r="N122" i="23"/>
  <c r="A125" i="23"/>
  <c r="H133" i="23"/>
  <c r="F135" i="23"/>
  <c r="F286" i="23" s="1"/>
  <c r="J137" i="23"/>
  <c r="CD137" i="23" s="1"/>
  <c r="G229" i="23"/>
  <c r="I96" i="23"/>
  <c r="J103" i="23"/>
  <c r="CD103" i="23" s="1"/>
  <c r="A112" i="23"/>
  <c r="M137" i="23"/>
  <c r="BR137" i="23" s="1"/>
  <c r="F99" i="23"/>
  <c r="F250" i="23" s="1"/>
  <c r="F401" i="23" s="1"/>
  <c r="K113" i="23"/>
  <c r="R118" i="23"/>
  <c r="Q122" i="23"/>
  <c r="J125" i="23"/>
  <c r="CD125" i="23" s="1"/>
  <c r="L128" i="23"/>
  <c r="P133" i="23"/>
  <c r="J140" i="23"/>
  <c r="CD140" i="23" s="1"/>
  <c r="N51" i="23"/>
  <c r="N52" i="23"/>
  <c r="M53" i="23"/>
  <c r="BR53" i="23" s="1"/>
  <c r="L55" i="23"/>
  <c r="K56" i="23"/>
  <c r="K57" i="23"/>
  <c r="L61" i="23"/>
  <c r="H64" i="23"/>
  <c r="Q65" i="23"/>
  <c r="J66" i="23"/>
  <c r="CD66" i="23" s="1"/>
  <c r="O69" i="23"/>
  <c r="I70" i="23"/>
  <c r="A73" i="23"/>
  <c r="A75" i="23"/>
  <c r="A78" i="23"/>
  <c r="F80" i="23"/>
  <c r="F231" i="23" s="1"/>
  <c r="F382" i="23" s="1"/>
  <c r="F84" i="23"/>
  <c r="F235" i="23" s="1"/>
  <c r="F386" i="23" s="1"/>
  <c r="O85" i="23"/>
  <c r="G89" i="23"/>
  <c r="I91" i="23"/>
  <c r="Q93" i="23"/>
  <c r="O103" i="23"/>
  <c r="G112" i="23"/>
  <c r="K117" i="23"/>
  <c r="M125" i="23"/>
  <c r="BR125" i="23" s="1"/>
  <c r="P128" i="23"/>
  <c r="G201" i="23"/>
  <c r="E48" i="23"/>
  <c r="H49" i="23"/>
  <c r="K50" i="23"/>
  <c r="O54" i="23"/>
  <c r="G56" i="23"/>
  <c r="A57" i="23"/>
  <c r="K58" i="23"/>
  <c r="Q61" i="23"/>
  <c r="P62" i="23"/>
  <c r="P63" i="23"/>
  <c r="O64" i="23"/>
  <c r="A69" i="23"/>
  <c r="J70" i="23"/>
  <c r="CD70" i="23" s="1"/>
  <c r="K72" i="23"/>
  <c r="E73" i="23"/>
  <c r="L75" i="23"/>
  <c r="F76" i="23"/>
  <c r="F227" i="23" s="1"/>
  <c r="F378" i="23" s="1"/>
  <c r="A77" i="23"/>
  <c r="J80" i="23"/>
  <c r="CD80" i="23" s="1"/>
  <c r="A82" i="23"/>
  <c r="A84" i="23"/>
  <c r="K90" i="23"/>
  <c r="E98" i="23"/>
  <c r="Q99" i="23"/>
  <c r="A100" i="23"/>
  <c r="R101" i="23"/>
  <c r="A106" i="23"/>
  <c r="K130" i="23"/>
  <c r="Q134" i="23"/>
  <c r="E150" i="23"/>
  <c r="L80" i="23"/>
  <c r="A85" i="23"/>
  <c r="H88" i="23"/>
  <c r="I89" i="23"/>
  <c r="L94" i="23"/>
  <c r="N95" i="23"/>
  <c r="F102" i="23"/>
  <c r="F253" i="23" s="1"/>
  <c r="F404" i="23" s="1"/>
  <c r="P103" i="23"/>
  <c r="A104" i="23"/>
  <c r="O109" i="23"/>
  <c r="N125" i="23"/>
  <c r="G133" i="23"/>
  <c r="I136" i="23"/>
  <c r="E148" i="23"/>
  <c r="G202" i="23"/>
  <c r="F87" i="23"/>
  <c r="F238" i="23" s="1"/>
  <c r="F389" i="23" s="1"/>
  <c r="L89" i="23"/>
  <c r="F93" i="23"/>
  <c r="F244" i="23" s="1"/>
  <c r="F395" i="23" s="1"/>
  <c r="R95" i="23"/>
  <c r="I100" i="23"/>
  <c r="H102" i="23"/>
  <c r="L106" i="23"/>
  <c r="K123" i="23"/>
  <c r="E129" i="23"/>
  <c r="N136" i="23"/>
  <c r="I138" i="23"/>
  <c r="N140" i="23"/>
  <c r="L144" i="23"/>
  <c r="G256" i="23"/>
  <c r="J35" i="23"/>
  <c r="CD35" i="23" s="1"/>
  <c r="K36" i="23"/>
  <c r="L37" i="23"/>
  <c r="M38" i="23"/>
  <c r="BR38" i="23" s="1"/>
  <c r="N39" i="23"/>
  <c r="O40" i="23"/>
  <c r="P41" i="23"/>
  <c r="E42" i="23"/>
  <c r="Q42" i="23"/>
  <c r="M45" i="23"/>
  <c r="BR45" i="23" s="1"/>
  <c r="P46" i="23"/>
  <c r="G51" i="23"/>
  <c r="A52" i="23"/>
  <c r="K53" i="23"/>
  <c r="P55" i="23"/>
  <c r="G57" i="23"/>
  <c r="L59" i="23"/>
  <c r="G64" i="23"/>
  <c r="R66" i="23"/>
  <c r="I67" i="23"/>
  <c r="H69" i="23"/>
  <c r="J77" i="23"/>
  <c r="CD77" i="23" s="1"/>
  <c r="K82" i="23"/>
  <c r="K83" i="23"/>
  <c r="H86" i="23"/>
  <c r="I87" i="23"/>
  <c r="N89" i="23"/>
  <c r="K93" i="23"/>
  <c r="P94" i="23"/>
  <c r="R98" i="23"/>
  <c r="J102" i="23"/>
  <c r="CD102" i="23" s="1"/>
  <c r="J104" i="23"/>
  <c r="CD104" i="23" s="1"/>
  <c r="L110" i="23"/>
  <c r="R70" i="23"/>
  <c r="I71" i="23"/>
  <c r="A72" i="23"/>
  <c r="L73" i="23"/>
  <c r="H74" i="23"/>
  <c r="K77" i="23"/>
  <c r="A79" i="23"/>
  <c r="O81" i="23"/>
  <c r="L82" i="23"/>
  <c r="L88" i="23"/>
  <c r="E92" i="23"/>
  <c r="H97" i="23"/>
  <c r="K102" i="23"/>
  <c r="Q106" i="23"/>
  <c r="F111" i="23"/>
  <c r="F262" i="23" s="1"/>
  <c r="F413" i="23" s="1"/>
  <c r="F112" i="23"/>
  <c r="F263" i="23" s="1"/>
  <c r="F414" i="23" s="1"/>
  <c r="E117" i="23"/>
  <c r="G119" i="23"/>
  <c r="H121" i="23"/>
  <c r="P122" i="23"/>
  <c r="H128" i="23"/>
  <c r="J61" i="23"/>
  <c r="CD61" i="23" s="1"/>
  <c r="A62" i="23"/>
  <c r="G63" i="23"/>
  <c r="G68" i="23"/>
  <c r="F69" i="23"/>
  <c r="F220" i="23" s="1"/>
  <c r="F371" i="23" s="1"/>
  <c r="F70" i="23"/>
  <c r="F221" i="23" s="1"/>
  <c r="F372" i="23" s="1"/>
  <c r="E71" i="23"/>
  <c r="F79" i="23"/>
  <c r="F230" i="23" s="1"/>
  <c r="F381" i="23" s="1"/>
  <c r="K80" i="23"/>
  <c r="Q81" i="23"/>
  <c r="Q83" i="23"/>
  <c r="H84" i="23"/>
  <c r="K86" i="23"/>
  <c r="N88" i="23"/>
  <c r="Q95" i="23"/>
  <c r="G97" i="23"/>
  <c r="A99" i="23"/>
  <c r="N105" i="23"/>
  <c r="E107" i="23"/>
  <c r="P108" i="23"/>
  <c r="J110" i="23"/>
  <c r="CD110" i="23" s="1"/>
  <c r="G117" i="23"/>
  <c r="K121" i="23"/>
  <c r="E122" i="23"/>
  <c r="A134" i="23"/>
  <c r="I135" i="23"/>
  <c r="G189" i="23"/>
  <c r="G265" i="23"/>
  <c r="G87" i="23"/>
  <c r="M92" i="23"/>
  <c r="BR92" i="23" s="1"/>
  <c r="I93" i="23"/>
  <c r="E99" i="23"/>
  <c r="I101" i="23"/>
  <c r="N103" i="23"/>
  <c r="O104" i="23"/>
  <c r="H107" i="23"/>
  <c r="L113" i="23"/>
  <c r="R116" i="23"/>
  <c r="P121" i="23"/>
  <c r="O122" i="23"/>
  <c r="A124" i="23"/>
  <c r="E133" i="23"/>
  <c r="H138" i="23"/>
  <c r="J52" i="23"/>
  <c r="CD52" i="23" s="1"/>
  <c r="A53" i="23"/>
  <c r="G54" i="23"/>
  <c r="P56" i="23"/>
  <c r="M58" i="23"/>
  <c r="BR58" i="23" s="1"/>
  <c r="J60" i="23"/>
  <c r="CD60" i="23" s="1"/>
  <c r="A61" i="23"/>
  <c r="G62" i="23"/>
  <c r="P64" i="23"/>
  <c r="L69" i="23"/>
  <c r="K70" i="23"/>
  <c r="K71" i="23"/>
  <c r="L72" i="23"/>
  <c r="O73" i="23"/>
  <c r="F75" i="23"/>
  <c r="F226" i="23" s="1"/>
  <c r="F377" i="23" s="1"/>
  <c r="F78" i="23"/>
  <c r="F229" i="23" s="1"/>
  <c r="F380" i="23" s="1"/>
  <c r="K79" i="23"/>
  <c r="Q80" i="23"/>
  <c r="N82" i="23"/>
  <c r="F83" i="23"/>
  <c r="F234" i="23" s="1"/>
  <c r="F385" i="23" s="1"/>
  <c r="I85" i="23"/>
  <c r="R92" i="23"/>
  <c r="M93" i="23"/>
  <c r="BR93" i="23" s="1"/>
  <c r="O97" i="23"/>
  <c r="L100" i="23"/>
  <c r="I109" i="23"/>
  <c r="M118" i="23"/>
  <c r="BR118" i="23" s="1"/>
  <c r="R122" i="23"/>
  <c r="N123" i="23"/>
  <c r="H124" i="23"/>
  <c r="K133" i="23"/>
  <c r="P138" i="23"/>
  <c r="G191" i="23"/>
  <c r="G196" i="23"/>
  <c r="O61" i="23"/>
  <c r="L63" i="23"/>
  <c r="M65" i="23"/>
  <c r="BR65" i="23" s="1"/>
  <c r="M66" i="23"/>
  <c r="BR66" i="23" s="1"/>
  <c r="L67" i="23"/>
  <c r="L68" i="23"/>
  <c r="A74" i="23"/>
  <c r="K76" i="23"/>
  <c r="P77" i="23"/>
  <c r="G81" i="23"/>
  <c r="Q84" i="23"/>
  <c r="L87" i="23"/>
  <c r="O89" i="23"/>
  <c r="J90" i="23"/>
  <c r="CD90" i="23" s="1"/>
  <c r="H94" i="23"/>
  <c r="L98" i="23"/>
  <c r="N99" i="23"/>
  <c r="N100" i="23"/>
  <c r="N101" i="23"/>
  <c r="Q103" i="23"/>
  <c r="E106" i="23"/>
  <c r="Q107" i="23"/>
  <c r="H111" i="23"/>
  <c r="E115" i="23"/>
  <c r="N118" i="23"/>
  <c r="O123" i="23"/>
  <c r="J124" i="23"/>
  <c r="CD124" i="23" s="1"/>
  <c r="I125" i="23"/>
  <c r="L132" i="23"/>
  <c r="N133" i="23"/>
  <c r="Q138" i="23"/>
  <c r="A47" i="23"/>
  <c r="K52" i="23"/>
  <c r="H54" i="23"/>
  <c r="E56" i="23"/>
  <c r="Q56" i="23"/>
  <c r="N58" i="23"/>
  <c r="K60" i="23"/>
  <c r="H62" i="23"/>
  <c r="E64" i="23"/>
  <c r="Q64" i="23"/>
  <c r="N67" i="23"/>
  <c r="M68" i="23"/>
  <c r="BR68" i="23" s="1"/>
  <c r="M69" i="23"/>
  <c r="BR69" i="23" s="1"/>
  <c r="L70" i="23"/>
  <c r="L71" i="23"/>
  <c r="G78" i="23"/>
  <c r="L79" i="23"/>
  <c r="A80" i="23"/>
  <c r="R80" i="23"/>
  <c r="O82" i="23"/>
  <c r="G83" i="23"/>
  <c r="J85" i="23"/>
  <c r="CD85" i="23" s="1"/>
  <c r="O93" i="23"/>
  <c r="E95" i="23"/>
  <c r="P97" i="23"/>
  <c r="O100" i="23"/>
  <c r="P102" i="23"/>
  <c r="J111" i="23"/>
  <c r="CD111" i="23" s="1"/>
  <c r="I114" i="23"/>
  <c r="F115" i="23"/>
  <c r="F266" i="23" s="1"/>
  <c r="F417" i="23" s="1"/>
  <c r="F119" i="23"/>
  <c r="F270" i="23" s="1"/>
  <c r="F421" i="23" s="1"/>
  <c r="P123" i="23"/>
  <c r="O133" i="23"/>
  <c r="A145" i="23"/>
  <c r="G232" i="23"/>
  <c r="K65" i="23"/>
  <c r="H67" i="23"/>
  <c r="E69" i="23"/>
  <c r="Q69" i="23"/>
  <c r="N71" i="23"/>
  <c r="H72" i="23"/>
  <c r="P73" i="23"/>
  <c r="G75" i="23"/>
  <c r="Q76" i="23"/>
  <c r="N77" i="23"/>
  <c r="E81" i="23"/>
  <c r="Q82" i="23"/>
  <c r="E84" i="23"/>
  <c r="M89" i="23"/>
  <c r="BR89" i="23" s="1"/>
  <c r="Q90" i="23"/>
  <c r="N93" i="23"/>
  <c r="A97" i="23"/>
  <c r="R97" i="23"/>
  <c r="J98" i="23"/>
  <c r="CD98" i="23" s="1"/>
  <c r="K100" i="23"/>
  <c r="M102" i="23"/>
  <c r="BR102" i="23" s="1"/>
  <c r="P104" i="23"/>
  <c r="J105" i="23"/>
  <c r="CD105" i="23" s="1"/>
  <c r="A110" i="23"/>
  <c r="F114" i="23"/>
  <c r="F265" i="23" s="1"/>
  <c r="F416" i="23" s="1"/>
  <c r="M115" i="23"/>
  <c r="BR115" i="23" s="1"/>
  <c r="L123" i="23"/>
  <c r="O125" i="23"/>
  <c r="I129" i="23"/>
  <c r="L145" i="23"/>
  <c r="G101" i="23"/>
  <c r="O102" i="23"/>
  <c r="I103" i="23"/>
  <c r="M105" i="23"/>
  <c r="BR105" i="23" s="1"/>
  <c r="J106" i="23"/>
  <c r="CD106" i="23" s="1"/>
  <c r="E108" i="23"/>
  <c r="H114" i="23"/>
  <c r="P117" i="23"/>
  <c r="O119" i="23"/>
  <c r="O121" i="23"/>
  <c r="G130" i="23"/>
  <c r="Q145" i="23"/>
  <c r="H66" i="23"/>
  <c r="E68" i="23"/>
  <c r="Q68" i="23"/>
  <c r="N70" i="23"/>
  <c r="M72" i="23"/>
  <c r="BR72" i="23" s="1"/>
  <c r="P74" i="23"/>
  <c r="H76" i="23"/>
  <c r="E77" i="23"/>
  <c r="Q78" i="23"/>
  <c r="N79" i="23"/>
  <c r="I82" i="23"/>
  <c r="K84" i="23"/>
  <c r="L85" i="23"/>
  <c r="M86" i="23"/>
  <c r="BR86" i="23" s="1"/>
  <c r="O87" i="23"/>
  <c r="G90" i="23"/>
  <c r="J94" i="23"/>
  <c r="CD94" i="23" s="1"/>
  <c r="I97" i="23"/>
  <c r="O98" i="23"/>
  <c r="Q100" i="23"/>
  <c r="L103" i="23"/>
  <c r="M106" i="23"/>
  <c r="BR106" i="23" s="1"/>
  <c r="J107" i="23"/>
  <c r="CD107" i="23" s="1"/>
  <c r="J109" i="23"/>
  <c r="CD109" i="23" s="1"/>
  <c r="M111" i="23"/>
  <c r="BR111" i="23" s="1"/>
  <c r="K116" i="23"/>
  <c r="J118" i="23"/>
  <c r="CD118" i="23" s="1"/>
  <c r="F122" i="23"/>
  <c r="F273" i="23" s="1"/>
  <c r="F424" i="23" s="1"/>
  <c r="N130" i="23"/>
  <c r="A133" i="23"/>
  <c r="I139" i="23"/>
  <c r="F143" i="23"/>
  <c r="F294" i="23" s="1"/>
  <c r="R144" i="23"/>
  <c r="R148" i="23"/>
  <c r="P65" i="23"/>
  <c r="M67" i="23"/>
  <c r="BR67" i="23" s="1"/>
  <c r="J69" i="23"/>
  <c r="CD69" i="23" s="1"/>
  <c r="A70" i="23"/>
  <c r="G71" i="23"/>
  <c r="H73" i="23"/>
  <c r="M75" i="23"/>
  <c r="BR75" i="23" s="1"/>
  <c r="M80" i="23"/>
  <c r="BR80" i="23" s="1"/>
  <c r="J81" i="23"/>
  <c r="CD81" i="23" s="1"/>
  <c r="J83" i="23"/>
  <c r="CD83" i="23" s="1"/>
  <c r="L84" i="23"/>
  <c r="P88" i="23"/>
  <c r="J91" i="23"/>
  <c r="CD91" i="23" s="1"/>
  <c r="P92" i="23"/>
  <c r="O95" i="23"/>
  <c r="H99" i="23"/>
  <c r="R100" i="23"/>
  <c r="J101" i="23"/>
  <c r="CD101" i="23" s="1"/>
  <c r="M103" i="23"/>
  <c r="BR103" i="23" s="1"/>
  <c r="K110" i="23"/>
  <c r="K124" i="23"/>
  <c r="Q130" i="23"/>
  <c r="K131" i="23"/>
  <c r="K143" i="23"/>
  <c r="G181" i="23"/>
  <c r="I66" i="23"/>
  <c r="F68" i="23"/>
  <c r="F219" i="23" s="1"/>
  <c r="F370" i="23" s="1"/>
  <c r="R68" i="23"/>
  <c r="O70" i="23"/>
  <c r="N72" i="23"/>
  <c r="Q74" i="23"/>
  <c r="I76" i="23"/>
  <c r="F77" i="23"/>
  <c r="F228" i="23" s="1"/>
  <c r="F379" i="23" s="1"/>
  <c r="R78" i="23"/>
  <c r="O79" i="23"/>
  <c r="J82" i="23"/>
  <c r="CD82" i="23" s="1"/>
  <c r="M85" i="23"/>
  <c r="BR85" i="23" s="1"/>
  <c r="N86" i="23"/>
  <c r="P87" i="23"/>
  <c r="E89" i="23"/>
  <c r="H90" i="23"/>
  <c r="K94" i="23"/>
  <c r="E96" i="23"/>
  <c r="K97" i="23"/>
  <c r="G104" i="23"/>
  <c r="N106" i="23"/>
  <c r="K107" i="23"/>
  <c r="K108" i="23"/>
  <c r="K109" i="23"/>
  <c r="N111" i="23"/>
  <c r="E113" i="23"/>
  <c r="L118" i="23"/>
  <c r="I122" i="23"/>
  <c r="H127" i="23"/>
  <c r="E132" i="23"/>
  <c r="J139" i="23"/>
  <c r="CD139" i="23" s="1"/>
  <c r="G207" i="23"/>
  <c r="O140" i="23"/>
  <c r="O141" i="23"/>
  <c r="Q110" i="23"/>
  <c r="L111" i="23"/>
  <c r="J112" i="23"/>
  <c r="CD112" i="23" s="1"/>
  <c r="L114" i="23"/>
  <c r="Q116" i="23"/>
  <c r="G120" i="23"/>
  <c r="I127" i="23"/>
  <c r="F129" i="23"/>
  <c r="F280" i="23" s="1"/>
  <c r="L131" i="23"/>
  <c r="N76" i="23"/>
  <c r="K78" i="23"/>
  <c r="H80" i="23"/>
  <c r="F82" i="23"/>
  <c r="F233" i="23" s="1"/>
  <c r="F384" i="23" s="1"/>
  <c r="N83" i="23"/>
  <c r="E85" i="23"/>
  <c r="J87" i="23"/>
  <c r="CD87" i="23" s="1"/>
  <c r="A89" i="23"/>
  <c r="P89" i="23"/>
  <c r="M90" i="23"/>
  <c r="BR90" i="23" s="1"/>
  <c r="K91" i="23"/>
  <c r="I92" i="23"/>
  <c r="G95" i="23"/>
  <c r="G96" i="23"/>
  <c r="F98" i="23"/>
  <c r="F249" i="23" s="1"/>
  <c r="F400" i="23" s="1"/>
  <c r="I99" i="23"/>
  <c r="O101" i="23"/>
  <c r="A102" i="23"/>
  <c r="F103" i="23"/>
  <c r="F254" i="23" s="1"/>
  <c r="F405" i="23" s="1"/>
  <c r="K104" i="23"/>
  <c r="G106" i="23"/>
  <c r="E109" i="23"/>
  <c r="O112" i="23"/>
  <c r="P114" i="23"/>
  <c r="A117" i="23"/>
  <c r="E123" i="23"/>
  <c r="L124" i="23"/>
  <c r="F132" i="23"/>
  <c r="F283" i="23" s="1"/>
  <c r="J135" i="23"/>
  <c r="CD135" i="23" s="1"/>
  <c r="J149" i="23"/>
  <c r="CD149" i="23" s="1"/>
  <c r="M73" i="23"/>
  <c r="BR73" i="23" s="1"/>
  <c r="J75" i="23"/>
  <c r="CD75" i="23" s="1"/>
  <c r="A76" i="23"/>
  <c r="G77" i="23"/>
  <c r="P79" i="23"/>
  <c r="M81" i="23"/>
  <c r="BR81" i="23" s="1"/>
  <c r="J84" i="23"/>
  <c r="CD84" i="23" s="1"/>
  <c r="O86" i="23"/>
  <c r="F88" i="23"/>
  <c r="F239" i="23" s="1"/>
  <c r="F390" i="23" s="1"/>
  <c r="J93" i="23"/>
  <c r="CD93" i="23" s="1"/>
  <c r="I94" i="23"/>
  <c r="F97" i="23"/>
  <c r="F248" i="23" s="1"/>
  <c r="F399" i="23" s="1"/>
  <c r="M100" i="23"/>
  <c r="BR100" i="23" s="1"/>
  <c r="L108" i="23"/>
  <c r="O111" i="23"/>
  <c r="O113" i="23"/>
  <c r="H118" i="23"/>
  <c r="K119" i="23"/>
  <c r="N120" i="23"/>
  <c r="O127" i="23"/>
  <c r="M129" i="23"/>
  <c r="BR129" i="23" s="1"/>
  <c r="I132" i="23"/>
  <c r="F145" i="23"/>
  <c r="F296" i="23" s="1"/>
  <c r="E146" i="23"/>
  <c r="K150" i="23"/>
  <c r="G221" i="23"/>
  <c r="I72" i="23"/>
  <c r="F74" i="23"/>
  <c r="F225" i="23" s="1"/>
  <c r="F376" i="23" s="1"/>
  <c r="R74" i="23"/>
  <c r="O76" i="23"/>
  <c r="L78" i="23"/>
  <c r="I80" i="23"/>
  <c r="G82" i="23"/>
  <c r="O83" i="23"/>
  <c r="G85" i="23"/>
  <c r="A86" i="23"/>
  <c r="K87" i="23"/>
  <c r="Q89" i="23"/>
  <c r="N90" i="23"/>
  <c r="L91" i="23"/>
  <c r="K92" i="23"/>
  <c r="H95" i="23"/>
  <c r="H96" i="23"/>
  <c r="G98" i="23"/>
  <c r="J99" i="23"/>
  <c r="CD99" i="23" s="1"/>
  <c r="P101" i="23"/>
  <c r="G103" i="23"/>
  <c r="L104" i="23"/>
  <c r="H106" i="23"/>
  <c r="M108" i="23"/>
  <c r="BR108" i="23" s="1"/>
  <c r="F109" i="23"/>
  <c r="F260" i="23" s="1"/>
  <c r="F411" i="23" s="1"/>
  <c r="R111" i="23"/>
  <c r="Q112" i="23"/>
  <c r="P113" i="23"/>
  <c r="I118" i="23"/>
  <c r="L119" i="23"/>
  <c r="Q120" i="23"/>
  <c r="O124" i="23"/>
  <c r="F126" i="23"/>
  <c r="F277" i="23" s="1"/>
  <c r="P127" i="23"/>
  <c r="O129" i="23"/>
  <c r="A141" i="23"/>
  <c r="J147" i="23"/>
  <c r="CD147" i="23" s="1"/>
  <c r="J148" i="23"/>
  <c r="CD148" i="23" s="1"/>
  <c r="K149" i="23"/>
  <c r="H112" i="23"/>
  <c r="M114" i="23"/>
  <c r="BR114" i="23" s="1"/>
  <c r="H115" i="23"/>
  <c r="A116" i="23"/>
  <c r="R117" i="23"/>
  <c r="E120" i="23"/>
  <c r="A121" i="23"/>
  <c r="R124" i="23"/>
  <c r="R126" i="23"/>
  <c r="L133" i="23"/>
  <c r="K135" i="23"/>
  <c r="N137" i="23"/>
  <c r="F138" i="23"/>
  <c r="F289" i="23" s="1"/>
  <c r="I142" i="23"/>
  <c r="R145" i="23"/>
  <c r="G107" i="23"/>
  <c r="A109" i="23"/>
  <c r="R109" i="23"/>
  <c r="I112" i="23"/>
  <c r="N114" i="23"/>
  <c r="F120" i="23"/>
  <c r="F271" i="23" s="1"/>
  <c r="F422" i="23" s="1"/>
  <c r="A122" i="23"/>
  <c r="A128" i="23"/>
  <c r="M135" i="23"/>
  <c r="BR135" i="23" s="1"/>
  <c r="R137" i="23"/>
  <c r="J142" i="23"/>
  <c r="CD142" i="23" s="1"/>
  <c r="N146" i="23"/>
  <c r="G172" i="23"/>
  <c r="G184" i="23"/>
  <c r="G204" i="23"/>
  <c r="G260" i="23"/>
  <c r="P142" i="23"/>
  <c r="H98" i="23"/>
  <c r="G99" i="23"/>
  <c r="F100" i="23"/>
  <c r="F251" i="23" s="1"/>
  <c r="F402" i="23" s="1"/>
  <c r="F101" i="23"/>
  <c r="F252" i="23" s="1"/>
  <c r="F403" i="23" s="1"/>
  <c r="R103" i="23"/>
  <c r="I106" i="23"/>
  <c r="A108" i="23"/>
  <c r="R108" i="23"/>
  <c r="H109" i="23"/>
  <c r="O110" i="23"/>
  <c r="P112" i="23"/>
  <c r="J113" i="23"/>
  <c r="CD113" i="23" s="1"/>
  <c r="L116" i="23"/>
  <c r="A118" i="23"/>
  <c r="L121" i="23"/>
  <c r="H122" i="23"/>
  <c r="G123" i="23"/>
  <c r="F125" i="23"/>
  <c r="F276" i="23" s="1"/>
  <c r="E126" i="23"/>
  <c r="F127" i="23"/>
  <c r="F278" i="23" s="1"/>
  <c r="J128" i="23"/>
  <c r="CD128" i="23" s="1"/>
  <c r="E131" i="23"/>
  <c r="M132" i="23"/>
  <c r="BR132" i="23" s="1"/>
  <c r="J134" i="23"/>
  <c r="CD134" i="23" s="1"/>
  <c r="K139" i="23"/>
  <c r="G140" i="23"/>
  <c r="R143" i="23"/>
  <c r="O148" i="23"/>
  <c r="F149" i="23"/>
  <c r="F300" i="23" s="1"/>
  <c r="G271" i="23"/>
  <c r="E83" i="23"/>
  <c r="F85" i="23"/>
  <c r="F236" i="23" s="1"/>
  <c r="F387" i="23" s="1"/>
  <c r="M88" i="23"/>
  <c r="BR88" i="23" s="1"/>
  <c r="H89" i="23"/>
  <c r="M91" i="23"/>
  <c r="BR91" i="23" s="1"/>
  <c r="G93" i="23"/>
  <c r="E94" i="23"/>
  <c r="A95" i="23"/>
  <c r="P95" i="23"/>
  <c r="M96" i="23"/>
  <c r="BR96" i="23" s="1"/>
  <c r="E102" i="23"/>
  <c r="F104" i="23"/>
  <c r="F255" i="23" s="1"/>
  <c r="F406" i="23" s="1"/>
  <c r="G105" i="23"/>
  <c r="N107" i="23"/>
  <c r="G111" i="23"/>
  <c r="R115" i="23"/>
  <c r="H117" i="23"/>
  <c r="R119" i="23"/>
  <c r="H125" i="23"/>
  <c r="N129" i="23"/>
  <c r="K134" i="23"/>
  <c r="K136" i="23"/>
  <c r="K144" i="23"/>
  <c r="E145" i="23"/>
  <c r="P148" i="23"/>
  <c r="G206" i="23"/>
  <c r="O114" i="23"/>
  <c r="I116" i="23"/>
  <c r="J119" i="23"/>
  <c r="CD119" i="23" s="1"/>
  <c r="O120" i="23"/>
  <c r="N124" i="23"/>
  <c r="J127" i="23"/>
  <c r="CD127" i="23" s="1"/>
  <c r="F128" i="23"/>
  <c r="F279" i="23" s="1"/>
  <c r="K140" i="23"/>
  <c r="O142" i="23"/>
  <c r="Q144" i="23"/>
  <c r="E147" i="23"/>
  <c r="H110" i="23"/>
  <c r="L112" i="23"/>
  <c r="N116" i="23"/>
  <c r="M119" i="23"/>
  <c r="BR119" i="23" s="1"/>
  <c r="I121" i="23"/>
  <c r="H123" i="23"/>
  <c r="K125" i="23"/>
  <c r="K128" i="23"/>
  <c r="F131" i="23"/>
  <c r="F282" i="23" s="1"/>
  <c r="P135" i="23"/>
  <c r="E137" i="23"/>
  <c r="E141" i="23"/>
  <c r="I145" i="23"/>
  <c r="L147" i="23"/>
  <c r="Q149" i="23"/>
  <c r="G219" i="23"/>
  <c r="G176" i="23"/>
  <c r="G254" i="23"/>
  <c r="K89" i="23"/>
  <c r="H91" i="23"/>
  <c r="N92" i="23"/>
  <c r="H93" i="23"/>
  <c r="A96" i="23"/>
  <c r="O96" i="23"/>
  <c r="P98" i="23"/>
  <c r="L99" i="23"/>
  <c r="L102" i="23"/>
  <c r="P105" i="23"/>
  <c r="N108" i="23"/>
  <c r="N109" i="23"/>
  <c r="N110" i="23"/>
  <c r="K114" i="23"/>
  <c r="I117" i="23"/>
  <c r="A119" i="23"/>
  <c r="O131" i="23"/>
  <c r="Q133" i="23"/>
  <c r="O139" i="23"/>
  <c r="E142" i="23"/>
  <c r="J146" i="23"/>
  <c r="CD146" i="23" s="1"/>
  <c r="L150" i="23"/>
  <c r="G170" i="23"/>
  <c r="G173" i="23"/>
  <c r="G233" i="23"/>
  <c r="G263" i="23"/>
  <c r="C10" i="35"/>
  <c r="M84" i="23"/>
  <c r="BR84" i="23" s="1"/>
  <c r="J86" i="23"/>
  <c r="CD86" i="23" s="1"/>
  <c r="A87" i="23"/>
  <c r="G88" i="23"/>
  <c r="P90" i="23"/>
  <c r="A94" i="23"/>
  <c r="O94" i="23"/>
  <c r="I95" i="23"/>
  <c r="J97" i="23"/>
  <c r="CD97" i="23" s="1"/>
  <c r="H100" i="23"/>
  <c r="Q101" i="23"/>
  <c r="H103" i="23"/>
  <c r="E104" i="23"/>
  <c r="A105" i="23"/>
  <c r="P106" i="23"/>
  <c r="P107" i="23"/>
  <c r="P111" i="23"/>
  <c r="H113" i="23"/>
  <c r="E116" i="23"/>
  <c r="O118" i="23"/>
  <c r="J120" i="23"/>
  <c r="CD120" i="23" s="1"/>
  <c r="Q121" i="23"/>
  <c r="G122" i="23"/>
  <c r="Q123" i="23"/>
  <c r="I124" i="23"/>
  <c r="R125" i="23"/>
  <c r="K126" i="23"/>
  <c r="P129" i="23"/>
  <c r="P132" i="23"/>
  <c r="A135" i="23"/>
  <c r="G136" i="23"/>
  <c r="P137" i="23"/>
  <c r="Q139" i="23"/>
  <c r="A140" i="23"/>
  <c r="H144" i="23"/>
  <c r="M148" i="23"/>
  <c r="BR148" i="23" s="1"/>
  <c r="G177" i="23"/>
  <c r="G243" i="23"/>
  <c r="Q126" i="23"/>
  <c r="G128" i="23"/>
  <c r="K129" i="23"/>
  <c r="R130" i="23"/>
  <c r="H131" i="23"/>
  <c r="Q132" i="23"/>
  <c r="J133" i="23"/>
  <c r="CD133" i="23" s="1"/>
  <c r="Q135" i="23"/>
  <c r="L136" i="23"/>
  <c r="L137" i="23"/>
  <c r="N139" i="23"/>
  <c r="Q140" i="23"/>
  <c r="E143" i="23"/>
  <c r="I144" i="23"/>
  <c r="Q146" i="23"/>
  <c r="G222" i="23"/>
  <c r="G247" i="23"/>
  <c r="G250" i="23"/>
  <c r="G264" i="23"/>
  <c r="M145" i="23"/>
  <c r="BR145" i="23" s="1"/>
  <c r="R146" i="23"/>
  <c r="E149" i="23"/>
  <c r="G248" i="23"/>
  <c r="G262" i="23"/>
  <c r="H120" i="23"/>
  <c r="P124" i="23"/>
  <c r="G126" i="23"/>
  <c r="Q129" i="23"/>
  <c r="L134" i="23"/>
  <c r="O143" i="23"/>
  <c r="F147" i="23"/>
  <c r="F298" i="23" s="1"/>
  <c r="G175" i="23"/>
  <c r="G178" i="23"/>
  <c r="E111" i="23"/>
  <c r="Q113" i="23"/>
  <c r="A114" i="23"/>
  <c r="F118" i="23"/>
  <c r="F269" i="23" s="1"/>
  <c r="F420" i="23" s="1"/>
  <c r="H119" i="23"/>
  <c r="J121" i="23"/>
  <c r="CD121" i="23" s="1"/>
  <c r="M123" i="23"/>
  <c r="BR123" i="23" s="1"/>
  <c r="K127" i="23"/>
  <c r="O128" i="23"/>
  <c r="R129" i="23"/>
  <c r="Q131" i="23"/>
  <c r="H132" i="23"/>
  <c r="M134" i="23"/>
  <c r="BR134" i="23" s="1"/>
  <c r="G135" i="23"/>
  <c r="E140" i="23"/>
  <c r="I141" i="23"/>
  <c r="L142" i="23"/>
  <c r="G147" i="23"/>
  <c r="K148" i="23"/>
  <c r="P149" i="23"/>
  <c r="Q150" i="23"/>
  <c r="G185" i="23"/>
  <c r="G198" i="23"/>
  <c r="G212" i="23"/>
  <c r="G266" i="23"/>
  <c r="Q98" i="23"/>
  <c r="K99" i="23"/>
  <c r="E100" i="23"/>
  <c r="R102" i="23"/>
  <c r="H104" i="23"/>
  <c r="Q105" i="23"/>
  <c r="J108" i="23"/>
  <c r="CD108" i="23" s="1"/>
  <c r="G109" i="23"/>
  <c r="F110" i="23"/>
  <c r="F261" i="23" s="1"/>
  <c r="F412" i="23" s="1"/>
  <c r="E112" i="23"/>
  <c r="Q114" i="23"/>
  <c r="F117" i="23"/>
  <c r="F268" i="23" s="1"/>
  <c r="F419" i="23" s="1"/>
  <c r="I119" i="23"/>
  <c r="I120" i="23"/>
  <c r="M122" i="23"/>
  <c r="BR122" i="23" s="1"/>
  <c r="Q124" i="23"/>
  <c r="E125" i="23"/>
  <c r="A129" i="23"/>
  <c r="R131" i="23"/>
  <c r="A136" i="23"/>
  <c r="A139" i="23"/>
  <c r="N142" i="23"/>
  <c r="P143" i="23"/>
  <c r="G188" i="23"/>
  <c r="G195" i="23"/>
  <c r="G216" i="23"/>
  <c r="H126" i="23"/>
  <c r="E127" i="23"/>
  <c r="Q128" i="23"/>
  <c r="P130" i="23"/>
  <c r="L135" i="23"/>
  <c r="Q136" i="23"/>
  <c r="H137" i="23"/>
  <c r="H141" i="23"/>
  <c r="A147" i="23"/>
  <c r="Q148" i="23"/>
  <c r="L149" i="23"/>
  <c r="G246" i="23"/>
  <c r="G249" i="23"/>
  <c r="F133" i="23"/>
  <c r="F284" i="23" s="1"/>
  <c r="R136" i="23"/>
  <c r="P139" i="23"/>
  <c r="K145" i="23"/>
  <c r="F146" i="23"/>
  <c r="F297" i="23" s="1"/>
  <c r="J150" i="23"/>
  <c r="CD150" i="23" s="1"/>
  <c r="G182" i="23"/>
  <c r="G217" i="23"/>
  <c r="R106" i="23"/>
  <c r="L107" i="23"/>
  <c r="F108" i="23"/>
  <c r="F259" i="23" s="1"/>
  <c r="F410" i="23" s="1"/>
  <c r="M109" i="23"/>
  <c r="BR109" i="23" s="1"/>
  <c r="Q111" i="23"/>
  <c r="I113" i="23"/>
  <c r="N115" i="23"/>
  <c r="G118" i="23"/>
  <c r="A120" i="23"/>
  <c r="P120" i="23"/>
  <c r="M121" i="23"/>
  <c r="BR121" i="23" s="1"/>
  <c r="L127" i="23"/>
  <c r="I128" i="23"/>
  <c r="K132" i="23"/>
  <c r="Q137" i="23"/>
  <c r="F139" i="23"/>
  <c r="F290" i="23" s="1"/>
  <c r="P146" i="23"/>
  <c r="F148" i="23"/>
  <c r="F299" i="23" s="1"/>
  <c r="G186" i="23"/>
  <c r="G205" i="23"/>
  <c r="G227" i="23"/>
  <c r="J92" i="23"/>
  <c r="CD92" i="23" s="1"/>
  <c r="A93" i="23"/>
  <c r="G94" i="23"/>
  <c r="P96" i="23"/>
  <c r="M98" i="23"/>
  <c r="BR98" i="23" s="1"/>
  <c r="J100" i="23"/>
  <c r="CD100" i="23" s="1"/>
  <c r="A101" i="23"/>
  <c r="G102" i="23"/>
  <c r="R104" i="23"/>
  <c r="L105" i="23"/>
  <c r="F106" i="23"/>
  <c r="F257" i="23" s="1"/>
  <c r="F408" i="23" s="1"/>
  <c r="I110" i="23"/>
  <c r="N112" i="23"/>
  <c r="E114" i="23"/>
  <c r="R114" i="23"/>
  <c r="O115" i="23"/>
  <c r="M116" i="23"/>
  <c r="BR116" i="23" s="1"/>
  <c r="J117" i="23"/>
  <c r="CD117" i="23" s="1"/>
  <c r="K122" i="23"/>
  <c r="I123" i="23"/>
  <c r="F124" i="23"/>
  <c r="F275" i="23" s="1"/>
  <c r="F426" i="23" s="1"/>
  <c r="Q125" i="23"/>
  <c r="O126" i="23"/>
  <c r="G129" i="23"/>
  <c r="H130" i="23"/>
  <c r="J131" i="23"/>
  <c r="CD131" i="23" s="1"/>
  <c r="M133" i="23"/>
  <c r="BR133" i="23" s="1"/>
  <c r="K138" i="23"/>
  <c r="G139" i="23"/>
  <c r="Q141" i="23"/>
  <c r="M142" i="23"/>
  <c r="BR142" i="23" s="1"/>
  <c r="I143" i="23"/>
  <c r="E144" i="23"/>
  <c r="K147" i="23"/>
  <c r="G208" i="23"/>
  <c r="G240" i="23"/>
  <c r="G244" i="23"/>
  <c r="G268" i="23"/>
  <c r="L129" i="23"/>
  <c r="F130" i="23"/>
  <c r="F281" i="23" s="1"/>
  <c r="I134" i="23"/>
  <c r="E135" i="23"/>
  <c r="R135" i="23"/>
  <c r="O137" i="23"/>
  <c r="A138" i="23"/>
  <c r="H142" i="23"/>
  <c r="A144" i="23"/>
  <c r="G145" i="23"/>
  <c r="M146" i="23"/>
  <c r="BR146" i="23" s="1"/>
  <c r="N149" i="23"/>
  <c r="A150" i="23"/>
  <c r="G225" i="23"/>
  <c r="G228" i="23"/>
  <c r="G253" i="23"/>
  <c r="I130" i="23"/>
  <c r="P131" i="23"/>
  <c r="J132" i="23"/>
  <c r="CD132" i="23" s="1"/>
  <c r="H135" i="23"/>
  <c r="P140" i="23"/>
  <c r="F141" i="23"/>
  <c r="F292" i="23" s="1"/>
  <c r="F144" i="23"/>
  <c r="F295" i="23" s="1"/>
  <c r="L148" i="23"/>
  <c r="R149" i="23"/>
  <c r="G150" i="23"/>
  <c r="G167" i="23"/>
  <c r="G203" i="23"/>
  <c r="G218" i="23"/>
  <c r="G241" i="23"/>
  <c r="P110" i="23"/>
  <c r="M112" i="23"/>
  <c r="BR112" i="23" s="1"/>
  <c r="J114" i="23"/>
  <c r="CD114" i="23" s="1"/>
  <c r="P115" i="23"/>
  <c r="J116" i="23"/>
  <c r="CD116" i="23" s="1"/>
  <c r="Q119" i="23"/>
  <c r="K120" i="23"/>
  <c r="E121" i="23"/>
  <c r="R121" i="23"/>
  <c r="L122" i="23"/>
  <c r="F123" i="23"/>
  <c r="F274" i="23" s="1"/>
  <c r="F425" i="23" s="1"/>
  <c r="M126" i="23"/>
  <c r="BR126" i="23" s="1"/>
  <c r="G127" i="23"/>
  <c r="N128" i="23"/>
  <c r="H129" i="23"/>
  <c r="A132" i="23"/>
  <c r="O132" i="23"/>
  <c r="I133" i="23"/>
  <c r="E134" i="23"/>
  <c r="R134" i="23"/>
  <c r="J136" i="23"/>
  <c r="CD136" i="23" s="1"/>
  <c r="M138" i="23"/>
  <c r="BR138" i="23" s="1"/>
  <c r="M141" i="23"/>
  <c r="BR141" i="23" s="1"/>
  <c r="G143" i="23"/>
  <c r="G146" i="23"/>
  <c r="A148" i="23"/>
  <c r="H149" i="23"/>
  <c r="N150" i="23"/>
  <c r="F151" i="23"/>
  <c r="F302" i="23" s="1"/>
  <c r="G171" i="23"/>
  <c r="G180" i="23"/>
  <c r="F105" i="23"/>
  <c r="F256" i="23" s="1"/>
  <c r="F407" i="23" s="1"/>
  <c r="R105" i="23"/>
  <c r="O107" i="23"/>
  <c r="L109" i="23"/>
  <c r="I111" i="23"/>
  <c r="F113" i="23"/>
  <c r="F264" i="23" s="1"/>
  <c r="F415" i="23" s="1"/>
  <c r="R113" i="23"/>
  <c r="Q117" i="23"/>
  <c r="K118" i="23"/>
  <c r="E119" i="23"/>
  <c r="F121" i="23"/>
  <c r="F272" i="23" s="1"/>
  <c r="F423" i="23" s="1"/>
  <c r="M124" i="23"/>
  <c r="BR124" i="23" s="1"/>
  <c r="G125" i="23"/>
  <c r="A130" i="23"/>
  <c r="O130" i="23"/>
  <c r="I131" i="23"/>
  <c r="N135" i="23"/>
  <c r="K137" i="23"/>
  <c r="R139" i="23"/>
  <c r="H140" i="23"/>
  <c r="N141" i="23"/>
  <c r="H143" i="23"/>
  <c r="M144" i="23"/>
  <c r="BR144" i="23" s="1"/>
  <c r="M147" i="23"/>
  <c r="BR147" i="23" s="1"/>
  <c r="G224" i="23"/>
  <c r="G255" i="23"/>
  <c r="G168" i="23"/>
  <c r="G187" i="23"/>
  <c r="R133" i="23"/>
  <c r="O135" i="23"/>
  <c r="H136" i="23"/>
  <c r="N138" i="23"/>
  <c r="M139" i="23"/>
  <c r="BR139" i="23" s="1"/>
  <c r="L140" i="23"/>
  <c r="K141" i="23"/>
  <c r="K142" i="23"/>
  <c r="J143" i="23"/>
  <c r="CD143" i="23" s="1"/>
  <c r="J144" i="23"/>
  <c r="CD144" i="23" s="1"/>
  <c r="I146" i="23"/>
  <c r="H147" i="23"/>
  <c r="G148" i="23"/>
  <c r="G149" i="23"/>
  <c r="G192" i="23"/>
  <c r="G230" i="23"/>
  <c r="G238" i="23"/>
  <c r="G257" i="23"/>
  <c r="I137" i="23"/>
  <c r="A142" i="23"/>
  <c r="A143" i="23"/>
  <c r="P144" i="23"/>
  <c r="G169" i="23"/>
  <c r="G193" i="23"/>
  <c r="G223" i="23"/>
  <c r="G231" i="23"/>
  <c r="G239" i="23"/>
  <c r="C7" i="35"/>
  <c r="B21" i="35"/>
  <c r="A115" i="23"/>
  <c r="G116" i="23"/>
  <c r="P118" i="23"/>
  <c r="M120" i="23"/>
  <c r="BR120" i="23" s="1"/>
  <c r="J122" i="23"/>
  <c r="CD122" i="23" s="1"/>
  <c r="A123" i="23"/>
  <c r="G124" i="23"/>
  <c r="P126" i="23"/>
  <c r="M128" i="23"/>
  <c r="BR128" i="23" s="1"/>
  <c r="J130" i="23"/>
  <c r="CD130" i="23" s="1"/>
  <c r="A131" i="23"/>
  <c r="G132" i="23"/>
  <c r="P134" i="23"/>
  <c r="G138" i="23"/>
  <c r="E139" i="23"/>
  <c r="R141" i="23"/>
  <c r="Q142" i="23"/>
  <c r="Q143" i="23"/>
  <c r="P145" i="23"/>
  <c r="O147" i="23"/>
  <c r="N148" i="23"/>
  <c r="M149" i="23"/>
  <c r="BR149" i="23" s="1"/>
  <c r="M150" i="23"/>
  <c r="BR150" i="23" s="1"/>
  <c r="G179" i="23"/>
  <c r="G245" i="23"/>
  <c r="C9" i="35"/>
  <c r="G183" i="23"/>
  <c r="G226" i="23"/>
  <c r="M140" i="23"/>
  <c r="BR140" i="23" s="1"/>
  <c r="G141" i="23"/>
  <c r="N144" i="23"/>
  <c r="A146" i="23"/>
  <c r="O146" i="23"/>
  <c r="I147" i="23"/>
  <c r="P150" i="23"/>
  <c r="G194" i="23"/>
  <c r="G209" i="23"/>
  <c r="G214" i="23"/>
  <c r="G236" i="23"/>
  <c r="G251" i="23"/>
  <c r="E138" i="23"/>
  <c r="R140" i="23"/>
  <c r="L141" i="23"/>
  <c r="M143" i="23"/>
  <c r="BR143" i="23" s="1"/>
  <c r="G144" i="23"/>
  <c r="N147" i="23"/>
  <c r="H148" i="23"/>
  <c r="A149" i="23"/>
  <c r="O149" i="23"/>
  <c r="I150" i="23"/>
  <c r="G199" i="23"/>
  <c r="G215" i="23"/>
  <c r="G220" i="23"/>
  <c r="C11" i="35"/>
  <c r="E136" i="23"/>
  <c r="R138" i="23"/>
  <c r="L139" i="23"/>
  <c r="F140" i="23"/>
  <c r="F291" i="23" s="1"/>
  <c r="G142" i="23"/>
  <c r="N145" i="23"/>
  <c r="H146" i="23"/>
  <c r="G151" i="23"/>
  <c r="G174" i="23"/>
  <c r="G197" i="23"/>
  <c r="G242" i="23"/>
  <c r="G252" i="23"/>
  <c r="G210" i="23"/>
  <c r="G234" i="23"/>
  <c r="G258" i="23"/>
  <c r="G269" i="23"/>
  <c r="G267" i="23"/>
  <c r="G213" i="23"/>
  <c r="G237" i="23"/>
  <c r="G261" i="23"/>
  <c r="G270" i="23"/>
  <c r="G14" i="25"/>
  <c r="C8" i="35"/>
  <c r="O136" i="23"/>
  <c r="L138" i="23"/>
  <c r="I140" i="23"/>
  <c r="F142" i="23"/>
  <c r="F293" i="23" s="1"/>
  <c r="R142" i="23"/>
  <c r="O144" i="23"/>
  <c r="L146" i="23"/>
  <c r="I148" i="23"/>
  <c r="F150" i="23"/>
  <c r="F301" i="23" s="1"/>
  <c r="R150" i="23"/>
  <c r="G211" i="23"/>
  <c r="G235" i="23"/>
  <c r="G259" i="23"/>
  <c r="F33" i="10"/>
  <c r="F26" i="19"/>
  <c r="I1" i="14"/>
  <c r="J1" i="14" s="1"/>
  <c r="B117" i="10" s="1"/>
  <c r="F117" i="10" s="1"/>
  <c r="N68" i="5"/>
  <c r="Q61" i="5"/>
  <c r="Q63" i="5" s="1"/>
  <c r="B51" i="19"/>
  <c r="F108" i="10"/>
  <c r="C17" i="19"/>
  <c r="B17" i="19"/>
  <c r="B43" i="19"/>
  <c r="M19" i="22"/>
  <c r="L19" i="22" s="1"/>
  <c r="H19" i="22"/>
  <c r="B20" i="32"/>
  <c r="B11" i="32"/>
  <c r="B5" i="32"/>
  <c r="B16" i="32"/>
  <c r="B2" i="24"/>
  <c r="B13" i="32"/>
  <c r="B9" i="32"/>
  <c r="B3" i="32"/>
  <c r="B7" i="32"/>
  <c r="C13" i="9"/>
  <c r="E13" i="9" s="1"/>
  <c r="B133" i="16"/>
  <c r="B8" i="42" s="1"/>
  <c r="P18" i="5"/>
  <c r="P34" i="5" s="1"/>
  <c r="B100" i="10"/>
  <c r="B12" i="10"/>
  <c r="F12" i="10" s="1"/>
  <c r="B13" i="10"/>
  <c r="F13" i="10" s="1"/>
  <c r="C43" i="19"/>
  <c r="H69" i="22"/>
  <c r="L19" i="5"/>
  <c r="L68" i="5" s="1"/>
  <c r="L70" i="5" s="1"/>
  <c r="B113" i="10" s="1"/>
  <c r="F113" i="10" s="1"/>
  <c r="B96" i="10"/>
  <c r="F96" i="10" s="1"/>
  <c r="B63" i="19"/>
  <c r="M36" i="22"/>
  <c r="L36" i="22" s="1"/>
  <c r="H36" i="22"/>
  <c r="B97" i="10"/>
  <c r="F97" i="10" s="1"/>
  <c r="C11" i="19"/>
  <c r="B11" i="19"/>
  <c r="H9" i="22"/>
  <c r="C40" i="22"/>
  <c r="D11" i="19"/>
  <c r="M33" i="22"/>
  <c r="L33" i="22" s="1"/>
  <c r="M43" i="22"/>
  <c r="L43" i="22" s="1"/>
  <c r="H43" i="22"/>
  <c r="M59" i="22"/>
  <c r="L59" i="22" s="1"/>
  <c r="M76" i="22"/>
  <c r="L76" i="22" s="1"/>
  <c r="H134" i="22"/>
  <c r="M12" i="22"/>
  <c r="L12" i="22" s="1"/>
  <c r="H12" i="22"/>
  <c r="D8" i="36"/>
  <c r="C8" i="36"/>
  <c r="E8" i="36" s="1"/>
  <c r="D129" i="16"/>
  <c r="C59" i="16"/>
  <c r="D127" i="16"/>
  <c r="C62" i="19"/>
  <c r="F56" i="19" s="1"/>
  <c r="B62" i="19"/>
  <c r="M93" i="22"/>
  <c r="L93" i="22" s="1"/>
  <c r="M144" i="22"/>
  <c r="L144" i="22" s="1"/>
  <c r="B45" i="19"/>
  <c r="F100" i="10"/>
  <c r="B4" i="16"/>
  <c r="B183" i="16" s="1"/>
  <c r="C20" i="19"/>
  <c r="C37" i="19"/>
  <c r="B56" i="19"/>
  <c r="B67" i="19"/>
  <c r="B22" i="10"/>
  <c r="F142" i="10"/>
  <c r="D37" i="19"/>
  <c r="H7" i="22"/>
  <c r="M7" i="22"/>
  <c r="L7" i="22" s="1"/>
  <c r="M23" i="22"/>
  <c r="L23" i="22" s="1"/>
  <c r="M91" i="22"/>
  <c r="L91" i="22" s="1"/>
  <c r="H91" i="22"/>
  <c r="H118" i="22"/>
  <c r="B8" i="10"/>
  <c r="B9" i="10" s="1"/>
  <c r="F9" i="10" s="1"/>
  <c r="C15" i="16"/>
  <c r="D67" i="19"/>
  <c r="H57" i="22"/>
  <c r="C68" i="19"/>
  <c r="B68" i="19"/>
  <c r="M24" i="22"/>
  <c r="L24" i="22" s="1"/>
  <c r="H24" i="22"/>
  <c r="M108" i="22"/>
  <c r="L108" i="22" s="1"/>
  <c r="B12" i="19"/>
  <c r="B33" i="19"/>
  <c r="B57" i="19"/>
  <c r="B90" i="10"/>
  <c r="B45" i="39" s="1"/>
  <c r="M21" i="22"/>
  <c r="L21" i="22" s="1"/>
  <c r="H31" i="22"/>
  <c r="M31" i="22"/>
  <c r="L31" i="22" s="1"/>
  <c r="M47" i="22"/>
  <c r="L47" i="22" s="1"/>
  <c r="H81" i="22"/>
  <c r="M98" i="22"/>
  <c r="L98" i="22" s="1"/>
  <c r="C129" i="22"/>
  <c r="M129" i="22"/>
  <c r="L129" i="22" s="1"/>
  <c r="M64" i="22"/>
  <c r="L64" i="22" s="1"/>
  <c r="M119" i="22"/>
  <c r="L119" i="22" s="1"/>
  <c r="H119" i="22"/>
  <c r="B49" i="19"/>
  <c r="D66" i="19"/>
  <c r="D60" i="19"/>
  <c r="D14" i="19"/>
  <c r="D65" i="19"/>
  <c r="D18" i="19"/>
  <c r="D69" i="19"/>
  <c r="D57" i="19"/>
  <c r="D63" i="19"/>
  <c r="D36" i="19"/>
  <c r="D32" i="19"/>
  <c r="D28" i="19"/>
  <c r="E26" i="19" s="1"/>
  <c r="D59" i="19"/>
  <c r="D53" i="19"/>
  <c r="D47" i="19"/>
  <c r="D23" i="19"/>
  <c r="D41" i="19"/>
  <c r="D13" i="19"/>
  <c r="D17" i="19"/>
  <c r="D52" i="19"/>
  <c r="D46" i="19"/>
  <c r="D64" i="19"/>
  <c r="D58" i="19"/>
  <c r="D35" i="19"/>
  <c r="D31" i="19"/>
  <c r="D27" i="19"/>
  <c r="D22" i="19"/>
  <c r="D39" i="19"/>
  <c r="D12" i="19"/>
  <c r="D51" i="19"/>
  <c r="D45" i="19"/>
  <c r="D56" i="19"/>
  <c r="D20" i="19"/>
  <c r="D15" i="19"/>
  <c r="B39" i="19"/>
  <c r="C39" i="19"/>
  <c r="H21" i="22"/>
  <c r="M71" i="22"/>
  <c r="L71" i="22" s="1"/>
  <c r="M88" i="22"/>
  <c r="L88" i="22" s="1"/>
  <c r="B6" i="16"/>
  <c r="B5" i="16"/>
  <c r="B16" i="24" s="1"/>
  <c r="B168" i="16"/>
  <c r="B113" i="16"/>
  <c r="B31" i="16"/>
  <c r="B30" i="16"/>
  <c r="B23" i="16"/>
  <c r="B29" i="19"/>
  <c r="D49" i="19"/>
  <c r="M45" i="22"/>
  <c r="L45" i="22" s="1"/>
  <c r="M55" i="22"/>
  <c r="L55" i="22" s="1"/>
  <c r="H55" i="22"/>
  <c r="M147" i="22"/>
  <c r="L147" i="22" s="1"/>
  <c r="H147" i="22"/>
  <c r="B99" i="10"/>
  <c r="O18" i="5"/>
  <c r="O68" i="5" s="1"/>
  <c r="C134" i="16"/>
  <c r="F32" i="10"/>
  <c r="M60" i="22"/>
  <c r="L60" i="22" s="1"/>
  <c r="H60" i="22"/>
  <c r="F99" i="10"/>
  <c r="B62" i="16"/>
  <c r="B72" i="16" s="1"/>
  <c r="M72" i="22"/>
  <c r="L72" i="22" s="1"/>
  <c r="H72" i="22"/>
  <c r="M106" i="22"/>
  <c r="L106" i="22" s="1"/>
  <c r="C106" i="22"/>
  <c r="H150" i="22"/>
  <c r="M150" i="22"/>
  <c r="L150" i="22" s="1"/>
  <c r="B98" i="10"/>
  <c r="F98" i="10" s="1"/>
  <c r="M16" i="22"/>
  <c r="L16" i="22" s="1"/>
  <c r="M101" i="22"/>
  <c r="L101" i="22" s="1"/>
  <c r="H101" i="22"/>
  <c r="H67" i="22"/>
  <c r="M67" i="22"/>
  <c r="L67" i="22" s="1"/>
  <c r="M84" i="22"/>
  <c r="L84" i="22" s="1"/>
  <c r="H84" i="22"/>
  <c r="H145" i="22"/>
  <c r="M145" i="22"/>
  <c r="L145" i="22" s="1"/>
  <c r="B98" i="16"/>
  <c r="C14" i="11" s="1"/>
  <c r="B111" i="16"/>
  <c r="M48" i="22"/>
  <c r="L48" i="22" s="1"/>
  <c r="H48" i="22"/>
  <c r="E26" i="33"/>
  <c r="B142" i="10" s="1"/>
  <c r="B127" i="16"/>
  <c r="B3" i="12"/>
  <c r="F15" i="10"/>
  <c r="D29" i="19"/>
  <c r="F41" i="19"/>
  <c r="B61" i="19"/>
  <c r="M11" i="22"/>
  <c r="L11" i="22" s="1"/>
  <c r="M96" i="22"/>
  <c r="L96" i="22" s="1"/>
  <c r="H96" i="22"/>
  <c r="D34" i="19"/>
  <c r="D50" i="19"/>
  <c r="M5" i="22"/>
  <c r="L5" i="22" s="1"/>
  <c r="H5" i="22"/>
  <c r="M28" i="22"/>
  <c r="L28" i="22" s="1"/>
  <c r="H45" i="22"/>
  <c r="H79" i="22"/>
  <c r="M79" i="22"/>
  <c r="L79" i="22" s="1"/>
  <c r="M137" i="22"/>
  <c r="L137" i="22" s="1"/>
  <c r="H137" i="22"/>
  <c r="D5" i="2"/>
  <c r="B22" i="11"/>
  <c r="M116" i="22"/>
  <c r="L116" i="22" s="1"/>
  <c r="B4" i="24"/>
  <c r="B130" i="10" s="1"/>
  <c r="B10" i="10" s="1"/>
  <c r="B11" i="10" s="1"/>
  <c r="C3" i="40"/>
  <c r="C2" i="40"/>
  <c r="H3" i="22"/>
  <c r="H17" i="22"/>
  <c r="H29" i="22"/>
  <c r="H41" i="22"/>
  <c r="H53" i="22"/>
  <c r="H65" i="22"/>
  <c r="H77" i="22"/>
  <c r="H89" i="22"/>
  <c r="H99" i="22"/>
  <c r="H109" i="22"/>
  <c r="H132" i="22"/>
  <c r="A25" i="11"/>
  <c r="A26" i="11" s="1"/>
  <c r="B13" i="19"/>
  <c r="H94" i="22"/>
  <c r="BV2" i="23"/>
  <c r="D59" i="16"/>
  <c r="B18" i="19"/>
  <c r="B59" i="19"/>
  <c r="B65" i="19"/>
  <c r="B23" i="19"/>
  <c r="M114" i="22"/>
  <c r="L114" i="22" s="1"/>
  <c r="H117" i="22"/>
  <c r="H135" i="22"/>
  <c r="H140" i="22"/>
  <c r="B21" i="24"/>
  <c r="B20" i="24"/>
  <c r="B32" i="19"/>
  <c r="B36" i="19"/>
  <c r="H107" i="22"/>
  <c r="E18" i="11"/>
  <c r="B32" i="16"/>
  <c r="C28" i="19"/>
  <c r="C12" i="9"/>
  <c r="E12" i="9" s="1"/>
  <c r="B26" i="11"/>
  <c r="B14" i="19"/>
  <c r="B60" i="19"/>
  <c r="B66" i="19"/>
  <c r="H97" i="22"/>
  <c r="B18" i="11"/>
  <c r="C11" i="9"/>
  <c r="E11" i="9" s="1"/>
  <c r="A8" i="1"/>
  <c r="B14" i="13"/>
  <c r="B19" i="19"/>
  <c r="B42" i="19"/>
  <c r="B48" i="19"/>
  <c r="B54" i="19"/>
  <c r="C11" i="36"/>
  <c r="B4" i="39"/>
  <c r="B36" i="24"/>
  <c r="A1" i="1"/>
  <c r="B8" i="1"/>
  <c r="E26" i="11"/>
  <c r="M123" i="22"/>
  <c r="L123" i="22" s="1"/>
  <c r="M128" i="22"/>
  <c r="L128" i="22" s="1"/>
  <c r="AG239" i="23"/>
  <c r="AF239" i="23"/>
  <c r="AH239" i="23"/>
  <c r="AH223" i="23"/>
  <c r="AG223" i="23"/>
  <c r="AF223" i="23"/>
  <c r="AH236" i="23"/>
  <c r="AG236" i="23"/>
  <c r="AF236" i="23"/>
  <c r="BE179" i="23"/>
  <c r="AH179" i="23"/>
  <c r="AG179" i="23"/>
  <c r="AF179" i="23"/>
  <c r="AG189" i="23"/>
  <c r="AH189" i="23"/>
  <c r="AF189" i="23"/>
  <c r="BE189" i="23"/>
  <c r="AH204" i="23"/>
  <c r="AG204" i="23"/>
  <c r="AF204" i="23"/>
  <c r="AH244" i="23"/>
  <c r="AG244" i="23"/>
  <c r="AF244" i="23"/>
  <c r="AH178" i="23"/>
  <c r="AG178" i="23"/>
  <c r="BE178" i="23"/>
  <c r="AF178" i="23"/>
  <c r="AH203" i="23"/>
  <c r="AG203" i="23"/>
  <c r="AF203" i="23"/>
  <c r="BE167" i="23"/>
  <c r="AH167" i="23"/>
  <c r="AG167" i="23"/>
  <c r="AF167" i="23"/>
  <c r="AF199" i="23"/>
  <c r="BE199" i="23"/>
  <c r="AG199" i="23"/>
  <c r="AH199" i="23"/>
  <c r="AH173" i="23"/>
  <c r="AG173" i="23"/>
  <c r="AF173" i="23"/>
  <c r="BE173" i="23"/>
  <c r="AH209" i="23"/>
  <c r="AG209" i="23"/>
  <c r="AG228" i="23"/>
  <c r="AF228" i="23"/>
  <c r="AH228" i="23"/>
  <c r="AF180" i="23"/>
  <c r="AH180" i="23"/>
  <c r="AG180" i="23"/>
  <c r="AH182" i="23"/>
  <c r="BE182" i="23"/>
  <c r="AF169" i="23"/>
  <c r="BE169" i="23"/>
  <c r="AH169" i="23"/>
  <c r="AG169" i="23"/>
  <c r="AG170" i="23"/>
  <c r="AH170" i="23"/>
  <c r="AF170" i="23"/>
  <c r="AH225" i="23"/>
  <c r="AG225" i="23"/>
  <c r="AG233" i="23"/>
  <c r="AF233" i="23"/>
  <c r="AG240" i="23"/>
  <c r="AH240" i="23"/>
  <c r="AF240" i="23"/>
  <c r="AG210" i="23"/>
  <c r="AF210" i="23"/>
  <c r="AH220" i="23"/>
  <c r="AF220" i="23"/>
  <c r="BE202" i="23"/>
  <c r="AH202" i="23"/>
  <c r="AG202" i="23"/>
  <c r="AF202" i="23"/>
  <c r="AG246" i="23"/>
  <c r="AF246" i="23"/>
  <c r="AH235" i="23"/>
  <c r="AG235" i="23"/>
  <c r="AF235" i="23"/>
  <c r="AH196" i="23"/>
  <c r="AG196" i="23"/>
  <c r="BE196" i="23"/>
  <c r="AH259" i="23"/>
  <c r="AG259" i="23"/>
  <c r="AF259" i="23"/>
  <c r="BE193" i="23"/>
  <c r="AF193" i="23"/>
  <c r="AH193" i="23"/>
  <c r="AF218" i="23"/>
  <c r="AH218" i="23"/>
  <c r="AG264" i="23"/>
  <c r="AF264" i="23"/>
  <c r="AF237" i="23"/>
  <c r="AH237" i="23"/>
  <c r="AG237" i="23"/>
  <c r="AF266" i="23"/>
  <c r="AH266" i="23"/>
  <c r="AG266" i="23"/>
  <c r="AF271" i="23"/>
  <c r="AH271" i="23"/>
  <c r="AH226" i="23"/>
  <c r="AG226" i="23"/>
  <c r="AF258" i="23"/>
  <c r="AG271" i="23"/>
  <c r="AH213" i="23"/>
  <c r="AG213" i="23"/>
  <c r="AH192" i="23"/>
  <c r="AG192" i="23"/>
  <c r="AF192" i="23"/>
  <c r="AF213" i="23"/>
  <c r="AF217" i="23"/>
  <c r="AF257" i="23"/>
  <c r="AH177" i="23"/>
  <c r="AG177" i="23"/>
  <c r="BE181" i="23"/>
  <c r="AH181" i="23"/>
  <c r="AG187" i="23"/>
  <c r="AG257" i="23"/>
  <c r="AF177" i="23"/>
  <c r="AF181" i="23"/>
  <c r="AH187" i="23"/>
  <c r="AG190" i="23"/>
  <c r="AF190" i="23"/>
  <c r="BE190" i="23"/>
  <c r="AF194" i="23"/>
  <c r="AG215" i="23"/>
  <c r="AH245" i="23"/>
  <c r="AF245" i="23"/>
  <c r="AH191" i="23"/>
  <c r="AG191" i="23"/>
  <c r="AF191" i="23"/>
  <c r="AH221" i="23"/>
  <c r="AF221" i="23"/>
  <c r="AH269" i="23"/>
  <c r="AG269" i="23"/>
  <c r="AG184" i="23"/>
  <c r="AF184" i="23"/>
  <c r="AH184" i="23"/>
  <c r="AF201" i="23"/>
  <c r="AF234" i="23"/>
  <c r="AG222" i="23"/>
  <c r="AF222" i="23"/>
  <c r="AH241" i="23"/>
  <c r="AG241" i="23"/>
  <c r="A2" i="5" a="1"/>
  <c r="E2" i="5" a="1"/>
  <c r="C2" i="5" a="1"/>
  <c r="G2" i="5" a="1"/>
  <c r="I2" i="5" a="1"/>
  <c r="B14" i="9" l="1"/>
  <c r="B42" i="24"/>
  <c r="B1" i="30"/>
  <c r="C21" i="11" s="1"/>
  <c r="B51" i="10" s="1"/>
  <c r="F51" i="10" s="1"/>
  <c r="F130" i="10"/>
  <c r="B5" i="24"/>
  <c r="B8" i="24"/>
  <c r="A27" i="11"/>
  <c r="A28" i="11" s="1"/>
  <c r="A29" i="11" s="1"/>
  <c r="BR4" i="23"/>
  <c r="B137" i="16" s="1"/>
  <c r="F153" i="23"/>
  <c r="F152" i="23" s="1"/>
  <c r="Z274" i="23"/>
  <c r="BS274" i="23"/>
  <c r="Y274" i="23"/>
  <c r="BB274" i="23"/>
  <c r="Z233" i="23"/>
  <c r="Y233" i="23"/>
  <c r="BS233" i="23"/>
  <c r="BB233" i="23"/>
  <c r="Z216" i="23"/>
  <c r="Y216" i="23"/>
  <c r="BS216" i="23"/>
  <c r="BB216" i="23"/>
  <c r="Y242" i="23"/>
  <c r="BS242" i="23"/>
  <c r="Z242" i="23"/>
  <c r="BB242" i="23"/>
  <c r="BS235" i="23"/>
  <c r="BB235" i="23"/>
  <c r="Z235" i="23"/>
  <c r="Y235" i="23"/>
  <c r="Z238" i="23"/>
  <c r="Y238" i="23"/>
  <c r="BS238" i="23"/>
  <c r="BB238" i="23"/>
  <c r="Z248" i="23"/>
  <c r="BS248" i="23"/>
  <c r="Y248" i="23"/>
  <c r="BB248" i="23"/>
  <c r="Z193" i="23"/>
  <c r="Y193" i="23"/>
  <c r="BB193" i="23"/>
  <c r="BS193" i="23"/>
  <c r="BB182" i="23"/>
  <c r="Y182" i="23"/>
  <c r="BS182" i="23"/>
  <c r="Z182" i="23"/>
  <c r="BB212" i="23"/>
  <c r="Z212" i="23"/>
  <c r="Y212" i="23"/>
  <c r="BS212" i="23"/>
  <c r="BB186" i="23"/>
  <c r="Z186" i="23"/>
  <c r="Y186" i="23"/>
  <c r="BS186" i="23"/>
  <c r="BB191" i="23"/>
  <c r="Y191" i="23"/>
  <c r="BS191" i="23"/>
  <c r="Z191" i="23"/>
  <c r="Z177" i="23"/>
  <c r="Y177" i="23"/>
  <c r="BB177" i="23"/>
  <c r="BS177" i="23"/>
  <c r="Z189" i="23"/>
  <c r="Y189" i="23"/>
  <c r="BS189" i="23"/>
  <c r="BB189" i="23"/>
  <c r="BS227" i="23"/>
  <c r="Z227" i="23"/>
  <c r="Y227" i="23"/>
  <c r="BB227" i="23"/>
  <c r="Z257" i="23"/>
  <c r="Y257" i="23"/>
  <c r="BS257" i="23"/>
  <c r="BB257" i="23"/>
  <c r="Z241" i="23"/>
  <c r="Y241" i="23"/>
  <c r="BS241" i="23"/>
  <c r="BB241" i="23"/>
  <c r="BB176" i="23"/>
  <c r="Z176" i="23"/>
  <c r="Y176" i="23"/>
  <c r="BS176" i="23"/>
  <c r="Z228" i="23"/>
  <c r="Y228" i="23"/>
  <c r="BS228" i="23"/>
  <c r="BB228" i="23"/>
  <c r="BB244" i="23"/>
  <c r="Z244" i="23"/>
  <c r="Y244" i="23"/>
  <c r="BS244" i="23"/>
  <c r="Z179" i="23"/>
  <c r="Y179" i="23"/>
  <c r="BS179" i="23"/>
  <c r="BB179" i="23"/>
  <c r="BS183" i="23"/>
  <c r="Z183" i="23"/>
  <c r="BB183" i="23"/>
  <c r="Y183" i="23"/>
  <c r="Y267" i="23"/>
  <c r="BS267" i="23"/>
  <c r="BB267" i="23"/>
  <c r="Z267" i="23"/>
  <c r="Y251" i="23"/>
  <c r="BS251" i="23"/>
  <c r="Z251" i="23"/>
  <c r="BB251" i="23"/>
  <c r="BB225" i="23"/>
  <c r="BS225" i="23"/>
  <c r="Z225" i="23"/>
  <c r="Y225" i="23"/>
  <c r="Z204" i="23"/>
  <c r="Y204" i="23"/>
  <c r="BS204" i="23"/>
  <c r="BB204" i="23"/>
  <c r="Z239" i="23"/>
  <c r="BS239" i="23"/>
  <c r="Y239" i="23"/>
  <c r="BB239" i="23"/>
  <c r="BB172" i="23"/>
  <c r="Z172" i="23"/>
  <c r="BS172" i="23"/>
  <c r="Y172" i="23"/>
  <c r="BB250" i="23"/>
  <c r="Z250" i="23"/>
  <c r="Y250" i="23"/>
  <c r="BS250" i="23"/>
  <c r="Y224" i="23"/>
  <c r="BS224" i="23"/>
  <c r="BB224" i="23"/>
  <c r="Z224" i="23"/>
  <c r="Z266" i="23"/>
  <c r="Y266" i="23"/>
  <c r="BS266" i="23"/>
  <c r="BB266" i="23"/>
  <c r="BB171" i="23"/>
  <c r="Z171" i="23"/>
  <c r="BS171" i="23"/>
  <c r="Y171" i="23"/>
  <c r="Z180" i="23"/>
  <c r="Y180" i="23"/>
  <c r="BS180" i="23"/>
  <c r="BB180" i="23"/>
  <c r="BB271" i="23"/>
  <c r="BS271" i="23"/>
  <c r="Z271" i="23"/>
  <c r="Y271" i="23"/>
  <c r="BB259" i="23"/>
  <c r="BS259" i="23"/>
  <c r="Z259" i="23"/>
  <c r="Y259" i="23"/>
  <c r="Z229" i="23"/>
  <c r="Y229" i="23"/>
  <c r="BS229" i="23"/>
  <c r="BB229" i="23"/>
  <c r="Z245" i="23"/>
  <c r="Y245" i="23"/>
  <c r="BS245" i="23"/>
  <c r="BB245" i="23"/>
  <c r="Z174" i="23"/>
  <c r="Y174" i="23"/>
  <c r="BS174" i="23"/>
  <c r="BB174" i="23"/>
  <c r="BS175" i="23"/>
  <c r="Z175" i="23"/>
  <c r="Y175" i="23"/>
  <c r="BB175" i="23"/>
  <c r="BB260" i="23"/>
  <c r="Z260" i="23"/>
  <c r="Y260" i="23"/>
  <c r="BS260" i="23"/>
  <c r="BB243" i="23"/>
  <c r="Z243" i="23"/>
  <c r="Y243" i="23"/>
  <c r="BS243" i="23"/>
  <c r="Y203" i="23"/>
  <c r="BS203" i="23"/>
  <c r="BB203" i="23"/>
  <c r="Z203" i="23"/>
  <c r="BB201" i="23"/>
  <c r="Z201" i="23"/>
  <c r="Y201" i="23"/>
  <c r="BS201" i="23"/>
  <c r="Z200" i="23"/>
  <c r="BS200" i="23"/>
  <c r="Y200" i="23"/>
  <c r="BB200" i="23"/>
  <c r="Z221" i="23"/>
  <c r="Y221" i="23"/>
  <c r="BB221" i="23"/>
  <c r="BS221" i="23"/>
  <c r="BB218" i="23"/>
  <c r="Z218" i="23"/>
  <c r="Y218" i="23"/>
  <c r="BS218" i="23"/>
  <c r="Y220" i="23"/>
  <c r="BS220" i="23"/>
  <c r="BB220" i="23"/>
  <c r="Z220" i="23"/>
  <c r="Z210" i="23"/>
  <c r="Y210" i="23"/>
  <c r="BS210" i="23"/>
  <c r="BB210" i="23"/>
  <c r="BB202" i="23"/>
  <c r="Z202" i="23"/>
  <c r="BS202" i="23"/>
  <c r="Y202" i="23"/>
  <c r="Z208" i="23"/>
  <c r="BS208" i="23"/>
  <c r="Y208" i="23"/>
  <c r="BB208" i="23"/>
  <c r="Z222" i="23"/>
  <c r="Y222" i="23"/>
  <c r="BS222" i="23"/>
  <c r="BB222" i="23"/>
  <c r="Z170" i="23"/>
  <c r="Y170" i="23"/>
  <c r="BS170" i="23"/>
  <c r="BB170" i="23"/>
  <c r="Z169" i="23"/>
  <c r="Y169" i="23"/>
  <c r="BS169" i="23"/>
  <c r="BB169" i="23"/>
  <c r="Z256" i="23"/>
  <c r="BS256" i="23"/>
  <c r="Y256" i="23"/>
  <c r="BB256" i="23"/>
  <c r="Z219" i="23"/>
  <c r="BB219" i="23"/>
  <c r="Y219" i="23"/>
  <c r="BS219" i="23"/>
  <c r="BB237" i="23"/>
  <c r="Z237" i="23"/>
  <c r="Y237" i="23"/>
  <c r="BS237" i="23"/>
  <c r="Z194" i="23"/>
  <c r="Y194" i="23"/>
  <c r="BS194" i="23"/>
  <c r="BB194" i="23"/>
  <c r="Z205" i="23"/>
  <c r="Y205" i="23"/>
  <c r="BS205" i="23"/>
  <c r="BB205" i="23"/>
  <c r="Z173" i="23"/>
  <c r="Y173" i="23"/>
  <c r="BS173" i="23"/>
  <c r="BB173" i="23"/>
  <c r="Y181" i="23"/>
  <c r="BS181" i="23"/>
  <c r="BB181" i="23"/>
  <c r="Z181" i="23"/>
  <c r="BS190" i="23"/>
  <c r="Y190" i="23"/>
  <c r="Z190" i="23"/>
  <c r="BB190" i="23"/>
  <c r="BB167" i="23"/>
  <c r="Z167" i="23"/>
  <c r="Y167" i="23"/>
  <c r="BS167" i="23"/>
  <c r="Y263" i="23"/>
  <c r="BS263" i="23"/>
  <c r="BB263" i="23"/>
  <c r="Z263" i="23"/>
  <c r="Z232" i="23"/>
  <c r="BS232" i="23"/>
  <c r="Y232" i="23"/>
  <c r="BB232" i="23"/>
  <c r="BB231" i="23"/>
  <c r="Z231" i="23"/>
  <c r="Y231" i="23"/>
  <c r="BS231" i="23"/>
  <c r="BS196" i="23"/>
  <c r="BB196" i="23"/>
  <c r="Z196" i="23"/>
  <c r="Y196" i="23"/>
  <c r="BB192" i="23"/>
  <c r="BS192" i="23"/>
  <c r="Z192" i="23"/>
  <c r="Y192" i="23"/>
  <c r="BB264" i="23"/>
  <c r="Y264" i="23"/>
  <c r="Z264" i="23"/>
  <c r="BS264" i="23"/>
  <c r="BS198" i="23"/>
  <c r="Z198" i="23"/>
  <c r="Y198" i="23"/>
  <c r="BB198" i="23"/>
  <c r="Z255" i="23"/>
  <c r="BS255" i="23"/>
  <c r="Y255" i="23"/>
  <c r="BB255" i="23"/>
  <c r="BS236" i="23"/>
  <c r="BB236" i="23"/>
  <c r="Z236" i="23"/>
  <c r="Y236" i="23"/>
  <c r="Y211" i="23"/>
  <c r="BS211" i="23"/>
  <c r="Z211" i="23"/>
  <c r="BB211" i="23"/>
  <c r="Z215" i="23"/>
  <c r="Y215" i="23"/>
  <c r="BS215" i="23"/>
  <c r="BB215" i="23"/>
  <c r="BB272" i="23"/>
  <c r="Z272" i="23"/>
  <c r="Y272" i="23"/>
  <c r="BS272" i="23"/>
  <c r="Z234" i="23"/>
  <c r="Y234" i="23"/>
  <c r="BS234" i="23"/>
  <c r="BB234" i="23"/>
  <c r="BB249" i="23"/>
  <c r="Z249" i="23"/>
  <c r="Y249" i="23"/>
  <c r="BS249" i="23"/>
  <c r="BS258" i="23"/>
  <c r="Z258" i="23"/>
  <c r="Y258" i="23"/>
  <c r="BB258" i="23"/>
  <c r="BB275" i="23"/>
  <c r="BS275" i="23"/>
  <c r="Z275" i="23"/>
  <c r="Y275" i="23"/>
  <c r="Z223" i="23"/>
  <c r="Y223" i="23"/>
  <c r="BS223" i="23"/>
  <c r="BB223" i="23"/>
  <c r="Z252" i="23"/>
  <c r="BS252" i="23"/>
  <c r="Y252" i="23"/>
  <c r="BB252" i="23"/>
  <c r="BS230" i="23"/>
  <c r="Y230" i="23"/>
  <c r="BB230" i="23"/>
  <c r="Z230" i="23"/>
  <c r="Z246" i="23"/>
  <c r="BS246" i="23"/>
  <c r="BB246" i="23"/>
  <c r="Y246" i="23"/>
  <c r="BS188" i="23"/>
  <c r="Y188" i="23"/>
  <c r="Z188" i="23"/>
  <c r="BB188" i="23"/>
  <c r="BS217" i="23"/>
  <c r="BB217" i="23"/>
  <c r="Z217" i="23"/>
  <c r="Y217" i="23"/>
  <c r="BB207" i="23"/>
  <c r="Z207" i="23"/>
  <c r="Y207" i="23"/>
  <c r="BS207" i="23"/>
  <c r="Z214" i="23"/>
  <c r="BS214" i="23"/>
  <c r="Y214" i="23"/>
  <c r="BB214" i="23"/>
  <c r="BB187" i="23"/>
  <c r="Z187" i="23"/>
  <c r="Y187" i="23"/>
  <c r="BS187" i="23"/>
  <c r="Z168" i="23"/>
  <c r="BS168" i="23"/>
  <c r="Y168" i="23"/>
  <c r="BB168" i="23"/>
  <c r="Z268" i="23"/>
  <c r="Y268" i="23"/>
  <c r="BS268" i="23"/>
  <c r="BB268" i="23"/>
  <c r="BB254" i="23"/>
  <c r="Z254" i="23"/>
  <c r="Y254" i="23"/>
  <c r="BS254" i="23"/>
  <c r="BB226" i="23"/>
  <c r="Z226" i="23"/>
  <c r="BS226" i="23"/>
  <c r="Y226" i="23"/>
  <c r="BS270" i="23"/>
  <c r="BB270" i="23"/>
  <c r="Y270" i="23"/>
  <c r="Z270" i="23"/>
  <c r="Z269" i="23"/>
  <c r="Y269" i="23"/>
  <c r="BS269" i="23"/>
  <c r="BB269" i="23"/>
  <c r="Z178" i="23"/>
  <c r="BS178" i="23"/>
  <c r="Y178" i="23"/>
  <c r="BB178" i="23"/>
  <c r="Z195" i="23"/>
  <c r="BS195" i="23"/>
  <c r="Y195" i="23"/>
  <c r="BB195" i="23"/>
  <c r="Z209" i="23"/>
  <c r="Y209" i="23"/>
  <c r="BS209" i="23"/>
  <c r="BB209" i="23"/>
  <c r="BS206" i="23"/>
  <c r="BB206" i="23"/>
  <c r="Z206" i="23"/>
  <c r="Y206" i="23"/>
  <c r="Z262" i="23"/>
  <c r="BS262" i="23"/>
  <c r="Y262" i="23"/>
  <c r="BB262" i="23"/>
  <c r="BS253" i="23"/>
  <c r="BB253" i="23"/>
  <c r="Z253" i="23"/>
  <c r="Y253" i="23"/>
  <c r="BB265" i="23"/>
  <c r="Z265" i="23"/>
  <c r="Y265" i="23"/>
  <c r="BS265" i="23"/>
  <c r="Z261" i="23"/>
  <c r="BS261" i="23"/>
  <c r="Y261" i="23"/>
  <c r="BB261" i="23"/>
  <c r="Z247" i="23"/>
  <c r="Y247" i="23"/>
  <c r="BS247" i="23"/>
  <c r="BB247" i="23"/>
  <c r="Z184" i="23"/>
  <c r="Y184" i="23"/>
  <c r="BB184" i="23"/>
  <c r="BS184" i="23"/>
  <c r="BB197" i="23"/>
  <c r="BS197" i="23"/>
  <c r="Y197" i="23"/>
  <c r="Z197" i="23"/>
  <c r="BB213" i="23"/>
  <c r="Z213" i="23"/>
  <c r="Y213" i="23"/>
  <c r="BS213" i="23"/>
  <c r="BS273" i="23"/>
  <c r="Y273" i="23"/>
  <c r="Z273" i="23"/>
  <c r="BB273" i="23"/>
  <c r="Z240" i="23"/>
  <c r="Y240" i="23"/>
  <c r="BS240" i="23"/>
  <c r="BB240" i="23"/>
  <c r="Z199" i="23"/>
  <c r="Y199" i="23"/>
  <c r="BS199" i="23"/>
  <c r="BB199" i="23"/>
  <c r="BS185" i="23"/>
  <c r="Z185" i="23"/>
  <c r="Y185" i="23"/>
  <c r="BB185" i="23"/>
  <c r="B18" i="16"/>
  <c r="A2" i="28" s="1"/>
  <c r="A2" i="5"/>
  <c r="G2" i="5"/>
  <c r="I2" i="5"/>
  <c r="C2" i="5"/>
  <c r="E2" i="5"/>
  <c r="BU135" i="23"/>
  <c r="BT135" i="23"/>
  <c r="BS133" i="23"/>
  <c r="Y133" i="23"/>
  <c r="AJ92" i="23"/>
  <c r="AI92" i="23"/>
  <c r="AC92" i="23"/>
  <c r="AD92" i="23"/>
  <c r="AM92" i="23"/>
  <c r="AA92" i="23"/>
  <c r="CC92" i="23"/>
  <c r="AL92" i="23"/>
  <c r="AK92" i="23"/>
  <c r="AB92" i="23"/>
  <c r="Y135" i="23"/>
  <c r="BS135" i="23"/>
  <c r="BU31" i="23"/>
  <c r="BT31" i="23"/>
  <c r="AV59" i="23"/>
  <c r="AW59" i="23"/>
  <c r="U59" i="23"/>
  <c r="T59" i="23"/>
  <c r="AE59" i="23"/>
  <c r="T116" i="23"/>
  <c r="U116" i="23"/>
  <c r="AE116" i="23"/>
  <c r="AW116" i="23"/>
  <c r="AV116" i="23"/>
  <c r="BF43" i="23"/>
  <c r="Z43" i="23"/>
  <c r="BM43" i="23"/>
  <c r="BV44" i="23"/>
  <c r="BK43" i="23"/>
  <c r="BJ43" i="23"/>
  <c r="V43" i="23"/>
  <c r="S43" i="23"/>
  <c r="AY43" i="23"/>
  <c r="AS43" i="23"/>
  <c r="BP43" i="23"/>
  <c r="BQ43" i="23" s="1"/>
  <c r="BN43" i="23"/>
  <c r="AQ43" i="23"/>
  <c r="AP43" i="23"/>
  <c r="AO43" i="23"/>
  <c r="AN43" i="23"/>
  <c r="CB43" i="23"/>
  <c r="AD29" i="23"/>
  <c r="AC29" i="23"/>
  <c r="AB29" i="23"/>
  <c r="AA29" i="23"/>
  <c r="AM29" i="23"/>
  <c r="AL29" i="23"/>
  <c r="AK29" i="23"/>
  <c r="AJ29" i="23"/>
  <c r="AI29" i="23"/>
  <c r="CC29" i="23"/>
  <c r="CA6" i="23"/>
  <c r="BZ6" i="23"/>
  <c r="BY6" i="23"/>
  <c r="BI124" i="23"/>
  <c r="CA135" i="23"/>
  <c r="BZ135" i="23"/>
  <c r="BY135" i="23"/>
  <c r="AT141" i="23"/>
  <c r="C141" i="23"/>
  <c r="D141" i="23" s="1"/>
  <c r="W141" i="23"/>
  <c r="X141" i="23"/>
  <c r="B141" i="23"/>
  <c r="BH141" i="23" s="1"/>
  <c r="CA66" i="23"/>
  <c r="BZ66" i="23"/>
  <c r="BY66" i="23"/>
  <c r="BO200" i="23"/>
  <c r="BH200" i="23"/>
  <c r="BN107" i="23"/>
  <c r="CB107" i="23"/>
  <c r="AP107" i="23"/>
  <c r="AO107" i="23"/>
  <c r="BM107" i="23"/>
  <c r="AS107" i="23"/>
  <c r="AQ107" i="23"/>
  <c r="BP107" i="23"/>
  <c r="BQ107" i="23" s="1"/>
  <c r="BK107" i="23"/>
  <c r="BJ107" i="23"/>
  <c r="S107" i="23"/>
  <c r="AY107" i="23"/>
  <c r="BF107" i="23"/>
  <c r="AN107" i="23"/>
  <c r="Z107" i="23"/>
  <c r="V107" i="23"/>
  <c r="BV108" i="23"/>
  <c r="AS38" i="23"/>
  <c r="S38" i="23"/>
  <c r="AQ38" i="23"/>
  <c r="AP38" i="23"/>
  <c r="CB38" i="23"/>
  <c r="V38" i="23"/>
  <c r="AY38" i="23"/>
  <c r="AO38" i="23"/>
  <c r="AN38" i="23"/>
  <c r="BV39" i="23"/>
  <c r="Z38" i="23"/>
  <c r="BM38" i="23"/>
  <c r="BP38" i="23"/>
  <c r="BQ38" i="23" s="1"/>
  <c r="BN38" i="23"/>
  <c r="BK38" i="23"/>
  <c r="BJ38" i="23"/>
  <c r="BF38" i="23"/>
  <c r="BL8" i="23"/>
  <c r="AW8" i="23"/>
  <c r="AV8" i="23"/>
  <c r="AE8" i="23"/>
  <c r="U8" i="23"/>
  <c r="T8" i="23"/>
  <c r="BI141" i="23"/>
  <c r="B120" i="23"/>
  <c r="BH120" i="23" s="1"/>
  <c r="AT120" i="23"/>
  <c r="X120" i="23"/>
  <c r="C120" i="23"/>
  <c r="W120" i="23"/>
  <c r="AP105" i="23"/>
  <c r="BN105" i="23"/>
  <c r="BM105" i="23"/>
  <c r="AS105" i="23"/>
  <c r="AQ105" i="23"/>
  <c r="BP105" i="23"/>
  <c r="BQ105" i="23" s="1"/>
  <c r="Z105" i="23"/>
  <c r="S105" i="23"/>
  <c r="BF105" i="23"/>
  <c r="AY105" i="23"/>
  <c r="V105" i="23"/>
  <c r="BK105" i="23"/>
  <c r="BJ105" i="23"/>
  <c r="AO105" i="23"/>
  <c r="AN105" i="23"/>
  <c r="BV106" i="23"/>
  <c r="CB105" i="23"/>
  <c r="AD137" i="23"/>
  <c r="AC137" i="23"/>
  <c r="AA137" i="23"/>
  <c r="AI137" i="23"/>
  <c r="AL137" i="23"/>
  <c r="AK137" i="23"/>
  <c r="AB137" i="23"/>
  <c r="AM137" i="23"/>
  <c r="CC137" i="23"/>
  <c r="AJ137" i="23"/>
  <c r="BH271" i="23"/>
  <c r="BO271" i="23"/>
  <c r="X118" i="23"/>
  <c r="W118" i="23"/>
  <c r="B118" i="23"/>
  <c r="BH118" i="23" s="1"/>
  <c r="C118" i="23"/>
  <c r="D118" i="23" s="1"/>
  <c r="AT118" i="23"/>
  <c r="BI95" i="23"/>
  <c r="BS77" i="23"/>
  <c r="Y77" i="23"/>
  <c r="AV114" i="23"/>
  <c r="T114" i="23"/>
  <c r="AE114" i="23"/>
  <c r="U114" i="23"/>
  <c r="AW114" i="23"/>
  <c r="AC95" i="23"/>
  <c r="AB95" i="23"/>
  <c r="AA95" i="23"/>
  <c r="AI95" i="23"/>
  <c r="CC95" i="23"/>
  <c r="AL95" i="23"/>
  <c r="AK95" i="23"/>
  <c r="AJ95" i="23"/>
  <c r="AD95" i="23"/>
  <c r="AM95" i="23"/>
  <c r="AP74" i="23"/>
  <c r="AO74" i="23"/>
  <c r="CB74" i="23"/>
  <c r="AS74" i="23"/>
  <c r="AQ74" i="23"/>
  <c r="AN74" i="23"/>
  <c r="BJ74" i="23"/>
  <c r="V74" i="23"/>
  <c r="BN74" i="23"/>
  <c r="S74" i="23"/>
  <c r="BM74" i="23"/>
  <c r="BK74" i="23"/>
  <c r="AY74" i="23"/>
  <c r="BP74" i="23"/>
  <c r="BQ74" i="23" s="1"/>
  <c r="BF74" i="23"/>
  <c r="Z74" i="23"/>
  <c r="BV75" i="23"/>
  <c r="AE64" i="23"/>
  <c r="U64" i="23"/>
  <c r="T64" i="23"/>
  <c r="AV64" i="23"/>
  <c r="AW64" i="23"/>
  <c r="U145" i="23"/>
  <c r="T145" i="23"/>
  <c r="AE145" i="23"/>
  <c r="AV145" i="23"/>
  <c r="AW145" i="23"/>
  <c r="BS107" i="23"/>
  <c r="Y107" i="23"/>
  <c r="AJ30" i="23"/>
  <c r="AI30" i="23"/>
  <c r="AD30" i="23"/>
  <c r="AM30" i="23"/>
  <c r="AL30" i="23"/>
  <c r="AK30" i="23"/>
  <c r="AC30" i="23"/>
  <c r="AB30" i="23"/>
  <c r="AA30" i="23"/>
  <c r="CC30" i="23"/>
  <c r="BU2" i="23"/>
  <c r="BT2" i="23"/>
  <c r="CA19" i="23"/>
  <c r="BZ19" i="23"/>
  <c r="BY19" i="23"/>
  <c r="W119" i="23"/>
  <c r="X119" i="23"/>
  <c r="B119" i="23"/>
  <c r="BO119" i="23" s="1"/>
  <c r="C119" i="23"/>
  <c r="AT119" i="23"/>
  <c r="BI135" i="23"/>
  <c r="AL104" i="23"/>
  <c r="AK104" i="23"/>
  <c r="AJ104" i="23"/>
  <c r="AD104" i="23"/>
  <c r="AC104" i="23"/>
  <c r="AA104" i="23"/>
  <c r="CC104" i="23"/>
  <c r="AM104" i="23"/>
  <c r="AI104" i="23"/>
  <c r="AB104" i="23"/>
  <c r="AP119" i="23"/>
  <c r="AO119" i="23"/>
  <c r="S119" i="23"/>
  <c r="BP119" i="23"/>
  <c r="BQ119" i="23" s="1"/>
  <c r="BM119" i="23"/>
  <c r="BK119" i="23"/>
  <c r="V119" i="23"/>
  <c r="AQ119" i="23"/>
  <c r="BF119" i="23"/>
  <c r="AY119" i="23"/>
  <c r="Z119" i="23"/>
  <c r="AS119" i="23"/>
  <c r="BN119" i="23"/>
  <c r="AN119" i="23"/>
  <c r="BV120" i="23"/>
  <c r="BJ119" i="23"/>
  <c r="CB119" i="23"/>
  <c r="Y149" i="23"/>
  <c r="BS149" i="23"/>
  <c r="Y138" i="23"/>
  <c r="BS138" i="23"/>
  <c r="CC108" i="23"/>
  <c r="AC108" i="23"/>
  <c r="AM108" i="23"/>
  <c r="AL108" i="23"/>
  <c r="AA108" i="23"/>
  <c r="AD108" i="23"/>
  <c r="AK108" i="23"/>
  <c r="AB108" i="23"/>
  <c r="AJ108" i="23"/>
  <c r="AI108" i="23"/>
  <c r="BU133" i="23"/>
  <c r="BT133" i="23"/>
  <c r="BM137" i="23"/>
  <c r="BK137" i="23"/>
  <c r="BN137" i="23"/>
  <c r="BJ137" i="23"/>
  <c r="Z137" i="23"/>
  <c r="CB137" i="23"/>
  <c r="AP137" i="23"/>
  <c r="BF137" i="23"/>
  <c r="S137" i="23"/>
  <c r="AQ137" i="23"/>
  <c r="V137" i="23"/>
  <c r="AS137" i="23"/>
  <c r="AO137" i="23"/>
  <c r="BV138" i="23"/>
  <c r="AN137" i="23"/>
  <c r="BP137" i="23"/>
  <c r="BQ137" i="23" s="1"/>
  <c r="AY137" i="23"/>
  <c r="BZ88" i="23"/>
  <c r="BY88" i="23"/>
  <c r="CA88" i="23"/>
  <c r="AM86" i="23"/>
  <c r="AL86" i="23"/>
  <c r="AK86" i="23"/>
  <c r="CC86" i="23"/>
  <c r="AA86" i="23"/>
  <c r="AB86" i="23"/>
  <c r="AC86" i="23"/>
  <c r="AJ86" i="23"/>
  <c r="AI86" i="23"/>
  <c r="AD86" i="23"/>
  <c r="AX18" i="23"/>
  <c r="CD18" i="23"/>
  <c r="BI45" i="23"/>
  <c r="AZ3" i="23"/>
  <c r="X3" i="23"/>
  <c r="W3" i="23"/>
  <c r="AT3" i="23"/>
  <c r="BG3" i="23" s="1"/>
  <c r="C3" i="23"/>
  <c r="D3" i="23" s="1"/>
  <c r="B3" i="23"/>
  <c r="AY3" i="23" s="1"/>
  <c r="BS33" i="23"/>
  <c r="Y33" i="23"/>
  <c r="BB33" i="23"/>
  <c r="BD33" i="23" s="1"/>
  <c r="AS10" i="23"/>
  <c r="V10" i="23"/>
  <c r="S10" i="23"/>
  <c r="BV11" i="23"/>
  <c r="BJ10" i="23"/>
  <c r="Z10" i="23"/>
  <c r="BF10" i="23"/>
  <c r="AY10" i="23"/>
  <c r="AQ10" i="23"/>
  <c r="AP10" i="23"/>
  <c r="AN10" i="23"/>
  <c r="AO10" i="23"/>
  <c r="BP10" i="23"/>
  <c r="BQ10" i="23" s="1"/>
  <c r="CB10" i="23"/>
  <c r="BN10" i="23"/>
  <c r="BM10" i="23"/>
  <c r="BK10" i="23"/>
  <c r="AB17" i="23"/>
  <c r="AA17" i="23"/>
  <c r="AI17" i="23"/>
  <c r="AC17" i="23"/>
  <c r="AL17" i="23"/>
  <c r="AK17" i="23"/>
  <c r="AM17" i="23"/>
  <c r="AJ17" i="23"/>
  <c r="AD17" i="23"/>
  <c r="CC17" i="23"/>
  <c r="E56" i="19"/>
  <c r="BH226" i="23"/>
  <c r="BO226" i="23"/>
  <c r="BS130" i="23"/>
  <c r="Y130" i="23"/>
  <c r="AL149" i="23"/>
  <c r="AK149" i="23"/>
  <c r="AM149" i="23"/>
  <c r="AJ149" i="23"/>
  <c r="AD149" i="23"/>
  <c r="AA149" i="23"/>
  <c r="AI149" i="23"/>
  <c r="CC149" i="23"/>
  <c r="AC149" i="23"/>
  <c r="AB149" i="23"/>
  <c r="BU137" i="23"/>
  <c r="BT137" i="23"/>
  <c r="CC97" i="23"/>
  <c r="AA97" i="23"/>
  <c r="AJ97" i="23"/>
  <c r="AI97" i="23"/>
  <c r="AL97" i="23"/>
  <c r="AK97" i="23"/>
  <c r="AD97" i="23"/>
  <c r="AB97" i="23"/>
  <c r="AM97" i="23"/>
  <c r="AC97" i="23"/>
  <c r="BS89" i="23"/>
  <c r="Y89" i="23"/>
  <c r="Y22" i="23"/>
  <c r="BB22" i="23"/>
  <c r="BS22" i="23"/>
  <c r="BU6" i="23"/>
  <c r="BT6" i="23"/>
  <c r="BO199" i="23"/>
  <c r="BH199" i="23"/>
  <c r="BY149" i="23"/>
  <c r="CA149" i="23"/>
  <c r="BZ149" i="23"/>
  <c r="BF147" i="23"/>
  <c r="AO147" i="23"/>
  <c r="AN147" i="23"/>
  <c r="BM147" i="23"/>
  <c r="AS147" i="23"/>
  <c r="AQ147" i="23"/>
  <c r="Z147" i="23"/>
  <c r="AP147" i="23"/>
  <c r="V147" i="23"/>
  <c r="CB147" i="23"/>
  <c r="BV148" i="23"/>
  <c r="BJ147" i="23"/>
  <c r="BP147" i="23"/>
  <c r="BQ147" i="23" s="1"/>
  <c r="BK147" i="23"/>
  <c r="BN147" i="23"/>
  <c r="AY147" i="23"/>
  <c r="S147" i="23"/>
  <c r="CA146" i="23"/>
  <c r="BZ146" i="23"/>
  <c r="BY146" i="23"/>
  <c r="CA143" i="23"/>
  <c r="BZ143" i="23"/>
  <c r="BY143" i="23"/>
  <c r="BU72" i="23"/>
  <c r="BT72" i="23"/>
  <c r="BI83" i="23"/>
  <c r="BI113" i="23"/>
  <c r="BI70" i="23"/>
  <c r="Y21" i="23"/>
  <c r="BB21" i="23"/>
  <c r="BS21" i="23"/>
  <c r="BY24" i="23"/>
  <c r="BZ24" i="23"/>
  <c r="CA24" i="23"/>
  <c r="AT47" i="23"/>
  <c r="BG47" i="23" s="1"/>
  <c r="X47" i="23"/>
  <c r="W47" i="23"/>
  <c r="C47" i="23"/>
  <c r="D47" i="23" s="1"/>
  <c r="B47" i="23"/>
  <c r="BO47" i="23" s="1"/>
  <c r="AZ47" i="23"/>
  <c r="AW85" i="23"/>
  <c r="AV85" i="23"/>
  <c r="U85" i="23"/>
  <c r="T85" i="23"/>
  <c r="AE85" i="23"/>
  <c r="AO91" i="23"/>
  <c r="V91" i="23"/>
  <c r="BJ91" i="23"/>
  <c r="CB91" i="23"/>
  <c r="Z91" i="23"/>
  <c r="BM91" i="23"/>
  <c r="BF91" i="23"/>
  <c r="S91" i="23"/>
  <c r="BN91" i="23"/>
  <c r="BP91" i="23"/>
  <c r="BQ91" i="23" s="1"/>
  <c r="AQ91" i="23"/>
  <c r="AP91" i="23"/>
  <c r="BV92" i="23"/>
  <c r="BK91" i="23"/>
  <c r="AS91" i="23"/>
  <c r="AN91" i="23"/>
  <c r="AY91" i="23"/>
  <c r="X84" i="23"/>
  <c r="W84" i="23"/>
  <c r="AT84" i="23"/>
  <c r="B84" i="23"/>
  <c r="BO84" i="23" s="1"/>
  <c r="C84" i="23"/>
  <c r="D84" i="23" s="1"/>
  <c r="BB25" i="23"/>
  <c r="Y25" i="23"/>
  <c r="BS25" i="23"/>
  <c r="AD27" i="23"/>
  <c r="AM27" i="23"/>
  <c r="AL27" i="23"/>
  <c r="AC27" i="23"/>
  <c r="AB27" i="23"/>
  <c r="AA27" i="23"/>
  <c r="AK27" i="23"/>
  <c r="AJ27" i="23"/>
  <c r="AI27" i="23"/>
  <c r="CC27" i="23"/>
  <c r="CD11" i="23"/>
  <c r="AX11" i="23"/>
  <c r="BO245" i="23"/>
  <c r="BH245" i="23"/>
  <c r="BS144" i="23"/>
  <c r="Y144" i="23"/>
  <c r="Y110" i="23"/>
  <c r="BS110" i="23"/>
  <c r="T123" i="23"/>
  <c r="U123" i="23"/>
  <c r="AW123" i="23"/>
  <c r="AV123" i="23"/>
  <c r="AE123" i="23"/>
  <c r="BY126" i="23"/>
  <c r="BZ126" i="23"/>
  <c r="CA126" i="23"/>
  <c r="BF52" i="23"/>
  <c r="Z52" i="23"/>
  <c r="BN52" i="23"/>
  <c r="AS52" i="23"/>
  <c r="AQ52" i="23"/>
  <c r="AP52" i="23"/>
  <c r="AO52" i="23"/>
  <c r="BK52" i="23"/>
  <c r="V52" i="23"/>
  <c r="CB52" i="23"/>
  <c r="BV53" i="23"/>
  <c r="AN52" i="23"/>
  <c r="S52" i="23"/>
  <c r="BM52" i="23"/>
  <c r="BJ52" i="23"/>
  <c r="AY52" i="23"/>
  <c r="BP52" i="23"/>
  <c r="BQ52" i="23" s="1"/>
  <c r="AW75" i="23"/>
  <c r="T75" i="23"/>
  <c r="AV75" i="23"/>
  <c r="U75" i="23"/>
  <c r="AE75" i="23"/>
  <c r="BS51" i="23"/>
  <c r="Y51" i="23"/>
  <c r="AM22" i="23"/>
  <c r="AL22" i="23"/>
  <c r="AK22" i="23"/>
  <c r="AD22" i="23"/>
  <c r="AC22" i="23"/>
  <c r="AB22" i="23"/>
  <c r="AA22" i="23"/>
  <c r="AI22" i="23"/>
  <c r="AJ22" i="23"/>
  <c r="CC22" i="23"/>
  <c r="BS50" i="23"/>
  <c r="BB50" i="23"/>
  <c r="Y50" i="23"/>
  <c r="BT23" i="23"/>
  <c r="BU23" i="23"/>
  <c r="CA4" i="23"/>
  <c r="BZ4" i="23"/>
  <c r="BY4" i="23"/>
  <c r="BH213" i="23"/>
  <c r="BO213" i="23"/>
  <c r="AS132" i="23"/>
  <c r="V132" i="23"/>
  <c r="BF132" i="23"/>
  <c r="S132" i="23"/>
  <c r="CB132" i="23"/>
  <c r="BM132" i="23"/>
  <c r="BK132" i="23"/>
  <c r="BP132" i="23"/>
  <c r="BQ132" i="23" s="1"/>
  <c r="AO132" i="23"/>
  <c r="AQ132" i="23"/>
  <c r="AN132" i="23"/>
  <c r="BV133" i="23"/>
  <c r="AY132" i="23"/>
  <c r="BN132" i="23"/>
  <c r="BJ132" i="23"/>
  <c r="AP132" i="23"/>
  <c r="Z132" i="23"/>
  <c r="BY119" i="23"/>
  <c r="CA119" i="23"/>
  <c r="BZ119" i="23"/>
  <c r="AE106" i="23"/>
  <c r="U106" i="23"/>
  <c r="AW106" i="23"/>
  <c r="AV106" i="23"/>
  <c r="T106" i="23"/>
  <c r="Y70" i="23"/>
  <c r="BS70" i="23"/>
  <c r="AD58" i="23"/>
  <c r="AC58" i="23"/>
  <c r="CC58" i="23"/>
  <c r="AJ58" i="23"/>
  <c r="AL58" i="23"/>
  <c r="AK58" i="23"/>
  <c r="AI58" i="23"/>
  <c r="AB58" i="23"/>
  <c r="AA58" i="23"/>
  <c r="AM58" i="23"/>
  <c r="BH267" i="23"/>
  <c r="BO267" i="23"/>
  <c r="AW148" i="23"/>
  <c r="T148" i="23"/>
  <c r="AE148" i="23"/>
  <c r="AV148" i="23"/>
  <c r="U148" i="23"/>
  <c r="BU138" i="23"/>
  <c r="BT138" i="23"/>
  <c r="AW129" i="23"/>
  <c r="AE129" i="23"/>
  <c r="T129" i="23"/>
  <c r="AV129" i="23"/>
  <c r="U129" i="23"/>
  <c r="BO208" i="23"/>
  <c r="BH208" i="23"/>
  <c r="BI118" i="23"/>
  <c r="BO247" i="23"/>
  <c r="BH247" i="23"/>
  <c r="BI136" i="23"/>
  <c r="U117" i="23"/>
  <c r="AE117" i="23"/>
  <c r="T117" i="23"/>
  <c r="AV117" i="23"/>
  <c r="AW117" i="23"/>
  <c r="BH260" i="23"/>
  <c r="BO260" i="23"/>
  <c r="AO121" i="23"/>
  <c r="AS121" i="23"/>
  <c r="S121" i="23"/>
  <c r="AQ121" i="23"/>
  <c r="BV122" i="23"/>
  <c r="BF121" i="23"/>
  <c r="BP121" i="23"/>
  <c r="BQ121" i="23" s="1"/>
  <c r="Z121" i="23"/>
  <c r="V121" i="23"/>
  <c r="CB121" i="23"/>
  <c r="BN121" i="23"/>
  <c r="AP121" i="23"/>
  <c r="AN121" i="23"/>
  <c r="BM121" i="23"/>
  <c r="BK121" i="23"/>
  <c r="BJ121" i="23"/>
  <c r="AY121" i="23"/>
  <c r="AD146" i="23"/>
  <c r="AK146" i="23"/>
  <c r="AB146" i="23"/>
  <c r="AI146" i="23"/>
  <c r="AL146" i="23"/>
  <c r="AJ146" i="23"/>
  <c r="AC146" i="23"/>
  <c r="AA146" i="23"/>
  <c r="CC146" i="23"/>
  <c r="AM146" i="23"/>
  <c r="AK85" i="23"/>
  <c r="AJ85" i="23"/>
  <c r="AI85" i="23"/>
  <c r="AL85" i="23"/>
  <c r="CC85" i="23"/>
  <c r="AD85" i="23"/>
  <c r="AA85" i="23"/>
  <c r="AM85" i="23"/>
  <c r="AC85" i="23"/>
  <c r="AB85" i="23"/>
  <c r="BU111" i="23"/>
  <c r="BT111" i="23"/>
  <c r="X66" i="23"/>
  <c r="W66" i="23"/>
  <c r="C66" i="23"/>
  <c r="D66" i="23" s="1"/>
  <c r="B66" i="23"/>
  <c r="BH66" i="23" s="1"/>
  <c r="AT66" i="23"/>
  <c r="AI115" i="23"/>
  <c r="AM115" i="23"/>
  <c r="AL115" i="23"/>
  <c r="AD115" i="23"/>
  <c r="AK115" i="23"/>
  <c r="CC115" i="23"/>
  <c r="AJ115" i="23"/>
  <c r="AA115" i="23"/>
  <c r="AB115" i="23"/>
  <c r="AC115" i="23"/>
  <c r="Y69" i="23"/>
  <c r="BS69" i="23"/>
  <c r="BS87" i="23"/>
  <c r="Y87" i="23"/>
  <c r="BU51" i="23"/>
  <c r="BT51" i="23"/>
  <c r="BI137" i="23"/>
  <c r="CA75" i="23"/>
  <c r="BZ75" i="23"/>
  <c r="BY75" i="23"/>
  <c r="AI93" i="23"/>
  <c r="AD93" i="23"/>
  <c r="AC93" i="23"/>
  <c r="AM93" i="23"/>
  <c r="AL93" i="23"/>
  <c r="AK93" i="23"/>
  <c r="AJ93" i="23"/>
  <c r="AB93" i="23"/>
  <c r="CC93" i="23"/>
  <c r="AA93" i="23"/>
  <c r="BU55" i="23"/>
  <c r="BT55" i="23"/>
  <c r="BN49" i="23"/>
  <c r="AP49" i="23"/>
  <c r="BV50" i="23"/>
  <c r="AS49" i="23"/>
  <c r="AQ49" i="23"/>
  <c r="AO49" i="23"/>
  <c r="BP49" i="23"/>
  <c r="BQ49" i="23" s="1"/>
  <c r="Z49" i="23"/>
  <c r="BM49" i="23"/>
  <c r="BK49" i="23"/>
  <c r="V49" i="23"/>
  <c r="BJ49" i="23"/>
  <c r="S49" i="23"/>
  <c r="BF49" i="23"/>
  <c r="CB49" i="23"/>
  <c r="AY49" i="23"/>
  <c r="AN49" i="23"/>
  <c r="V71" i="23"/>
  <c r="CB71" i="23"/>
  <c r="BJ71" i="23"/>
  <c r="BN71" i="23"/>
  <c r="S71" i="23"/>
  <c r="BP71" i="23"/>
  <c r="BQ71" i="23" s="1"/>
  <c r="BM71" i="23"/>
  <c r="BK71" i="23"/>
  <c r="AO71" i="23"/>
  <c r="BF71" i="23"/>
  <c r="AY71" i="23"/>
  <c r="AS71" i="23"/>
  <c r="AQ71" i="23"/>
  <c r="AP71" i="23"/>
  <c r="AN71" i="23"/>
  <c r="BV72" i="23"/>
  <c r="Z71" i="23"/>
  <c r="W57" i="23"/>
  <c r="C57" i="23"/>
  <c r="D57" i="23" s="1"/>
  <c r="B57" i="23"/>
  <c r="BO57" i="23" s="1"/>
  <c r="AT57" i="23"/>
  <c r="X57" i="23"/>
  <c r="B55" i="23"/>
  <c r="BH55" i="23" s="1"/>
  <c r="C55" i="23"/>
  <c r="AT55" i="23"/>
  <c r="X55" i="23"/>
  <c r="W55" i="23"/>
  <c r="CA107" i="23"/>
  <c r="BZ107" i="23"/>
  <c r="BY107" i="23"/>
  <c r="BI55" i="23"/>
  <c r="BU26" i="23"/>
  <c r="BT26" i="23"/>
  <c r="BU54" i="23"/>
  <c r="BT54" i="23"/>
  <c r="BS44" i="23"/>
  <c r="Y44" i="23"/>
  <c r="BB44" i="23"/>
  <c r="BU38" i="23"/>
  <c r="BT38" i="23"/>
  <c r="CA48" i="23"/>
  <c r="BZ48" i="23"/>
  <c r="BY48" i="23"/>
  <c r="Y55" i="23"/>
  <c r="BS55" i="23"/>
  <c r="BL41" i="23"/>
  <c r="U41" i="23"/>
  <c r="T41" i="23"/>
  <c r="AW41" i="23"/>
  <c r="AV41" i="23"/>
  <c r="AE41" i="23"/>
  <c r="BN32" i="23"/>
  <c r="BM32" i="23"/>
  <c r="BF32" i="23"/>
  <c r="Z32" i="23"/>
  <c r="AN32" i="23"/>
  <c r="BK32" i="23"/>
  <c r="V32" i="23"/>
  <c r="BJ32" i="23"/>
  <c r="S32" i="23"/>
  <c r="BV33" i="23"/>
  <c r="AY32" i="23"/>
  <c r="CB32" i="23"/>
  <c r="AO32" i="23"/>
  <c r="BP32" i="23"/>
  <c r="BQ32" i="23" s="1"/>
  <c r="AS32" i="23"/>
  <c r="AQ32" i="23"/>
  <c r="AP32" i="23"/>
  <c r="AE20" i="23"/>
  <c r="BL20" i="23"/>
  <c r="U20" i="23"/>
  <c r="AW20" i="23"/>
  <c r="AV20" i="23"/>
  <c r="T20" i="23"/>
  <c r="Z48" i="23"/>
  <c r="AP48" i="23"/>
  <c r="V48" i="23"/>
  <c r="AY48" i="23"/>
  <c r="BV49" i="23"/>
  <c r="CB48" i="23"/>
  <c r="BM48" i="23"/>
  <c r="AS48" i="23"/>
  <c r="AQ48" i="23"/>
  <c r="AO48" i="23"/>
  <c r="AN48" i="23"/>
  <c r="BJ48" i="23"/>
  <c r="BP48" i="23"/>
  <c r="BQ48" i="23" s="1"/>
  <c r="BN48" i="23"/>
  <c r="BK48" i="23"/>
  <c r="S48" i="23"/>
  <c r="BF48" i="23"/>
  <c r="CA33" i="23"/>
  <c r="BZ33" i="23"/>
  <c r="BY33" i="23"/>
  <c r="BI34" i="23"/>
  <c r="AX22" i="23"/>
  <c r="CD22" i="23"/>
  <c r="BZ17" i="23"/>
  <c r="BY17" i="23"/>
  <c r="CA17" i="23"/>
  <c r="BI74" i="23"/>
  <c r="BF14" i="23"/>
  <c r="Z14" i="23"/>
  <c r="CB14" i="23"/>
  <c r="V14" i="23"/>
  <c r="AY14" i="23"/>
  <c r="AP14" i="23"/>
  <c r="BK14" i="23"/>
  <c r="BP14" i="23"/>
  <c r="BQ14" i="23" s="1"/>
  <c r="BN14" i="23"/>
  <c r="BM14" i="23"/>
  <c r="S14" i="23"/>
  <c r="BJ14" i="23"/>
  <c r="BV15" i="23"/>
  <c r="AO14" i="23"/>
  <c r="AN14" i="23"/>
  <c r="AS14" i="23"/>
  <c r="AQ14" i="23"/>
  <c r="AI62" i="23"/>
  <c r="AM62" i="23"/>
  <c r="AC62" i="23"/>
  <c r="CC62" i="23"/>
  <c r="AD62" i="23"/>
  <c r="AB62" i="23"/>
  <c r="AA62" i="23"/>
  <c r="AL62" i="23"/>
  <c r="AK62" i="23"/>
  <c r="AJ62" i="23"/>
  <c r="BZ25" i="23"/>
  <c r="CA25" i="23"/>
  <c r="BY25" i="23"/>
  <c r="AC18" i="23"/>
  <c r="AB18" i="23"/>
  <c r="AA18" i="23"/>
  <c r="AJ18" i="23"/>
  <c r="AM18" i="23"/>
  <c r="AL18" i="23"/>
  <c r="AK18" i="23"/>
  <c r="AD18" i="23"/>
  <c r="CC18" i="23"/>
  <c r="AI18" i="23"/>
  <c r="B19" i="10"/>
  <c r="F22" i="10"/>
  <c r="BO269" i="23"/>
  <c r="BH269" i="23"/>
  <c r="BU147" i="23"/>
  <c r="BT147" i="23"/>
  <c r="BO239" i="23"/>
  <c r="BH239" i="23"/>
  <c r="AE136" i="23"/>
  <c r="AV136" i="23"/>
  <c r="AW136" i="23"/>
  <c r="T136" i="23"/>
  <c r="U136" i="23"/>
  <c r="CA113" i="23"/>
  <c r="BZ113" i="23"/>
  <c r="BY113" i="23"/>
  <c r="BT128" i="23"/>
  <c r="BU128" i="23"/>
  <c r="AV135" i="23"/>
  <c r="U135" i="23"/>
  <c r="AE135" i="23"/>
  <c r="AW135" i="23"/>
  <c r="T135" i="23"/>
  <c r="BT115" i="23"/>
  <c r="BU115" i="23"/>
  <c r="BH222" i="23"/>
  <c r="BO222" i="23"/>
  <c r="CB135" i="23"/>
  <c r="AS135" i="23"/>
  <c r="BK135" i="23"/>
  <c r="V135" i="23"/>
  <c r="BJ135" i="23"/>
  <c r="AN135" i="23"/>
  <c r="BN135" i="23"/>
  <c r="BM135" i="23"/>
  <c r="BV136" i="23"/>
  <c r="AY135" i="23"/>
  <c r="BF135" i="23"/>
  <c r="AO135" i="23"/>
  <c r="AQ135" i="23"/>
  <c r="AP135" i="23"/>
  <c r="S135" i="23"/>
  <c r="BP135" i="23"/>
  <c r="BQ135" i="23" s="1"/>
  <c r="Z135" i="23"/>
  <c r="AS94" i="23"/>
  <c r="S94" i="23"/>
  <c r="BN94" i="23"/>
  <c r="BM94" i="23"/>
  <c r="BV95" i="23"/>
  <c r="AP94" i="23"/>
  <c r="AO94" i="23"/>
  <c r="AN94" i="23"/>
  <c r="BK94" i="23"/>
  <c r="BF94" i="23"/>
  <c r="Z94" i="23"/>
  <c r="V94" i="23"/>
  <c r="AY94" i="23"/>
  <c r="CB94" i="23"/>
  <c r="BJ94" i="23"/>
  <c r="BP94" i="23"/>
  <c r="BQ94" i="23" s="1"/>
  <c r="AQ94" i="23"/>
  <c r="BT116" i="23"/>
  <c r="BU116" i="23"/>
  <c r="BZ115" i="23"/>
  <c r="BY115" i="23"/>
  <c r="CA115" i="23"/>
  <c r="AI131" i="23"/>
  <c r="AM131" i="23"/>
  <c r="AD131" i="23"/>
  <c r="AK131" i="23"/>
  <c r="AJ131" i="23"/>
  <c r="CC131" i="23"/>
  <c r="AA131" i="23"/>
  <c r="AL131" i="23"/>
  <c r="AC131" i="23"/>
  <c r="AB131" i="23"/>
  <c r="BO204" i="23"/>
  <c r="BH204" i="23"/>
  <c r="AD120" i="23"/>
  <c r="AC120" i="23"/>
  <c r="AB120" i="23"/>
  <c r="AA120" i="23"/>
  <c r="CC120" i="23"/>
  <c r="AK120" i="23"/>
  <c r="AJ120" i="23"/>
  <c r="AL120" i="23"/>
  <c r="AM120" i="23"/>
  <c r="AI120" i="23"/>
  <c r="BI103" i="23"/>
  <c r="BS145" i="23"/>
  <c r="Y145" i="23"/>
  <c r="BU83" i="23"/>
  <c r="BT83" i="23"/>
  <c r="BO181" i="23"/>
  <c r="BH181" i="23"/>
  <c r="AT82" i="23"/>
  <c r="B82" i="23"/>
  <c r="BO82" i="23" s="1"/>
  <c r="C82" i="23"/>
  <c r="X82" i="23"/>
  <c r="W82" i="23"/>
  <c r="X129" i="23"/>
  <c r="W129" i="23"/>
  <c r="B129" i="23"/>
  <c r="BH129" i="23" s="1"/>
  <c r="C129" i="23"/>
  <c r="D129" i="23" s="1"/>
  <c r="AT129" i="23"/>
  <c r="BU71" i="23"/>
  <c r="BT71" i="23"/>
  <c r="BI78" i="23"/>
  <c r="AW111" i="23"/>
  <c r="AV111" i="23"/>
  <c r="U111" i="23"/>
  <c r="T111" i="23"/>
  <c r="AE111" i="23"/>
  <c r="BO191" i="23"/>
  <c r="BH191" i="23"/>
  <c r="BO265" i="23"/>
  <c r="BH265" i="23"/>
  <c r="BI68" i="23"/>
  <c r="BZ70" i="23"/>
  <c r="BY70" i="23"/>
  <c r="CA70" i="23"/>
  <c r="BO202" i="23"/>
  <c r="BH202" i="23"/>
  <c r="BN84" i="23"/>
  <c r="BM84" i="23"/>
  <c r="BK84" i="23"/>
  <c r="BJ84" i="23"/>
  <c r="BV85" i="23"/>
  <c r="BF84" i="23"/>
  <c r="AY84" i="23"/>
  <c r="AS84" i="23"/>
  <c r="AQ84" i="23"/>
  <c r="CB84" i="23"/>
  <c r="Z84" i="23"/>
  <c r="V84" i="23"/>
  <c r="S84" i="23"/>
  <c r="AP84" i="23"/>
  <c r="AO84" i="23"/>
  <c r="AN84" i="23"/>
  <c r="BP84" i="23"/>
  <c r="BQ84" i="23" s="1"/>
  <c r="BT131" i="23"/>
  <c r="BU131" i="23"/>
  <c r="CA123" i="23"/>
  <c r="BY123" i="23"/>
  <c r="BZ123" i="23"/>
  <c r="C74" i="23"/>
  <c r="D74" i="23" s="1"/>
  <c r="B74" i="23"/>
  <c r="BH74" i="23" s="1"/>
  <c r="W74" i="23"/>
  <c r="AT74" i="23"/>
  <c r="X74" i="23"/>
  <c r="BI110" i="23"/>
  <c r="BI92" i="23"/>
  <c r="BI48" i="23"/>
  <c r="AL54" i="23"/>
  <c r="AI54" i="23"/>
  <c r="AC54" i="23"/>
  <c r="AB54" i="23"/>
  <c r="AA54" i="23"/>
  <c r="CC54" i="23"/>
  <c r="AK54" i="23"/>
  <c r="AM54" i="23"/>
  <c r="AJ54" i="23"/>
  <c r="AD54" i="23"/>
  <c r="BZ54" i="23"/>
  <c r="CA54" i="23"/>
  <c r="BY54" i="23"/>
  <c r="BI41" i="23"/>
  <c r="BS23" i="23"/>
  <c r="BB23" i="23"/>
  <c r="Y23" i="23"/>
  <c r="AI47" i="23"/>
  <c r="AJ47" i="23"/>
  <c r="AL47" i="23"/>
  <c r="AD47" i="23"/>
  <c r="AC47" i="23"/>
  <c r="AA47" i="23"/>
  <c r="AM47" i="23"/>
  <c r="AK47" i="23"/>
  <c r="AB47" i="23"/>
  <c r="CC47" i="23"/>
  <c r="AK53" i="23"/>
  <c r="AI53" i="23"/>
  <c r="AD53" i="23"/>
  <c r="AL53" i="23"/>
  <c r="AB53" i="23"/>
  <c r="AM53" i="23"/>
  <c r="AJ53" i="23"/>
  <c r="AC53" i="23"/>
  <c r="AA53" i="23"/>
  <c r="CC53" i="23"/>
  <c r="CA41" i="23"/>
  <c r="BZ41" i="23"/>
  <c r="BY41" i="23"/>
  <c r="AV83" i="23"/>
  <c r="AE83" i="23"/>
  <c r="T83" i="23"/>
  <c r="AW83" i="23"/>
  <c r="U83" i="23"/>
  <c r="BU66" i="23"/>
  <c r="BT66" i="23"/>
  <c r="W49" i="23"/>
  <c r="B49" i="23"/>
  <c r="BH49" i="23" s="1"/>
  <c r="AT49" i="23"/>
  <c r="BG49" i="23" s="1"/>
  <c r="C49" i="23"/>
  <c r="X49" i="23"/>
  <c r="AZ49" i="23"/>
  <c r="X30" i="23"/>
  <c r="C30" i="23"/>
  <c r="D30" i="23" s="1"/>
  <c r="B30" i="23"/>
  <c r="BO30" i="23" s="1"/>
  <c r="AZ30" i="23"/>
  <c r="AT30" i="23"/>
  <c r="BG30" i="23" s="1"/>
  <c r="W30" i="23"/>
  <c r="CC72" i="23"/>
  <c r="AI72" i="23"/>
  <c r="AM72" i="23"/>
  <c r="AL72" i="23"/>
  <c r="AD72" i="23"/>
  <c r="AA72" i="23"/>
  <c r="AC72" i="23"/>
  <c r="AB72" i="23"/>
  <c r="AK72" i="23"/>
  <c r="AJ72" i="23"/>
  <c r="BI66" i="23"/>
  <c r="BI35" i="23"/>
  <c r="BS31" i="23"/>
  <c r="BB31" i="23"/>
  <c r="Y31" i="23"/>
  <c r="BT33" i="23"/>
  <c r="BU33" i="23"/>
  <c r="AX14" i="23"/>
  <c r="CD14" i="23"/>
  <c r="BL19" i="23"/>
  <c r="AW19" i="23"/>
  <c r="AV19" i="23"/>
  <c r="T19" i="23"/>
  <c r="AE19" i="23"/>
  <c r="U19" i="23"/>
  <c r="AA16" i="23"/>
  <c r="AB16" i="23"/>
  <c r="CC16" i="23"/>
  <c r="AJ16" i="23"/>
  <c r="AM16" i="23"/>
  <c r="AL16" i="23"/>
  <c r="AK16" i="23"/>
  <c r="AI16" i="23"/>
  <c r="AD16" i="23"/>
  <c r="AC16" i="23"/>
  <c r="CA11" i="23"/>
  <c r="BY11" i="23"/>
  <c r="BZ11" i="23"/>
  <c r="BI47" i="23"/>
  <c r="B41" i="23"/>
  <c r="BO41" i="23" s="1"/>
  <c r="X41" i="23"/>
  <c r="W41" i="23"/>
  <c r="C41" i="23"/>
  <c r="D41" i="23" s="1"/>
  <c r="AZ41" i="23"/>
  <c r="AT41" i="23"/>
  <c r="BG41" i="23" s="1"/>
  <c r="U58" i="23"/>
  <c r="T58" i="23"/>
  <c r="AE58" i="23"/>
  <c r="AV58" i="23"/>
  <c r="AW58" i="23"/>
  <c r="AV15" i="23"/>
  <c r="T15" i="23"/>
  <c r="U15" i="23"/>
  <c r="AW15" i="23"/>
  <c r="AE15" i="23"/>
  <c r="BL15" i="23"/>
  <c r="CA5" i="23"/>
  <c r="BZ5" i="23"/>
  <c r="BY5" i="23"/>
  <c r="BH258" i="23"/>
  <c r="BO258" i="23"/>
  <c r="BI144" i="23"/>
  <c r="BU148" i="23"/>
  <c r="BT148" i="23"/>
  <c r="BH231" i="23"/>
  <c r="BO231" i="23"/>
  <c r="BS113" i="23"/>
  <c r="Y113" i="23"/>
  <c r="BI127" i="23"/>
  <c r="AJ144" i="23"/>
  <c r="CC144" i="23"/>
  <c r="AI144" i="23"/>
  <c r="AD144" i="23"/>
  <c r="AA144" i="23"/>
  <c r="AC144" i="23"/>
  <c r="AL144" i="23"/>
  <c r="AB144" i="23"/>
  <c r="AK144" i="23"/>
  <c r="AM144" i="23"/>
  <c r="BZ104" i="23"/>
  <c r="CA104" i="23"/>
  <c r="BY104" i="23"/>
  <c r="C113" i="23"/>
  <c r="D113" i="23" s="1"/>
  <c r="B113" i="23"/>
  <c r="BO113" i="23" s="1"/>
  <c r="AT113" i="23"/>
  <c r="W113" i="23"/>
  <c r="X113" i="23"/>
  <c r="AV104" i="23"/>
  <c r="T104" i="23"/>
  <c r="AE104" i="23"/>
  <c r="U104" i="23"/>
  <c r="AW104" i="23"/>
  <c r="BI111" i="23"/>
  <c r="BO184" i="23"/>
  <c r="BH184" i="23"/>
  <c r="BZ117" i="23"/>
  <c r="BY117" i="23"/>
  <c r="CA117" i="23"/>
  <c r="B132" i="23"/>
  <c r="BH132" i="23" s="1"/>
  <c r="C132" i="23"/>
  <c r="AT132" i="23"/>
  <c r="X132" i="23"/>
  <c r="W132" i="23"/>
  <c r="BS132" i="23"/>
  <c r="Y132" i="23"/>
  <c r="Y82" i="23"/>
  <c r="BS82" i="23"/>
  <c r="BY148" i="23"/>
  <c r="CA148" i="23"/>
  <c r="BZ148" i="23"/>
  <c r="BU79" i="23"/>
  <c r="BT79" i="23"/>
  <c r="BI62" i="23"/>
  <c r="BO189" i="23"/>
  <c r="BH189" i="23"/>
  <c r="BI63" i="23"/>
  <c r="AL148" i="23"/>
  <c r="AM148" i="23"/>
  <c r="AK148" i="23"/>
  <c r="AA148" i="23"/>
  <c r="CC148" i="23"/>
  <c r="AI148" i="23"/>
  <c r="AD148" i="23"/>
  <c r="AC148" i="23"/>
  <c r="AJ148" i="23"/>
  <c r="AB148" i="23"/>
  <c r="BK82" i="23"/>
  <c r="BV83" i="23"/>
  <c r="S82" i="23"/>
  <c r="BP82" i="23"/>
  <c r="BQ82" i="23" s="1"/>
  <c r="AY82" i="23"/>
  <c r="AS82" i="23"/>
  <c r="AQ82" i="23"/>
  <c r="BF82" i="23"/>
  <c r="AP82" i="23"/>
  <c r="CB82" i="23"/>
  <c r="AO82" i="23"/>
  <c r="BJ82" i="23"/>
  <c r="Z82" i="23"/>
  <c r="V82" i="23"/>
  <c r="BN82" i="23"/>
  <c r="BM82" i="23"/>
  <c r="AN82" i="23"/>
  <c r="BI112" i="23"/>
  <c r="AP113" i="23"/>
  <c r="AO113" i="23"/>
  <c r="BJ113" i="23"/>
  <c r="Z113" i="23"/>
  <c r="S113" i="23"/>
  <c r="BV114" i="23"/>
  <c r="BP113" i="23"/>
  <c r="BQ113" i="23" s="1"/>
  <c r="BN113" i="23"/>
  <c r="AY113" i="23"/>
  <c r="AS113" i="23"/>
  <c r="AQ113" i="23"/>
  <c r="V113" i="23"/>
  <c r="CB113" i="23"/>
  <c r="BM113" i="23"/>
  <c r="BF113" i="23"/>
  <c r="AN113" i="23"/>
  <c r="BK113" i="23"/>
  <c r="AL82" i="23"/>
  <c r="AC82" i="23"/>
  <c r="CC82" i="23"/>
  <c r="AD82" i="23"/>
  <c r="AB82" i="23"/>
  <c r="AI82" i="23"/>
  <c r="AA82" i="23"/>
  <c r="AM82" i="23"/>
  <c r="AJ82" i="23"/>
  <c r="AK82" i="23"/>
  <c r="BT91" i="23"/>
  <c r="BU91" i="23"/>
  <c r="CA46" i="23"/>
  <c r="BY46" i="23"/>
  <c r="BZ46" i="23"/>
  <c r="C115" i="23"/>
  <c r="B115" i="23"/>
  <c r="BO115" i="23" s="1"/>
  <c r="AT115" i="23"/>
  <c r="X115" i="23"/>
  <c r="W115" i="23"/>
  <c r="BF92" i="23"/>
  <c r="Z92" i="23"/>
  <c r="BN92" i="23"/>
  <c r="BP92" i="23"/>
  <c r="BQ92" i="23" s="1"/>
  <c r="AS92" i="23"/>
  <c r="BM92" i="23"/>
  <c r="S92" i="23"/>
  <c r="BK92" i="23"/>
  <c r="AO92" i="23"/>
  <c r="AN92" i="23"/>
  <c r="CB92" i="23"/>
  <c r="V92" i="23"/>
  <c r="AP92" i="23"/>
  <c r="BV93" i="23"/>
  <c r="BJ92" i="23"/>
  <c r="AY92" i="23"/>
  <c r="AQ92" i="23"/>
  <c r="CB54" i="23"/>
  <c r="V54" i="23"/>
  <c r="AS54" i="23"/>
  <c r="AY54" i="23"/>
  <c r="BP54" i="23"/>
  <c r="BQ54" i="23" s="1"/>
  <c r="Z54" i="23"/>
  <c r="BN54" i="23"/>
  <c r="BM54" i="23"/>
  <c r="BK54" i="23"/>
  <c r="BV55" i="23"/>
  <c r="BJ54" i="23"/>
  <c r="S54" i="23"/>
  <c r="AN54" i="23"/>
  <c r="BF54" i="23"/>
  <c r="AQ54" i="23"/>
  <c r="AP54" i="23"/>
  <c r="AO54" i="23"/>
  <c r="AX15" i="23"/>
  <c r="CD15" i="23"/>
  <c r="AE44" i="23"/>
  <c r="BL44" i="23"/>
  <c r="T44" i="23"/>
  <c r="U44" i="23"/>
  <c r="AW44" i="23"/>
  <c r="AV44" i="23"/>
  <c r="AN42" i="23"/>
  <c r="AS42" i="23"/>
  <c r="S42" i="23"/>
  <c r="AQ42" i="23"/>
  <c r="AP42" i="23"/>
  <c r="BF42" i="23"/>
  <c r="V42" i="23"/>
  <c r="AY42" i="23"/>
  <c r="CB42" i="23"/>
  <c r="BN42" i="23"/>
  <c r="Z42" i="23"/>
  <c r="BP42" i="23"/>
  <c r="BQ42" i="23" s="1"/>
  <c r="BM42" i="23"/>
  <c r="AO42" i="23"/>
  <c r="BK42" i="23"/>
  <c r="BJ42" i="23"/>
  <c r="BV43" i="23"/>
  <c r="AK51" i="23"/>
  <c r="AM51" i="23"/>
  <c r="AA51" i="23"/>
  <c r="CC51" i="23"/>
  <c r="AL51" i="23"/>
  <c r="AJ51" i="23"/>
  <c r="AI51" i="23"/>
  <c r="AD51" i="23"/>
  <c r="AC51" i="23"/>
  <c r="AB51" i="23"/>
  <c r="C90" i="23"/>
  <c r="D90" i="23" s="1"/>
  <c r="W90" i="23"/>
  <c r="AT90" i="23"/>
  <c r="X90" i="23"/>
  <c r="B90" i="23"/>
  <c r="BO90" i="23" s="1"/>
  <c r="BS81" i="23"/>
  <c r="Y81" i="23"/>
  <c r="BU36" i="23"/>
  <c r="BT36" i="23"/>
  <c r="BU121" i="23"/>
  <c r="BT121" i="23"/>
  <c r="BI46" i="23"/>
  <c r="BB46" i="23"/>
  <c r="Y46" i="23"/>
  <c r="BS46" i="23"/>
  <c r="BI29" i="23"/>
  <c r="AE28" i="23"/>
  <c r="U28" i="23"/>
  <c r="T28" i="23"/>
  <c r="BL28" i="23"/>
  <c r="AV28" i="23"/>
  <c r="AW28" i="23"/>
  <c r="BI16" i="23"/>
  <c r="BK64" i="23"/>
  <c r="BJ64" i="23"/>
  <c r="AQ64" i="23"/>
  <c r="AN64" i="23"/>
  <c r="BN64" i="23"/>
  <c r="BM64" i="23"/>
  <c r="AS64" i="23"/>
  <c r="BV65" i="23"/>
  <c r="CB64" i="23"/>
  <c r="S64" i="23"/>
  <c r="V64" i="23"/>
  <c r="BP64" i="23"/>
  <c r="BQ64" i="23" s="1"/>
  <c r="BF64" i="23"/>
  <c r="AY64" i="23"/>
  <c r="Z64" i="23"/>
  <c r="AP64" i="23"/>
  <c r="AO64" i="23"/>
  <c r="BL32" i="23"/>
  <c r="U32" i="23"/>
  <c r="T32" i="23"/>
  <c r="AW32" i="23"/>
  <c r="AV32" i="23"/>
  <c r="AE32" i="23"/>
  <c r="CA30" i="23"/>
  <c r="BZ30" i="23"/>
  <c r="BY30" i="23"/>
  <c r="BV14" i="23"/>
  <c r="BN13" i="23"/>
  <c r="BM13" i="23"/>
  <c r="BK13" i="23"/>
  <c r="V13" i="23"/>
  <c r="BF13" i="23"/>
  <c r="S13" i="23"/>
  <c r="AY13" i="23"/>
  <c r="AS13" i="23"/>
  <c r="AQ13" i="23"/>
  <c r="Z13" i="23"/>
  <c r="AN13" i="23"/>
  <c r="CB13" i="23"/>
  <c r="BP13" i="23"/>
  <c r="BQ13" i="23" s="1"/>
  <c r="BJ13" i="23"/>
  <c r="AP13" i="23"/>
  <c r="AO13" i="23"/>
  <c r="BB40" i="23"/>
  <c r="Y40" i="23"/>
  <c r="BS40" i="23"/>
  <c r="BI12" i="23"/>
  <c r="BU10" i="23"/>
  <c r="BT10" i="23"/>
  <c r="CD2" i="23"/>
  <c r="AX2" i="23"/>
  <c r="BV13" i="23"/>
  <c r="V12" i="23"/>
  <c r="CB12" i="23"/>
  <c r="AY12" i="23"/>
  <c r="S12" i="23"/>
  <c r="AQ12" i="23"/>
  <c r="AP12" i="23"/>
  <c r="AO12" i="23"/>
  <c r="AN12" i="23"/>
  <c r="BP12" i="23"/>
  <c r="BQ12" i="23" s="1"/>
  <c r="BN12" i="23"/>
  <c r="Z12" i="23"/>
  <c r="BM12" i="23"/>
  <c r="BK12" i="23"/>
  <c r="BJ12" i="23"/>
  <c r="BF12" i="23"/>
  <c r="AS12" i="23"/>
  <c r="X26" i="23"/>
  <c r="W26" i="23"/>
  <c r="AZ26" i="23"/>
  <c r="C26" i="23"/>
  <c r="D26" i="23" s="1"/>
  <c r="B26" i="23"/>
  <c r="BH26" i="23" s="1"/>
  <c r="AT26" i="23"/>
  <c r="BG26" i="23" s="1"/>
  <c r="AD78" i="23"/>
  <c r="AC78" i="23"/>
  <c r="AB78" i="23"/>
  <c r="CC78" i="23"/>
  <c r="AA78" i="23"/>
  <c r="AJ78" i="23"/>
  <c r="AI78" i="23"/>
  <c r="AK78" i="23"/>
  <c r="AM78" i="23"/>
  <c r="AL78" i="23"/>
  <c r="X140" i="23"/>
  <c r="C140" i="23"/>
  <c r="AT140" i="23"/>
  <c r="W140" i="23"/>
  <c r="B140" i="23"/>
  <c r="BH140" i="23" s="1"/>
  <c r="BI148" i="23"/>
  <c r="AT123" i="23"/>
  <c r="W123" i="23"/>
  <c r="X123" i="23"/>
  <c r="C123" i="23"/>
  <c r="D123" i="23" s="1"/>
  <c r="B123" i="23"/>
  <c r="BO123" i="23" s="1"/>
  <c r="BH206" i="23"/>
  <c r="BO206" i="23"/>
  <c r="BS88" i="23"/>
  <c r="Y88" i="23"/>
  <c r="BT82" i="23"/>
  <c r="BU82" i="23"/>
  <c r="X67" i="23"/>
  <c r="C67" i="23"/>
  <c r="AT67" i="23"/>
  <c r="B67" i="23"/>
  <c r="BO67" i="23" s="1"/>
  <c r="W67" i="23"/>
  <c r="AL118" i="23"/>
  <c r="AC118" i="23"/>
  <c r="AB118" i="23"/>
  <c r="AD118" i="23"/>
  <c r="AI118" i="23"/>
  <c r="AM118" i="23"/>
  <c r="CC118" i="23"/>
  <c r="AJ118" i="23"/>
  <c r="AK118" i="23"/>
  <c r="AA118" i="23"/>
  <c r="AJ76" i="23"/>
  <c r="AI76" i="23"/>
  <c r="AA76" i="23"/>
  <c r="CC76" i="23"/>
  <c r="AM76" i="23"/>
  <c r="AL76" i="23"/>
  <c r="AK76" i="23"/>
  <c r="AB76" i="23"/>
  <c r="AD76" i="23"/>
  <c r="AC76" i="23"/>
  <c r="W9" i="23"/>
  <c r="C9" i="23"/>
  <c r="D9" i="23" s="1"/>
  <c r="B9" i="23"/>
  <c r="BO9" i="23" s="1"/>
  <c r="AZ9" i="23"/>
  <c r="AT9" i="23"/>
  <c r="BG9" i="23" s="1"/>
  <c r="X9" i="23"/>
  <c r="T147" i="23"/>
  <c r="AV147" i="23"/>
  <c r="U147" i="23"/>
  <c r="AE147" i="23"/>
  <c r="AW147" i="23"/>
  <c r="AE120" i="23"/>
  <c r="T120" i="23"/>
  <c r="AV120" i="23"/>
  <c r="AW120" i="23"/>
  <c r="U120" i="23"/>
  <c r="CC83" i="23"/>
  <c r="AL83" i="23"/>
  <c r="AK83" i="23"/>
  <c r="AJ83" i="23"/>
  <c r="AD83" i="23"/>
  <c r="AC83" i="23"/>
  <c r="AB83" i="23"/>
  <c r="AI83" i="23"/>
  <c r="AA83" i="23"/>
  <c r="AM83" i="23"/>
  <c r="BI96" i="23"/>
  <c r="AK129" i="23"/>
  <c r="AL129" i="23"/>
  <c r="CC129" i="23"/>
  <c r="AJ129" i="23"/>
  <c r="AM129" i="23"/>
  <c r="AC129" i="23"/>
  <c r="AI129" i="23"/>
  <c r="AD129" i="23"/>
  <c r="AB129" i="23"/>
  <c r="AA129" i="23"/>
  <c r="BT75" i="23"/>
  <c r="BU75" i="23"/>
  <c r="AX17" i="23"/>
  <c r="CD17" i="23"/>
  <c r="Y27" i="23"/>
  <c r="BB27" i="23"/>
  <c r="BS27" i="23"/>
  <c r="AT7" i="23"/>
  <c r="BG7" i="23" s="1"/>
  <c r="AZ7" i="23"/>
  <c r="X7" i="23"/>
  <c r="W7" i="23"/>
  <c r="C7" i="23"/>
  <c r="B7" i="23"/>
  <c r="BO7" i="23" s="1"/>
  <c r="BH243" i="23"/>
  <c r="BO243" i="23"/>
  <c r="Y3" i="23"/>
  <c r="BS3" i="23"/>
  <c r="BB3" i="23"/>
  <c r="BY134" i="23"/>
  <c r="CA134" i="23"/>
  <c r="BZ134" i="23"/>
  <c r="BS117" i="23"/>
  <c r="Y117" i="23"/>
  <c r="AW103" i="23"/>
  <c r="AV103" i="23"/>
  <c r="AE103" i="23"/>
  <c r="T103" i="23"/>
  <c r="U103" i="23"/>
  <c r="CA74" i="23"/>
  <c r="BZ74" i="23"/>
  <c r="BY74" i="23"/>
  <c r="CD23" i="23"/>
  <c r="AX23" i="23"/>
  <c r="W34" i="23"/>
  <c r="AT34" i="23"/>
  <c r="BG34" i="23" s="1"/>
  <c r="X34" i="23"/>
  <c r="AZ34" i="23"/>
  <c r="C34" i="23"/>
  <c r="B34" i="23"/>
  <c r="BO34" i="23" s="1"/>
  <c r="AS28" i="23"/>
  <c r="S28" i="23"/>
  <c r="AQ28" i="23"/>
  <c r="CB28" i="23"/>
  <c r="BK28" i="23"/>
  <c r="BJ28" i="23"/>
  <c r="Z28" i="23"/>
  <c r="BF28" i="23"/>
  <c r="V28" i="23"/>
  <c r="BP28" i="23"/>
  <c r="BQ28" i="23" s="1"/>
  <c r="BN28" i="23"/>
  <c r="BM28" i="23"/>
  <c r="AY28" i="23"/>
  <c r="BV29" i="23"/>
  <c r="AP28" i="23"/>
  <c r="AO28" i="23"/>
  <c r="AN28" i="23"/>
  <c r="T47" i="23"/>
  <c r="BL47" i="23"/>
  <c r="AE47" i="23"/>
  <c r="U47" i="23"/>
  <c r="AW47" i="23"/>
  <c r="AV47" i="23"/>
  <c r="AV144" i="23"/>
  <c r="U144" i="23"/>
  <c r="AE144" i="23"/>
  <c r="T144" i="23"/>
  <c r="AW144" i="23"/>
  <c r="BI77" i="23"/>
  <c r="BI90" i="23"/>
  <c r="AW49" i="23"/>
  <c r="BL49" i="23"/>
  <c r="U49" i="23"/>
  <c r="T49" i="23"/>
  <c r="AV49" i="23"/>
  <c r="AE49" i="23"/>
  <c r="BY59" i="23"/>
  <c r="CA59" i="23"/>
  <c r="BZ59" i="23"/>
  <c r="BI26" i="23"/>
  <c r="AM65" i="23"/>
  <c r="AL65" i="23"/>
  <c r="AK65" i="23"/>
  <c r="AB65" i="23"/>
  <c r="AJ65" i="23"/>
  <c r="AI65" i="23"/>
  <c r="AD65" i="23"/>
  <c r="AC65" i="23"/>
  <c r="AA65" i="23"/>
  <c r="CC65" i="23"/>
  <c r="AW13" i="23"/>
  <c r="AV13" i="23"/>
  <c r="AE13" i="23"/>
  <c r="BL13" i="23"/>
  <c r="U13" i="23"/>
  <c r="T13" i="23"/>
  <c r="BI116" i="23"/>
  <c r="AA114" i="23"/>
  <c r="CC114" i="23"/>
  <c r="AI114" i="23"/>
  <c r="AB114" i="23"/>
  <c r="AL114" i="23"/>
  <c r="AM114" i="23"/>
  <c r="AC114" i="23"/>
  <c r="AK114" i="23"/>
  <c r="AJ114" i="23"/>
  <c r="AD114" i="23"/>
  <c r="AS140" i="23"/>
  <c r="S140" i="23"/>
  <c r="AQ140" i="23"/>
  <c r="BP140" i="23"/>
  <c r="BQ140" i="23" s="1"/>
  <c r="AY140" i="23"/>
  <c r="BF140" i="23"/>
  <c r="Z140" i="23"/>
  <c r="AN140" i="23"/>
  <c r="V140" i="23"/>
  <c r="CB140" i="23"/>
  <c r="AP140" i="23"/>
  <c r="AO140" i="23"/>
  <c r="BV141" i="23"/>
  <c r="BK140" i="23"/>
  <c r="BN140" i="23"/>
  <c r="BM140" i="23"/>
  <c r="BJ140" i="23"/>
  <c r="BI140" i="23"/>
  <c r="BS109" i="23"/>
  <c r="Y109" i="23"/>
  <c r="X103" i="23"/>
  <c r="W103" i="23"/>
  <c r="C103" i="23"/>
  <c r="D103" i="23" s="1"/>
  <c r="AT103" i="23"/>
  <c r="B103" i="23"/>
  <c r="BH103" i="23" s="1"/>
  <c r="AC99" i="23"/>
  <c r="AI99" i="23"/>
  <c r="AL99" i="23"/>
  <c r="CC99" i="23"/>
  <c r="AK99" i="23"/>
  <c r="AJ99" i="23"/>
  <c r="AD99" i="23"/>
  <c r="AA99" i="23"/>
  <c r="AM99" i="23"/>
  <c r="AB99" i="23"/>
  <c r="BF100" i="23"/>
  <c r="Z100" i="23"/>
  <c r="AP100" i="23"/>
  <c r="AY100" i="23"/>
  <c r="BK100" i="23"/>
  <c r="BJ100" i="23"/>
  <c r="V100" i="23"/>
  <c r="CB100" i="23"/>
  <c r="S100" i="23"/>
  <c r="BN100" i="23"/>
  <c r="BM100" i="23"/>
  <c r="BV101" i="23"/>
  <c r="AN100" i="23"/>
  <c r="BP100" i="23"/>
  <c r="BQ100" i="23" s="1"/>
  <c r="AQ100" i="23"/>
  <c r="AO100" i="23"/>
  <c r="AS100" i="23"/>
  <c r="BT94" i="23"/>
  <c r="BU94" i="23"/>
  <c r="AE55" i="23"/>
  <c r="AV55" i="23"/>
  <c r="U55" i="23"/>
  <c r="T55" i="23"/>
  <c r="AW55" i="23"/>
  <c r="CA31" i="23"/>
  <c r="BZ31" i="23"/>
  <c r="BY31" i="23"/>
  <c r="BU65" i="23"/>
  <c r="BT65" i="23"/>
  <c r="BI20" i="23"/>
  <c r="CD30" i="23"/>
  <c r="AX30" i="23"/>
  <c r="BH237" i="23"/>
  <c r="BO237" i="23"/>
  <c r="BO244" i="23"/>
  <c r="BH244" i="23"/>
  <c r="U137" i="23"/>
  <c r="AW137" i="23"/>
  <c r="AV137" i="23"/>
  <c r="T137" i="23"/>
  <c r="AE137" i="23"/>
  <c r="CA129" i="23"/>
  <c r="BZ129" i="23"/>
  <c r="BY129" i="23"/>
  <c r="BT109" i="23"/>
  <c r="BU109" i="23"/>
  <c r="BJ89" i="23"/>
  <c r="BF89" i="23"/>
  <c r="CB89" i="23"/>
  <c r="AQ89" i="23"/>
  <c r="AP89" i="23"/>
  <c r="BV90" i="23"/>
  <c r="AO89" i="23"/>
  <c r="BM89" i="23"/>
  <c r="V89" i="23"/>
  <c r="BK89" i="23"/>
  <c r="BN89" i="23"/>
  <c r="AY89" i="23"/>
  <c r="AN89" i="23"/>
  <c r="BP89" i="23"/>
  <c r="BQ89" i="23" s="1"/>
  <c r="AS89" i="23"/>
  <c r="Z89" i="23"/>
  <c r="S89" i="23"/>
  <c r="BI75" i="23"/>
  <c r="AE105" i="23"/>
  <c r="U105" i="23"/>
  <c r="T105" i="23"/>
  <c r="AV105" i="23"/>
  <c r="AW105" i="23"/>
  <c r="AJ31" i="23"/>
  <c r="AI31" i="23"/>
  <c r="CC31" i="23"/>
  <c r="AM31" i="23"/>
  <c r="AL31" i="23"/>
  <c r="AK31" i="23"/>
  <c r="AD31" i="23"/>
  <c r="AC31" i="23"/>
  <c r="AB31" i="23"/>
  <c r="AA31" i="23"/>
  <c r="CC20" i="23"/>
  <c r="AD20" i="23"/>
  <c r="AC20" i="23"/>
  <c r="AB20" i="23"/>
  <c r="AL20" i="23"/>
  <c r="AA20" i="23"/>
  <c r="AM20" i="23"/>
  <c r="AK20" i="23"/>
  <c r="AJ20" i="23"/>
  <c r="AI20" i="23"/>
  <c r="AC11" i="23"/>
  <c r="AJ11" i="23"/>
  <c r="AI11" i="23"/>
  <c r="AD11" i="23"/>
  <c r="AB11" i="23"/>
  <c r="AA11" i="23"/>
  <c r="CC11" i="23"/>
  <c r="AL11" i="23"/>
  <c r="AK11" i="23"/>
  <c r="AM11" i="23"/>
  <c r="BO179" i="23"/>
  <c r="BH179" i="23"/>
  <c r="Y141" i="23"/>
  <c r="BS141" i="23"/>
  <c r="BI109" i="23"/>
  <c r="C121" i="23"/>
  <c r="D121" i="23" s="1"/>
  <c r="W121" i="23"/>
  <c r="AT121" i="23"/>
  <c r="X121" i="23"/>
  <c r="B121" i="23"/>
  <c r="BH121" i="23" s="1"/>
  <c r="BY82" i="23"/>
  <c r="CA82" i="23"/>
  <c r="BZ82" i="23"/>
  <c r="BU43" i="23"/>
  <c r="BT43" i="23"/>
  <c r="T43" i="23"/>
  <c r="BL43" i="23"/>
  <c r="U43" i="23"/>
  <c r="AW43" i="23"/>
  <c r="AV43" i="23"/>
  <c r="AE43" i="23"/>
  <c r="AZ19" i="23"/>
  <c r="C19" i="23"/>
  <c r="X19" i="23"/>
  <c r="AT19" i="23"/>
  <c r="BG19" i="23" s="1"/>
  <c r="B19" i="23"/>
  <c r="BO19" i="23" s="1"/>
  <c r="W19" i="23"/>
  <c r="BI5" i="23"/>
  <c r="BH196" i="23"/>
  <c r="BO196" i="23"/>
  <c r="U10" i="23"/>
  <c r="T10" i="23"/>
  <c r="AW10" i="23"/>
  <c r="AV10" i="23"/>
  <c r="AE10" i="23"/>
  <c r="BL10" i="23"/>
  <c r="BZ133" i="23"/>
  <c r="BY133" i="23"/>
  <c r="CA133" i="23"/>
  <c r="X111" i="23"/>
  <c r="W111" i="23"/>
  <c r="AT111" i="23"/>
  <c r="C111" i="23"/>
  <c r="D111" i="23" s="1"/>
  <c r="B111" i="23"/>
  <c r="BH111" i="23" s="1"/>
  <c r="BI102" i="23"/>
  <c r="CC127" i="23"/>
  <c r="AK127" i="23"/>
  <c r="AJ127" i="23"/>
  <c r="AI127" i="23"/>
  <c r="AD127" i="23"/>
  <c r="AC127" i="23"/>
  <c r="AL127" i="23"/>
  <c r="AB127" i="23"/>
  <c r="AM127" i="23"/>
  <c r="AA127" i="23"/>
  <c r="BZ102" i="23"/>
  <c r="CA102" i="23"/>
  <c r="BY102" i="23"/>
  <c r="B144" i="23"/>
  <c r="BH144" i="23" s="1"/>
  <c r="X144" i="23"/>
  <c r="W144" i="23"/>
  <c r="C144" i="23"/>
  <c r="D144" i="23" s="1"/>
  <c r="AT144" i="23"/>
  <c r="BI88" i="23"/>
  <c r="BT107" i="23"/>
  <c r="BU107" i="23"/>
  <c r="BS127" i="23"/>
  <c r="Y127" i="23"/>
  <c r="BO172" i="23"/>
  <c r="BH172" i="23"/>
  <c r="AS116" i="23"/>
  <c r="BJ116" i="23"/>
  <c r="BF116" i="23"/>
  <c r="AY116" i="23"/>
  <c r="S116" i="23"/>
  <c r="BN116" i="23"/>
  <c r="AO116" i="23"/>
  <c r="CB116" i="23"/>
  <c r="Z116" i="23"/>
  <c r="AN116" i="23"/>
  <c r="AP116" i="23"/>
  <c r="BK116" i="23"/>
  <c r="AQ116" i="23"/>
  <c r="BP116" i="23"/>
  <c r="BQ116" i="23" s="1"/>
  <c r="BM116" i="23"/>
  <c r="BV117" i="23"/>
  <c r="V116" i="23"/>
  <c r="AW80" i="23"/>
  <c r="AV80" i="23"/>
  <c r="U80" i="23"/>
  <c r="AE80" i="23"/>
  <c r="T80" i="23"/>
  <c r="AA69" i="23"/>
  <c r="AJ69" i="23"/>
  <c r="AI69" i="23"/>
  <c r="AK69" i="23"/>
  <c r="AL69" i="23"/>
  <c r="AB69" i="23"/>
  <c r="AM69" i="23"/>
  <c r="AD69" i="23"/>
  <c r="AC69" i="23"/>
  <c r="CC69" i="23"/>
  <c r="AA106" i="23"/>
  <c r="AL106" i="23"/>
  <c r="CC106" i="23"/>
  <c r="AD106" i="23"/>
  <c r="AI106" i="23"/>
  <c r="AC106" i="23"/>
  <c r="AM106" i="23"/>
  <c r="AK106" i="23"/>
  <c r="AB106" i="23"/>
  <c r="AJ106" i="23"/>
  <c r="BF61" i="23"/>
  <c r="Z61" i="23"/>
  <c r="BK61" i="23"/>
  <c r="AS61" i="23"/>
  <c r="AY61" i="23"/>
  <c r="BV62" i="23"/>
  <c r="CB61" i="23"/>
  <c r="V61" i="23"/>
  <c r="BP61" i="23"/>
  <c r="BQ61" i="23" s="1"/>
  <c r="BN61" i="23"/>
  <c r="BM61" i="23"/>
  <c r="BJ61" i="23"/>
  <c r="AQ61" i="23"/>
  <c r="AO61" i="23"/>
  <c r="AP61" i="23"/>
  <c r="AN61" i="23"/>
  <c r="S61" i="23"/>
  <c r="W135" i="23"/>
  <c r="B135" i="23"/>
  <c r="BO135" i="23" s="1"/>
  <c r="C135" i="23"/>
  <c r="D135" i="23" s="1"/>
  <c r="X135" i="23"/>
  <c r="AT135" i="23"/>
  <c r="CB62" i="23"/>
  <c r="V62" i="23"/>
  <c r="AS62" i="23"/>
  <c r="BK62" i="23"/>
  <c r="Z62" i="23"/>
  <c r="AP62" i="23"/>
  <c r="AQ62" i="23"/>
  <c r="AO62" i="23"/>
  <c r="AN62" i="23"/>
  <c r="BV63" i="23"/>
  <c r="S62" i="23"/>
  <c r="BP62" i="23"/>
  <c r="BQ62" i="23" s="1"/>
  <c r="BJ62" i="23"/>
  <c r="BF62" i="23"/>
  <c r="AY62" i="23"/>
  <c r="BN62" i="23"/>
  <c r="BM62" i="23"/>
  <c r="CC42" i="23"/>
  <c r="AA42" i="23"/>
  <c r="AM42" i="23"/>
  <c r="AD42" i="23"/>
  <c r="AC42" i="23"/>
  <c r="AB42" i="23"/>
  <c r="AL42" i="23"/>
  <c r="AK42" i="23"/>
  <c r="AJ42" i="23"/>
  <c r="AI42" i="23"/>
  <c r="X136" i="23"/>
  <c r="W136" i="23"/>
  <c r="AT136" i="23"/>
  <c r="C136" i="23"/>
  <c r="B136" i="23"/>
  <c r="BH136" i="23" s="1"/>
  <c r="X68" i="23"/>
  <c r="AT68" i="23"/>
  <c r="W68" i="23"/>
  <c r="C68" i="23"/>
  <c r="B68" i="23"/>
  <c r="BH68" i="23" s="1"/>
  <c r="AT69" i="23"/>
  <c r="C69" i="23"/>
  <c r="B69" i="23"/>
  <c r="BH69" i="23" s="1"/>
  <c r="W69" i="23"/>
  <c r="X69" i="23"/>
  <c r="CB44" i="23"/>
  <c r="Z44" i="23"/>
  <c r="AP44" i="23"/>
  <c r="AO44" i="23"/>
  <c r="AN44" i="23"/>
  <c r="AY44" i="23"/>
  <c r="V44" i="23"/>
  <c r="BP44" i="23"/>
  <c r="BQ44" i="23" s="1"/>
  <c r="BN44" i="23"/>
  <c r="BM44" i="23"/>
  <c r="BV45" i="23"/>
  <c r="BK44" i="23"/>
  <c r="BJ44" i="23"/>
  <c r="BF44" i="23"/>
  <c r="AS44" i="23"/>
  <c r="AQ44" i="23"/>
  <c r="S44" i="23"/>
  <c r="AQ111" i="23"/>
  <c r="AP111" i="23"/>
  <c r="BF111" i="23"/>
  <c r="BV112" i="23"/>
  <c r="BK111" i="23"/>
  <c r="BP111" i="23"/>
  <c r="BQ111" i="23" s="1"/>
  <c r="AS111" i="23"/>
  <c r="AY111" i="23"/>
  <c r="CB111" i="23"/>
  <c r="AN111" i="23"/>
  <c r="BJ111" i="23"/>
  <c r="BN111" i="23"/>
  <c r="BM111" i="23"/>
  <c r="AO111" i="23"/>
  <c r="Z111" i="23"/>
  <c r="V111" i="23"/>
  <c r="S111" i="23"/>
  <c r="BY83" i="23"/>
  <c r="CA83" i="23"/>
  <c r="BZ83" i="23"/>
  <c r="BU53" i="23"/>
  <c r="BT53" i="23"/>
  <c r="X13" i="23"/>
  <c r="W13" i="23"/>
  <c r="AT13" i="23"/>
  <c r="BG13" i="23" s="1"/>
  <c r="C13" i="23"/>
  <c r="B13" i="23"/>
  <c r="BO13" i="23" s="1"/>
  <c r="AZ13" i="23"/>
  <c r="CA39" i="23"/>
  <c r="BZ39" i="23"/>
  <c r="BY39" i="23"/>
  <c r="BK40" i="23"/>
  <c r="BF40" i="23"/>
  <c r="BV41" i="23"/>
  <c r="BP40" i="23"/>
  <c r="BQ40" i="23" s="1"/>
  <c r="AN40" i="23"/>
  <c r="V40" i="23"/>
  <c r="AY40" i="23"/>
  <c r="S40" i="23"/>
  <c r="CB40" i="23"/>
  <c r="AS40" i="23"/>
  <c r="AQ40" i="23"/>
  <c r="Z40" i="23"/>
  <c r="BN40" i="23"/>
  <c r="BM40" i="23"/>
  <c r="BJ40" i="23"/>
  <c r="AP40" i="23"/>
  <c r="AO40" i="23"/>
  <c r="C79" i="23"/>
  <c r="D79" i="23" s="1"/>
  <c r="X79" i="23"/>
  <c r="AT79" i="23"/>
  <c r="B79" i="23"/>
  <c r="BO79" i="23" s="1"/>
  <c r="W79" i="23"/>
  <c r="BU35" i="23"/>
  <c r="BT35" i="23"/>
  <c r="BT96" i="23"/>
  <c r="BU96" i="23"/>
  <c r="BF45" i="23"/>
  <c r="AP45" i="23"/>
  <c r="BV46" i="23"/>
  <c r="Z45" i="23"/>
  <c r="BP45" i="23"/>
  <c r="BQ45" i="23" s="1"/>
  <c r="CB45" i="23"/>
  <c r="AS45" i="23"/>
  <c r="AQ45" i="23"/>
  <c r="AO45" i="23"/>
  <c r="AN45" i="23"/>
  <c r="BN45" i="23"/>
  <c r="BM45" i="23"/>
  <c r="BK45" i="23"/>
  <c r="BJ45" i="23"/>
  <c r="V45" i="23"/>
  <c r="S45" i="23"/>
  <c r="AY45" i="23"/>
  <c r="CA45" i="23"/>
  <c r="BZ45" i="23"/>
  <c r="BY45" i="23"/>
  <c r="BI25" i="23"/>
  <c r="BU15" i="23"/>
  <c r="BT15" i="23"/>
  <c r="CA12" i="23"/>
  <c r="BZ12" i="23"/>
  <c r="BY12" i="23"/>
  <c r="BU29" i="23"/>
  <c r="BT29" i="23"/>
  <c r="AZ16" i="23"/>
  <c r="X16" i="23"/>
  <c r="W16" i="23"/>
  <c r="C16" i="23"/>
  <c r="B16" i="23"/>
  <c r="BH16" i="23" s="1"/>
  <c r="AT16" i="23"/>
  <c r="BG16" i="23" s="1"/>
  <c r="BS17" i="23"/>
  <c r="Y17" i="23"/>
  <c r="BB17" i="23"/>
  <c r="BH210" i="23"/>
  <c r="BO210" i="23"/>
  <c r="BO193" i="23"/>
  <c r="BH193" i="23"/>
  <c r="BO187" i="23"/>
  <c r="BH187" i="23"/>
  <c r="BS123" i="23"/>
  <c r="Y123" i="23"/>
  <c r="X130" i="23"/>
  <c r="C130" i="23"/>
  <c r="D130" i="23" s="1"/>
  <c r="B130" i="23"/>
  <c r="BH130" i="23" s="1"/>
  <c r="AT130" i="23"/>
  <c r="W130" i="23"/>
  <c r="BM101" i="23"/>
  <c r="AP101" i="23"/>
  <c r="AO101" i="23"/>
  <c r="BF101" i="23"/>
  <c r="V101" i="23"/>
  <c r="AS101" i="23"/>
  <c r="BV102" i="23"/>
  <c r="BP101" i="23"/>
  <c r="BQ101" i="23" s="1"/>
  <c r="BN101" i="23"/>
  <c r="AN101" i="23"/>
  <c r="Z101" i="23"/>
  <c r="S101" i="23"/>
  <c r="CB101" i="23"/>
  <c r="BK101" i="23"/>
  <c r="BJ101" i="23"/>
  <c r="AY101" i="23"/>
  <c r="AQ101" i="23"/>
  <c r="T126" i="23"/>
  <c r="AW126" i="23"/>
  <c r="AV126" i="23"/>
  <c r="AE126" i="23"/>
  <c r="U126" i="23"/>
  <c r="AM100" i="23"/>
  <c r="AL100" i="23"/>
  <c r="AK100" i="23"/>
  <c r="AJ100" i="23"/>
  <c r="AI100" i="23"/>
  <c r="AD100" i="23"/>
  <c r="AB100" i="23"/>
  <c r="CC100" i="23"/>
  <c r="AA100" i="23"/>
  <c r="AC100" i="23"/>
  <c r="Y118" i="23"/>
  <c r="BS118" i="23"/>
  <c r="AA143" i="23"/>
  <c r="CC143" i="23"/>
  <c r="AD143" i="23"/>
  <c r="AC143" i="23"/>
  <c r="AM143" i="23"/>
  <c r="AL143" i="23"/>
  <c r="AB143" i="23"/>
  <c r="AK143" i="23"/>
  <c r="AJ143" i="23"/>
  <c r="AI143" i="23"/>
  <c r="CB87" i="23"/>
  <c r="BN87" i="23"/>
  <c r="BM87" i="23"/>
  <c r="BK87" i="23"/>
  <c r="AQ87" i="23"/>
  <c r="AP87" i="23"/>
  <c r="AO87" i="23"/>
  <c r="BV88" i="23"/>
  <c r="AS87" i="23"/>
  <c r="AN87" i="23"/>
  <c r="BF87" i="23"/>
  <c r="AY87" i="23"/>
  <c r="Z87" i="23"/>
  <c r="S87" i="23"/>
  <c r="BP87" i="23"/>
  <c r="BQ87" i="23" s="1"/>
  <c r="BJ87" i="23"/>
  <c r="V87" i="23"/>
  <c r="AM147" i="23"/>
  <c r="AJ147" i="23"/>
  <c r="AI147" i="23"/>
  <c r="AA147" i="23"/>
  <c r="AB147" i="23"/>
  <c r="AL147" i="23"/>
  <c r="CC147" i="23"/>
  <c r="AC147" i="23"/>
  <c r="AK147" i="23"/>
  <c r="AD147" i="23"/>
  <c r="BI105" i="23"/>
  <c r="AL126" i="23"/>
  <c r="AM126" i="23"/>
  <c r="AC126" i="23"/>
  <c r="AB126" i="23"/>
  <c r="AA126" i="23"/>
  <c r="AK126" i="23"/>
  <c r="AJ126" i="23"/>
  <c r="CC126" i="23"/>
  <c r="AI126" i="23"/>
  <c r="AD126" i="23"/>
  <c r="BT146" i="23"/>
  <c r="BU146" i="23"/>
  <c r="T115" i="23"/>
  <c r="AW115" i="23"/>
  <c r="AV115" i="23"/>
  <c r="AE115" i="23"/>
  <c r="U115" i="23"/>
  <c r="BI98" i="23"/>
  <c r="AI123" i="23"/>
  <c r="AA123" i="23"/>
  <c r="AM123" i="23"/>
  <c r="CC123" i="23"/>
  <c r="AL123" i="23"/>
  <c r="AK123" i="23"/>
  <c r="AD123" i="23"/>
  <c r="AC123" i="23"/>
  <c r="AJ123" i="23"/>
  <c r="AB123" i="23"/>
  <c r="BU106" i="23"/>
  <c r="BT106" i="23"/>
  <c r="BS143" i="23"/>
  <c r="Y143" i="23"/>
  <c r="AK77" i="23"/>
  <c r="AM77" i="23"/>
  <c r="AB77" i="23"/>
  <c r="AL77" i="23"/>
  <c r="AJ77" i="23"/>
  <c r="AI77" i="23"/>
  <c r="AC77" i="23"/>
  <c r="CC77" i="23"/>
  <c r="AD77" i="23"/>
  <c r="AA77" i="23"/>
  <c r="AE67" i="23"/>
  <c r="U67" i="23"/>
  <c r="AV67" i="23"/>
  <c r="AW67" i="23"/>
  <c r="T67" i="23"/>
  <c r="T124" i="23"/>
  <c r="AW124" i="23"/>
  <c r="U124" i="23"/>
  <c r="AV124" i="23"/>
  <c r="AE124" i="23"/>
  <c r="S134" i="23"/>
  <c r="CB134" i="23"/>
  <c r="AS134" i="23"/>
  <c r="BJ134" i="23"/>
  <c r="Z134" i="23"/>
  <c r="AQ134" i="23"/>
  <c r="AP134" i="23"/>
  <c r="BM134" i="23"/>
  <c r="AN134" i="23"/>
  <c r="BP134" i="23"/>
  <c r="BQ134" i="23" s="1"/>
  <c r="V134" i="23"/>
  <c r="BN134" i="23"/>
  <c r="AO134" i="23"/>
  <c r="BK134" i="23"/>
  <c r="AY134" i="23"/>
  <c r="BV135" i="23"/>
  <c r="BF134" i="23"/>
  <c r="BI133" i="23"/>
  <c r="AS77" i="23"/>
  <c r="AQ77" i="23"/>
  <c r="S77" i="23"/>
  <c r="BF77" i="23"/>
  <c r="AY77" i="23"/>
  <c r="V77" i="23"/>
  <c r="AN77" i="23"/>
  <c r="BV78" i="23"/>
  <c r="BP77" i="23"/>
  <c r="BQ77" i="23" s="1"/>
  <c r="BN77" i="23"/>
  <c r="BM77" i="23"/>
  <c r="BK77" i="23"/>
  <c r="BJ77" i="23"/>
  <c r="AP77" i="23"/>
  <c r="AO77" i="23"/>
  <c r="CB77" i="23"/>
  <c r="Z77" i="23"/>
  <c r="BH190" i="23"/>
  <c r="BO190" i="23"/>
  <c r="X64" i="23"/>
  <c r="W64" i="23"/>
  <c r="AT64" i="23"/>
  <c r="C64" i="23"/>
  <c r="D64" i="23" s="1"/>
  <c r="B64" i="23"/>
  <c r="BH64" i="23" s="1"/>
  <c r="AE68" i="23"/>
  <c r="T68" i="23"/>
  <c r="U68" i="23"/>
  <c r="AW68" i="23"/>
  <c r="AV68" i="23"/>
  <c r="BS136" i="23"/>
  <c r="Y136" i="23"/>
  <c r="BS42" i="23"/>
  <c r="BB42" i="23"/>
  <c r="Y42" i="23"/>
  <c r="AV134" i="23"/>
  <c r="AE134" i="23"/>
  <c r="AW134" i="23"/>
  <c r="U134" i="23"/>
  <c r="T134" i="23"/>
  <c r="BI86" i="23"/>
  <c r="BI37" i="23"/>
  <c r="U11" i="23"/>
  <c r="BL11" i="23"/>
  <c r="AE11" i="23"/>
  <c r="T11" i="23"/>
  <c r="AW11" i="23"/>
  <c r="AV11" i="23"/>
  <c r="Z39" i="23"/>
  <c r="AY39" i="23"/>
  <c r="BJ39" i="23"/>
  <c r="S39" i="23"/>
  <c r="AS39" i="23"/>
  <c r="CB39" i="23"/>
  <c r="AQ39" i="23"/>
  <c r="AP39" i="23"/>
  <c r="AO39" i="23"/>
  <c r="BN39" i="23"/>
  <c r="BP39" i="23"/>
  <c r="BQ39" i="23" s="1"/>
  <c r="BM39" i="23"/>
  <c r="BK39" i="23"/>
  <c r="BV40" i="23"/>
  <c r="BF39" i="23"/>
  <c r="AN39" i="23"/>
  <c r="V39" i="23"/>
  <c r="W83" i="23"/>
  <c r="AT83" i="23"/>
  <c r="C83" i="23"/>
  <c r="D83" i="23" s="1"/>
  <c r="B83" i="23"/>
  <c r="BO83" i="23" s="1"/>
  <c r="X83" i="23"/>
  <c r="AJ70" i="23"/>
  <c r="AI70" i="23"/>
  <c r="AK70" i="23"/>
  <c r="AA70" i="23"/>
  <c r="AD70" i="23"/>
  <c r="CC70" i="23"/>
  <c r="AM70" i="23"/>
  <c r="AC70" i="23"/>
  <c r="AB70" i="23"/>
  <c r="AL70" i="23"/>
  <c r="BY67" i="23"/>
  <c r="CA67" i="23"/>
  <c r="BZ67" i="23"/>
  <c r="BT44" i="23"/>
  <c r="BU44" i="23"/>
  <c r="BI24" i="23"/>
  <c r="T23" i="23"/>
  <c r="BL23" i="23"/>
  <c r="AE23" i="23"/>
  <c r="U23" i="23"/>
  <c r="AW23" i="23"/>
  <c r="AV23" i="23"/>
  <c r="Y14" i="23"/>
  <c r="BB14" i="23"/>
  <c r="BS14" i="23"/>
  <c r="BI72" i="23"/>
  <c r="AC26" i="23"/>
  <c r="AJ26" i="23"/>
  <c r="AI26" i="23"/>
  <c r="AD26" i="23"/>
  <c r="AB26" i="23"/>
  <c r="AA26" i="23"/>
  <c r="AL26" i="23"/>
  <c r="AK26" i="23"/>
  <c r="CC26" i="23"/>
  <c r="AM26" i="23"/>
  <c r="BU34" i="23"/>
  <c r="BT34" i="23"/>
  <c r="CA57" i="23"/>
  <c r="BZ57" i="23"/>
  <c r="BY57" i="23"/>
  <c r="AX27" i="23"/>
  <c r="CD27" i="23"/>
  <c r="BU19" i="23"/>
  <c r="BT19" i="23"/>
  <c r="CA9" i="23"/>
  <c r="BZ9" i="23"/>
  <c r="BY9" i="23"/>
  <c r="AW14" i="23"/>
  <c r="U14" i="23"/>
  <c r="AV14" i="23"/>
  <c r="T14" i="23"/>
  <c r="AE14" i="23"/>
  <c r="BL14" i="23"/>
  <c r="AX28" i="23"/>
  <c r="CD28" i="23"/>
  <c r="CD5" i="23"/>
  <c r="AX5" i="23"/>
  <c r="CD7" i="23"/>
  <c r="AX7" i="23"/>
  <c r="BK26" i="23"/>
  <c r="BJ26" i="23"/>
  <c r="AQ26" i="23"/>
  <c r="BN26" i="23"/>
  <c r="BM26" i="23"/>
  <c r="Z26" i="23"/>
  <c r="BF26" i="23"/>
  <c r="V26" i="23"/>
  <c r="AY26" i="23"/>
  <c r="BV27" i="23"/>
  <c r="AO26" i="23"/>
  <c r="CB26" i="23"/>
  <c r="S26" i="23"/>
  <c r="BP26" i="23"/>
  <c r="BQ26" i="23" s="1"/>
  <c r="AS26" i="23"/>
  <c r="AP26" i="23"/>
  <c r="AN26" i="23"/>
  <c r="BK3" i="23"/>
  <c r="AS3" i="23"/>
  <c r="AO3" i="23"/>
  <c r="BV4" i="23"/>
  <c r="AN3" i="23"/>
  <c r="BP3" i="23"/>
  <c r="BQ3" i="23" s="1"/>
  <c r="Z3" i="23"/>
  <c r="AV7" i="23"/>
  <c r="U7" i="23"/>
  <c r="T7" i="23"/>
  <c r="AW7" i="23"/>
  <c r="BL7" i="23"/>
  <c r="AE7" i="23"/>
  <c r="AT145" i="23"/>
  <c r="X145" i="23"/>
  <c r="C145" i="23"/>
  <c r="D145" i="23" s="1"/>
  <c r="B145" i="23"/>
  <c r="BH145" i="23" s="1"/>
  <c r="W145" i="23"/>
  <c r="BS85" i="23"/>
  <c r="Y85" i="23"/>
  <c r="BI107" i="23"/>
  <c r="Y98" i="23"/>
  <c r="BS98" i="23"/>
  <c r="BZ116" i="23"/>
  <c r="BY116" i="23"/>
  <c r="CA116" i="23"/>
  <c r="BU143" i="23"/>
  <c r="BT143" i="23"/>
  <c r="BI60" i="23"/>
  <c r="BZ55" i="23"/>
  <c r="BY55" i="23"/>
  <c r="CA55" i="23"/>
  <c r="BI134" i="23"/>
  <c r="BB43" i="23"/>
  <c r="Y43" i="23"/>
  <c r="BS43" i="23"/>
  <c r="AJ136" i="23"/>
  <c r="AI136" i="23"/>
  <c r="AD136" i="23"/>
  <c r="CC136" i="23"/>
  <c r="AA136" i="23"/>
  <c r="AM136" i="23"/>
  <c r="AK136" i="23"/>
  <c r="AC136" i="23"/>
  <c r="AB136" i="23"/>
  <c r="AL136" i="23"/>
  <c r="X131" i="23"/>
  <c r="C131" i="23"/>
  <c r="W131" i="23"/>
  <c r="B131" i="23"/>
  <c r="BH131" i="23" s="1"/>
  <c r="AT131" i="23"/>
  <c r="CB108" i="23"/>
  <c r="AS108" i="23"/>
  <c r="S108" i="23"/>
  <c r="BN108" i="23"/>
  <c r="BM108" i="23"/>
  <c r="BJ108" i="23"/>
  <c r="V108" i="23"/>
  <c r="AN108" i="23"/>
  <c r="AQ108" i="23"/>
  <c r="AP108" i="23"/>
  <c r="BF108" i="23"/>
  <c r="AY108" i="23"/>
  <c r="AO108" i="23"/>
  <c r="BV109" i="23"/>
  <c r="BP108" i="23"/>
  <c r="BQ108" i="23" s="1"/>
  <c r="BK108" i="23"/>
  <c r="Z108" i="23"/>
  <c r="X80" i="23"/>
  <c r="W80" i="23"/>
  <c r="AT80" i="23"/>
  <c r="C80" i="23"/>
  <c r="B80" i="23"/>
  <c r="BH80" i="23" s="1"/>
  <c r="CA78" i="23"/>
  <c r="BZ78" i="23"/>
  <c r="BY78" i="23"/>
  <c r="BJ47" i="23"/>
  <c r="BP47" i="23"/>
  <c r="BQ47" i="23" s="1"/>
  <c r="BM47" i="23"/>
  <c r="BK47" i="23"/>
  <c r="AP47" i="23"/>
  <c r="Z47" i="23"/>
  <c r="BN47" i="23"/>
  <c r="BF47" i="23"/>
  <c r="V47" i="23"/>
  <c r="S47" i="23"/>
  <c r="BV48" i="23"/>
  <c r="AY47" i="23"/>
  <c r="AO47" i="23"/>
  <c r="CB47" i="23"/>
  <c r="AQ47" i="23"/>
  <c r="AS47" i="23"/>
  <c r="AN47" i="23"/>
  <c r="T133" i="23"/>
  <c r="U133" i="23"/>
  <c r="AV133" i="23"/>
  <c r="AW133" i="23"/>
  <c r="AE133" i="23"/>
  <c r="BU127" i="23"/>
  <c r="BT127" i="23"/>
  <c r="BU81" i="23"/>
  <c r="BT81" i="23"/>
  <c r="BY35" i="23"/>
  <c r="CA35" i="23"/>
  <c r="BZ35" i="23"/>
  <c r="AN22" i="23"/>
  <c r="BN22" i="23"/>
  <c r="BM22" i="23"/>
  <c r="V22" i="23"/>
  <c r="BK22" i="23"/>
  <c r="BJ22" i="23"/>
  <c r="BF22" i="23"/>
  <c r="Z22" i="23"/>
  <c r="AP22" i="23"/>
  <c r="BP22" i="23"/>
  <c r="BQ22" i="23" s="1"/>
  <c r="AY22" i="23"/>
  <c r="BV23" i="23"/>
  <c r="AS22" i="23"/>
  <c r="AQ22" i="23"/>
  <c r="AO22" i="23"/>
  <c r="CB22" i="23"/>
  <c r="S22" i="23"/>
  <c r="CA49" i="23"/>
  <c r="BZ49" i="23"/>
  <c r="BY49" i="23"/>
  <c r="BB41" i="23"/>
  <c r="BS41" i="23"/>
  <c r="Y41" i="23"/>
  <c r="Y39" i="23"/>
  <c r="BB39" i="23"/>
  <c r="BS39" i="23"/>
  <c r="BZ15" i="23"/>
  <c r="CA15" i="23"/>
  <c r="BY15" i="23"/>
  <c r="BB32" i="23"/>
  <c r="Y32" i="23"/>
  <c r="BS32" i="23"/>
  <c r="BI64" i="23"/>
  <c r="BF130" i="23"/>
  <c r="Z130" i="23"/>
  <c r="BV131" i="23"/>
  <c r="AS130" i="23"/>
  <c r="S130" i="23"/>
  <c r="BP130" i="23"/>
  <c r="BQ130" i="23" s="1"/>
  <c r="AQ130" i="23"/>
  <c r="CB130" i="23"/>
  <c r="BK130" i="23"/>
  <c r="BJ130" i="23"/>
  <c r="BN130" i="23"/>
  <c r="AN130" i="23"/>
  <c r="AY130" i="23"/>
  <c r="AP130" i="23"/>
  <c r="AO130" i="23"/>
  <c r="V130" i="23"/>
  <c r="BM130" i="23"/>
  <c r="AT134" i="23"/>
  <c r="C134" i="23"/>
  <c r="D134" i="23" s="1"/>
  <c r="X134" i="23"/>
  <c r="W134" i="23"/>
  <c r="B134" i="23"/>
  <c r="BH134" i="23" s="1"/>
  <c r="BH248" i="23"/>
  <c r="BO248" i="23"/>
  <c r="BY103" i="23"/>
  <c r="CA103" i="23"/>
  <c r="BZ103" i="23"/>
  <c r="BS78" i="23"/>
  <c r="Y78" i="23"/>
  <c r="BT122" i="23"/>
  <c r="BU122" i="23"/>
  <c r="AI101" i="23"/>
  <c r="AD101" i="23"/>
  <c r="AL101" i="23"/>
  <c r="AK101" i="23"/>
  <c r="CC101" i="23"/>
  <c r="AJ101" i="23"/>
  <c r="AC101" i="23"/>
  <c r="AM101" i="23"/>
  <c r="AA101" i="23"/>
  <c r="AB101" i="23"/>
  <c r="BU98" i="23"/>
  <c r="BT98" i="23"/>
  <c r="BU87" i="23"/>
  <c r="BT87" i="23"/>
  <c r="BI76" i="23"/>
  <c r="AW70" i="23"/>
  <c r="AV70" i="23"/>
  <c r="U70" i="23"/>
  <c r="T70" i="23"/>
  <c r="AE70" i="23"/>
  <c r="AB52" i="23"/>
  <c r="AM52" i="23"/>
  <c r="AD52" i="23"/>
  <c r="AL52" i="23"/>
  <c r="AC52" i="23"/>
  <c r="CC52" i="23"/>
  <c r="AJ52" i="23"/>
  <c r="AI52" i="23"/>
  <c r="AA52" i="23"/>
  <c r="AK52" i="23"/>
  <c r="BF36" i="23"/>
  <c r="BV37" i="23"/>
  <c r="BP36" i="23"/>
  <c r="BQ36" i="23" s="1"/>
  <c r="AN36" i="23"/>
  <c r="AY36" i="23"/>
  <c r="S36" i="23"/>
  <c r="CB36" i="23"/>
  <c r="AS36" i="23"/>
  <c r="AQ36" i="23"/>
  <c r="AP36" i="23"/>
  <c r="AO36" i="23"/>
  <c r="Z36" i="23"/>
  <c r="BK36" i="23"/>
  <c r="BJ36" i="23"/>
  <c r="V36" i="23"/>
  <c r="BN36" i="23"/>
  <c r="BM36" i="23"/>
  <c r="BU73" i="23"/>
  <c r="BT73" i="23"/>
  <c r="BU16" i="23"/>
  <c r="BT16" i="23"/>
  <c r="AA24" i="23"/>
  <c r="AD24" i="23"/>
  <c r="AC24" i="23"/>
  <c r="AB24" i="23"/>
  <c r="AM24" i="23"/>
  <c r="AL24" i="23"/>
  <c r="AK24" i="23"/>
  <c r="AJ24" i="23"/>
  <c r="AI24" i="23"/>
  <c r="CC24" i="23"/>
  <c r="C86" i="23"/>
  <c r="B86" i="23"/>
  <c r="BO86" i="23" s="1"/>
  <c r="AT86" i="23"/>
  <c r="W86" i="23"/>
  <c r="X86" i="23"/>
  <c r="BS75" i="23"/>
  <c r="Y75" i="23"/>
  <c r="AS106" i="23"/>
  <c r="S106" i="23"/>
  <c r="AQ106" i="23"/>
  <c r="AP106" i="23"/>
  <c r="AO106" i="23"/>
  <c r="BP106" i="23"/>
  <c r="BQ106" i="23" s="1"/>
  <c r="CB106" i="23"/>
  <c r="BJ106" i="23"/>
  <c r="BF106" i="23"/>
  <c r="AY106" i="23"/>
  <c r="AN106" i="23"/>
  <c r="BV107" i="23"/>
  <c r="BN106" i="23"/>
  <c r="BM106" i="23"/>
  <c r="BK106" i="23"/>
  <c r="Z106" i="23"/>
  <c r="V106" i="23"/>
  <c r="BT119" i="23"/>
  <c r="BU119" i="23"/>
  <c r="CA91" i="23"/>
  <c r="BZ91" i="23"/>
  <c r="BY91" i="23"/>
  <c r="Y16" i="23"/>
  <c r="BB16" i="23"/>
  <c r="BS16" i="23"/>
  <c r="BO270" i="23"/>
  <c r="BH270" i="23"/>
  <c r="AL134" i="23"/>
  <c r="AA134" i="23"/>
  <c r="CC134" i="23"/>
  <c r="AC134" i="23"/>
  <c r="AB134" i="23"/>
  <c r="AK134" i="23"/>
  <c r="AI134" i="23"/>
  <c r="AD134" i="23"/>
  <c r="AM134" i="23"/>
  <c r="AJ134" i="23"/>
  <c r="T132" i="23"/>
  <c r="U132" i="23"/>
  <c r="AE132" i="23"/>
  <c r="AV132" i="23"/>
  <c r="AW132" i="23"/>
  <c r="Y100" i="23"/>
  <c r="BS100" i="23"/>
  <c r="C101" i="23"/>
  <c r="W101" i="23"/>
  <c r="AT101" i="23"/>
  <c r="B101" i="23"/>
  <c r="BH101" i="23" s="1"/>
  <c r="X101" i="23"/>
  <c r="BZ101" i="23"/>
  <c r="BY101" i="23"/>
  <c r="CA101" i="23"/>
  <c r="W102" i="23"/>
  <c r="C102" i="23"/>
  <c r="D102" i="23" s="1"/>
  <c r="B102" i="23"/>
  <c r="BH102" i="23" s="1"/>
  <c r="X102" i="23"/>
  <c r="AT102" i="23"/>
  <c r="AT88" i="23"/>
  <c r="C88" i="23"/>
  <c r="D88" i="23" s="1"/>
  <c r="B88" i="23"/>
  <c r="BH88" i="23" s="1"/>
  <c r="X88" i="23"/>
  <c r="W88" i="23"/>
  <c r="BI49" i="23"/>
  <c r="B60" i="23"/>
  <c r="BH60" i="23" s="1"/>
  <c r="C60" i="23"/>
  <c r="X60" i="23"/>
  <c r="AT60" i="23"/>
  <c r="W60" i="23"/>
  <c r="CA47" i="23"/>
  <c r="BZ47" i="23"/>
  <c r="BY47" i="23"/>
  <c r="CC28" i="23"/>
  <c r="AB28" i="23"/>
  <c r="AD28" i="23"/>
  <c r="AC28" i="23"/>
  <c r="AA28" i="23"/>
  <c r="AM28" i="23"/>
  <c r="AK28" i="23"/>
  <c r="AJ28" i="23"/>
  <c r="AI28" i="23"/>
  <c r="AL28" i="23"/>
  <c r="AW6" i="23"/>
  <c r="AV6" i="23"/>
  <c r="BL6" i="23"/>
  <c r="AE6" i="23"/>
  <c r="U6" i="23"/>
  <c r="T6" i="23"/>
  <c r="B15" i="16"/>
  <c r="BH261" i="23"/>
  <c r="BO261" i="23"/>
  <c r="X133" i="23"/>
  <c r="W133" i="23"/>
  <c r="B133" i="23"/>
  <c r="BO133" i="23" s="1"/>
  <c r="AT133" i="23"/>
  <c r="C133" i="23"/>
  <c r="D133" i="23" s="1"/>
  <c r="AE141" i="23"/>
  <c r="U141" i="23"/>
  <c r="AV141" i="23"/>
  <c r="AW141" i="23"/>
  <c r="T141" i="23"/>
  <c r="BT129" i="23"/>
  <c r="BU129" i="23"/>
  <c r="W122" i="23"/>
  <c r="B122" i="23"/>
  <c r="BO122" i="23" s="1"/>
  <c r="C122" i="23"/>
  <c r="X122" i="23"/>
  <c r="AT122" i="23"/>
  <c r="Y95" i="23"/>
  <c r="BS95" i="23"/>
  <c r="U108" i="23"/>
  <c r="T108" i="23"/>
  <c r="AV108" i="23"/>
  <c r="AW108" i="23"/>
  <c r="AE108" i="23"/>
  <c r="BP58" i="23"/>
  <c r="BQ58" i="23" s="1"/>
  <c r="BN58" i="23"/>
  <c r="AO58" i="23"/>
  <c r="AS58" i="23"/>
  <c r="AQ58" i="23"/>
  <c r="AP58" i="23"/>
  <c r="BM58" i="23"/>
  <c r="V58" i="23"/>
  <c r="BK58" i="23"/>
  <c r="BJ58" i="23"/>
  <c r="S58" i="23"/>
  <c r="BF58" i="23"/>
  <c r="AY58" i="23"/>
  <c r="CB58" i="23"/>
  <c r="BV59" i="23"/>
  <c r="Z58" i="23"/>
  <c r="AN58" i="23"/>
  <c r="X81" i="23"/>
  <c r="AT81" i="23"/>
  <c r="C81" i="23"/>
  <c r="B81" i="23"/>
  <c r="BH81" i="23" s="1"/>
  <c r="W81" i="23"/>
  <c r="BU132" i="23"/>
  <c r="BT132" i="23"/>
  <c r="AM46" i="23"/>
  <c r="CC46" i="23"/>
  <c r="AK46" i="23"/>
  <c r="AD46" i="23"/>
  <c r="AL46" i="23"/>
  <c r="AJ46" i="23"/>
  <c r="AI46" i="23"/>
  <c r="AC46" i="23"/>
  <c r="AB46" i="23"/>
  <c r="AA46" i="23"/>
  <c r="AY23" i="23"/>
  <c r="Z23" i="23"/>
  <c r="AS23" i="23"/>
  <c r="S23" i="23"/>
  <c r="AQ23" i="23"/>
  <c r="BV24" i="23"/>
  <c r="AP23" i="23"/>
  <c r="CB23" i="23"/>
  <c r="BK23" i="23"/>
  <c r="BJ23" i="23"/>
  <c r="BF23" i="23"/>
  <c r="V23" i="23"/>
  <c r="BP23" i="23"/>
  <c r="BQ23" i="23" s="1"/>
  <c r="BN23" i="23"/>
  <c r="BM23" i="23"/>
  <c r="AO23" i="23"/>
  <c r="AN23" i="23"/>
  <c r="CC14" i="23"/>
  <c r="AM14" i="23"/>
  <c r="AL14" i="23"/>
  <c r="AK14" i="23"/>
  <c r="AJ14" i="23"/>
  <c r="AI14" i="23"/>
  <c r="AD14" i="23"/>
  <c r="AC14" i="23"/>
  <c r="AB14" i="23"/>
  <c r="AA14" i="23"/>
  <c r="AT52" i="23"/>
  <c r="C52" i="23"/>
  <c r="B52" i="23"/>
  <c r="BH52" i="23" s="1"/>
  <c r="X52" i="23"/>
  <c r="W52" i="23"/>
  <c r="AN115" i="23"/>
  <c r="AO115" i="23"/>
  <c r="AY115" i="23"/>
  <c r="S115" i="23"/>
  <c r="BM115" i="23"/>
  <c r="BN115" i="23"/>
  <c r="BK115" i="23"/>
  <c r="Z115" i="23"/>
  <c r="CB115" i="23"/>
  <c r="BV116" i="23"/>
  <c r="BP115" i="23"/>
  <c r="BQ115" i="23" s="1"/>
  <c r="AP115" i="23"/>
  <c r="BJ115" i="23"/>
  <c r="AQ115" i="23"/>
  <c r="BF115" i="23"/>
  <c r="AS115" i="23"/>
  <c r="V115" i="23"/>
  <c r="AW98" i="23"/>
  <c r="AV98" i="23"/>
  <c r="T98" i="23"/>
  <c r="U98" i="23"/>
  <c r="AE98" i="23"/>
  <c r="CA80" i="23"/>
  <c r="BY80" i="23"/>
  <c r="BZ80" i="23"/>
  <c r="AM71" i="23"/>
  <c r="CC71" i="23"/>
  <c r="AI71" i="23"/>
  <c r="AJ71" i="23"/>
  <c r="AK71" i="23"/>
  <c r="AL71" i="23"/>
  <c r="AD71" i="23"/>
  <c r="AC71" i="23"/>
  <c r="AA71" i="23"/>
  <c r="AB71" i="23"/>
  <c r="BO201" i="23"/>
  <c r="BH201" i="23"/>
  <c r="AM79" i="23"/>
  <c r="AL79" i="23"/>
  <c r="AK79" i="23"/>
  <c r="AB79" i="23"/>
  <c r="AJ79" i="23"/>
  <c r="AI79" i="23"/>
  <c r="AD79" i="23"/>
  <c r="AC79" i="23"/>
  <c r="AA79" i="23"/>
  <c r="CC79" i="23"/>
  <c r="BY64" i="23"/>
  <c r="BZ64" i="23"/>
  <c r="CA64" i="23"/>
  <c r="AZ24" i="23"/>
  <c r="X24" i="23"/>
  <c r="W24" i="23"/>
  <c r="C24" i="23"/>
  <c r="D24" i="23" s="1"/>
  <c r="B24" i="23"/>
  <c r="BH24" i="23" s="1"/>
  <c r="AT24" i="23"/>
  <c r="BG24" i="23" s="1"/>
  <c r="BT59" i="23"/>
  <c r="BU59" i="23"/>
  <c r="BP50" i="23"/>
  <c r="BQ50" i="23" s="1"/>
  <c r="AO50" i="23"/>
  <c r="BN50" i="23"/>
  <c r="AY50" i="23"/>
  <c r="V50" i="23"/>
  <c r="AP50" i="23"/>
  <c r="AN50" i="23"/>
  <c r="BV51" i="23"/>
  <c r="BF50" i="23"/>
  <c r="AS50" i="23"/>
  <c r="AQ50" i="23"/>
  <c r="CB50" i="23"/>
  <c r="Z50" i="23"/>
  <c r="BK50" i="23"/>
  <c r="BJ50" i="23"/>
  <c r="BM50" i="23"/>
  <c r="S50" i="23"/>
  <c r="BT104" i="23"/>
  <c r="BU104" i="23"/>
  <c r="BB9" i="23"/>
  <c r="Y9" i="23"/>
  <c r="BS9" i="23"/>
  <c r="BO240" i="23"/>
  <c r="BH240" i="23"/>
  <c r="BO250" i="23"/>
  <c r="BH250" i="23"/>
  <c r="BI101" i="23"/>
  <c r="CB80" i="23"/>
  <c r="V80" i="23"/>
  <c r="BJ80" i="23"/>
  <c r="BV81" i="23"/>
  <c r="BF80" i="23"/>
  <c r="BP80" i="23"/>
  <c r="BQ80" i="23" s="1"/>
  <c r="S80" i="23"/>
  <c r="AS80" i="23"/>
  <c r="AO80" i="23"/>
  <c r="AP80" i="23"/>
  <c r="Z80" i="23"/>
  <c r="BN80" i="23"/>
  <c r="BM80" i="23"/>
  <c r="BK80" i="23"/>
  <c r="AN80" i="23"/>
  <c r="AY80" i="23"/>
  <c r="AQ80" i="23"/>
  <c r="BP72" i="23"/>
  <c r="BQ72" i="23" s="1"/>
  <c r="AY72" i="23"/>
  <c r="AN72" i="23"/>
  <c r="BM72" i="23"/>
  <c r="Z72" i="23"/>
  <c r="BN72" i="23"/>
  <c r="BK72" i="23"/>
  <c r="S72" i="23"/>
  <c r="AQ72" i="23"/>
  <c r="BJ72" i="23"/>
  <c r="V72" i="23"/>
  <c r="CB72" i="23"/>
  <c r="BV73" i="23"/>
  <c r="BF72" i="23"/>
  <c r="AS72" i="23"/>
  <c r="AP72" i="23"/>
  <c r="AO72" i="23"/>
  <c r="BI51" i="23"/>
  <c r="AA98" i="23"/>
  <c r="AB98" i="23"/>
  <c r="AJ98" i="23"/>
  <c r="AL98" i="23"/>
  <c r="AC98" i="23"/>
  <c r="CC98" i="23"/>
  <c r="AD98" i="23"/>
  <c r="AM98" i="23"/>
  <c r="AK98" i="23"/>
  <c r="AI98" i="23"/>
  <c r="BM103" i="23"/>
  <c r="AY103" i="23"/>
  <c r="S103" i="23"/>
  <c r="AQ103" i="23"/>
  <c r="AP103" i="23"/>
  <c r="BV104" i="23"/>
  <c r="AO103" i="23"/>
  <c r="CB103" i="23"/>
  <c r="BK103" i="23"/>
  <c r="V103" i="23"/>
  <c r="BP103" i="23"/>
  <c r="BQ103" i="23" s="1"/>
  <c r="BN103" i="23"/>
  <c r="BF103" i="23"/>
  <c r="BJ103" i="23"/>
  <c r="AS103" i="23"/>
  <c r="AN103" i="23"/>
  <c r="Z103" i="23"/>
  <c r="BI79" i="23"/>
  <c r="AP83" i="23"/>
  <c r="BV84" i="23"/>
  <c r="BF83" i="23"/>
  <c r="CB83" i="23"/>
  <c r="Z83" i="23"/>
  <c r="BP83" i="23"/>
  <c r="BQ83" i="23" s="1"/>
  <c r="BM83" i="23"/>
  <c r="BJ83" i="23"/>
  <c r="AY83" i="23"/>
  <c r="AS83" i="23"/>
  <c r="AQ83" i="23"/>
  <c r="AO83" i="23"/>
  <c r="V83" i="23"/>
  <c r="AN83" i="23"/>
  <c r="S83" i="23"/>
  <c r="BN83" i="23"/>
  <c r="BK83" i="23"/>
  <c r="AT77" i="23"/>
  <c r="X77" i="23"/>
  <c r="W77" i="23"/>
  <c r="B77" i="23"/>
  <c r="BH77" i="23" s="1"/>
  <c r="C77" i="23"/>
  <c r="X73" i="23"/>
  <c r="W73" i="23"/>
  <c r="B73" i="23"/>
  <c r="BH73" i="23" s="1"/>
  <c r="AT73" i="23"/>
  <c r="C73" i="23"/>
  <c r="D73" i="23" s="1"/>
  <c r="CA56" i="23"/>
  <c r="BZ56" i="23"/>
  <c r="BY56" i="23"/>
  <c r="BI115" i="23"/>
  <c r="B149" i="23"/>
  <c r="BO149" i="23" s="1"/>
  <c r="X149" i="23"/>
  <c r="C149" i="23"/>
  <c r="AT149" i="23"/>
  <c r="W149" i="23"/>
  <c r="BU21" i="23"/>
  <c r="BT21" i="23"/>
  <c r="AZ29" i="23"/>
  <c r="X29" i="23"/>
  <c r="W29" i="23"/>
  <c r="C29" i="23"/>
  <c r="D29" i="23" s="1"/>
  <c r="B29" i="23"/>
  <c r="BH29" i="23" s="1"/>
  <c r="AT29" i="23"/>
  <c r="BG29" i="23" s="1"/>
  <c r="Y52" i="23"/>
  <c r="BS52" i="23"/>
  <c r="Y58" i="23"/>
  <c r="BS58" i="23"/>
  <c r="C33" i="23"/>
  <c r="D33" i="23" s="1"/>
  <c r="B33" i="23"/>
  <c r="BH33" i="23" s="1"/>
  <c r="X33" i="23"/>
  <c r="AT33" i="23"/>
  <c r="BG33" i="23" s="1"/>
  <c r="W33" i="23"/>
  <c r="AZ33" i="23"/>
  <c r="BI21" i="23"/>
  <c r="Y72" i="23"/>
  <c r="BS72" i="23"/>
  <c r="AE18" i="23"/>
  <c r="AW18" i="23"/>
  <c r="AV18" i="23"/>
  <c r="BL18" i="23"/>
  <c r="U18" i="23"/>
  <c r="T18" i="23"/>
  <c r="AW35" i="23"/>
  <c r="AV35" i="23"/>
  <c r="AE35" i="23"/>
  <c r="U35" i="23"/>
  <c r="T35" i="23"/>
  <c r="BL35" i="23"/>
  <c r="BU28" i="23"/>
  <c r="BT28" i="23"/>
  <c r="BB19" i="23"/>
  <c r="Y19" i="23"/>
  <c r="BS19" i="23"/>
  <c r="B31" i="39"/>
  <c r="BR152" i="23"/>
  <c r="CC13" i="23"/>
  <c r="AL13" i="23"/>
  <c r="AK13" i="23"/>
  <c r="AJ13" i="23"/>
  <c r="AI13" i="23"/>
  <c r="AD13" i="23"/>
  <c r="AC13" i="23"/>
  <c r="AB13" i="23"/>
  <c r="AA13" i="23"/>
  <c r="AM13" i="23"/>
  <c r="C18" i="16"/>
  <c r="Y106" i="23"/>
  <c r="BS106" i="23"/>
  <c r="BI87" i="23"/>
  <c r="BH234" i="23"/>
  <c r="BO234" i="23"/>
  <c r="BH223" i="23"/>
  <c r="BO223" i="23"/>
  <c r="B143" i="23"/>
  <c r="BO143" i="23" s="1"/>
  <c r="X143" i="23"/>
  <c r="AT143" i="23"/>
  <c r="C143" i="23"/>
  <c r="D143" i="23" s="1"/>
  <c r="W143" i="23"/>
  <c r="AV119" i="23"/>
  <c r="AW119" i="23"/>
  <c r="T119" i="23"/>
  <c r="AE119" i="23"/>
  <c r="U119" i="23"/>
  <c r="AV110" i="23"/>
  <c r="U110" i="23"/>
  <c r="AW110" i="23"/>
  <c r="AE110" i="23"/>
  <c r="T110" i="23"/>
  <c r="BZ144" i="23"/>
  <c r="BY144" i="23"/>
  <c r="CA144" i="23"/>
  <c r="BY53" i="23"/>
  <c r="CA53" i="23"/>
  <c r="BZ53" i="23"/>
  <c r="AQ90" i="23"/>
  <c r="BP90" i="23"/>
  <c r="BQ90" i="23" s="1"/>
  <c r="BN90" i="23"/>
  <c r="Z90" i="23"/>
  <c r="AP90" i="23"/>
  <c r="AO90" i="23"/>
  <c r="BV91" i="23"/>
  <c r="AN90" i="23"/>
  <c r="CB90" i="23"/>
  <c r="BJ90" i="23"/>
  <c r="BF90" i="23"/>
  <c r="BM90" i="23"/>
  <c r="AS90" i="23"/>
  <c r="BK90" i="23"/>
  <c r="AY90" i="23"/>
  <c r="V90" i="23"/>
  <c r="S90" i="23"/>
  <c r="BL26" i="23"/>
  <c r="U26" i="23"/>
  <c r="T26" i="23"/>
  <c r="AE26" i="23"/>
  <c r="AV26" i="23"/>
  <c r="AW26" i="23"/>
  <c r="AE40" i="23"/>
  <c r="U40" i="23"/>
  <c r="T40" i="23"/>
  <c r="AW40" i="23"/>
  <c r="AV40" i="23"/>
  <c r="BL40" i="23"/>
  <c r="BU27" i="23"/>
  <c r="BT27" i="23"/>
  <c r="AM5" i="23"/>
  <c r="AJ5" i="23"/>
  <c r="AI5" i="23"/>
  <c r="AL5" i="23"/>
  <c r="AK5" i="23"/>
  <c r="AD5" i="23"/>
  <c r="CC5" i="23"/>
  <c r="AA5" i="23"/>
  <c r="AC5" i="23"/>
  <c r="AB5" i="23"/>
  <c r="BH3" i="23"/>
  <c r="BI3" i="23" s="1"/>
  <c r="BO3" i="23"/>
  <c r="CD9" i="23"/>
  <c r="AX9" i="23"/>
  <c r="BI42" i="23"/>
  <c r="B11" i="16"/>
  <c r="A2" i="18" s="1"/>
  <c r="B170" i="16"/>
  <c r="B171" i="16" s="1"/>
  <c r="B18" i="42" s="1"/>
  <c r="B12" i="16"/>
  <c r="E4" i="33"/>
  <c r="BH259" i="23"/>
  <c r="BO259" i="23"/>
  <c r="BH252" i="23"/>
  <c r="BO252" i="23"/>
  <c r="CA140" i="23"/>
  <c r="BZ140" i="23"/>
  <c r="BY140" i="23"/>
  <c r="BO169" i="23"/>
  <c r="BH169" i="23"/>
  <c r="BH168" i="23"/>
  <c r="BO168" i="23"/>
  <c r="BH253" i="23"/>
  <c r="BO253" i="23"/>
  <c r="Y108" i="23"/>
  <c r="BS108" i="23"/>
  <c r="BH216" i="23"/>
  <c r="BO216" i="23"/>
  <c r="BF114" i="23"/>
  <c r="BV115" i="23"/>
  <c r="Z114" i="23"/>
  <c r="AS114" i="23"/>
  <c r="CB114" i="23"/>
  <c r="AQ114" i="23"/>
  <c r="BM114" i="23"/>
  <c r="V114" i="23"/>
  <c r="AP114" i="23"/>
  <c r="AY114" i="23"/>
  <c r="S114" i="23"/>
  <c r="BK114" i="23"/>
  <c r="BN114" i="23"/>
  <c r="AN114" i="23"/>
  <c r="BJ114" i="23"/>
  <c r="BP114" i="23"/>
  <c r="BQ114" i="23" s="1"/>
  <c r="AO114" i="23"/>
  <c r="CA125" i="23"/>
  <c r="BZ125" i="23"/>
  <c r="BY125" i="23"/>
  <c r="BK96" i="23"/>
  <c r="Z96" i="23"/>
  <c r="BJ96" i="23"/>
  <c r="BN96" i="23"/>
  <c r="V96" i="23"/>
  <c r="BM96" i="23"/>
  <c r="AQ96" i="23"/>
  <c r="S96" i="23"/>
  <c r="AY96" i="23"/>
  <c r="AN96" i="23"/>
  <c r="CB96" i="23"/>
  <c r="BP96" i="23"/>
  <c r="BQ96" i="23" s="1"/>
  <c r="BF96" i="23"/>
  <c r="AS96" i="23"/>
  <c r="AP96" i="23"/>
  <c r="AO96" i="23"/>
  <c r="BV97" i="23"/>
  <c r="Y104" i="23"/>
  <c r="BS104" i="23"/>
  <c r="BS125" i="23"/>
  <c r="Y125" i="23"/>
  <c r="U96" i="23"/>
  <c r="T96" i="23"/>
  <c r="AW96" i="23"/>
  <c r="AV96" i="23"/>
  <c r="AE96" i="23"/>
  <c r="BU120" i="23"/>
  <c r="BT120" i="23"/>
  <c r="BJ117" i="23"/>
  <c r="AO117" i="23"/>
  <c r="AN117" i="23"/>
  <c r="BN117" i="23"/>
  <c r="V117" i="23"/>
  <c r="BV118" i="23"/>
  <c r="BF117" i="23"/>
  <c r="S117" i="23"/>
  <c r="AS117" i="23"/>
  <c r="CB117" i="23"/>
  <c r="BK117" i="23"/>
  <c r="BP117" i="23"/>
  <c r="BQ117" i="23" s="1"/>
  <c r="AY117" i="23"/>
  <c r="AP117" i="23"/>
  <c r="BM117" i="23"/>
  <c r="Z117" i="23"/>
  <c r="AQ117" i="23"/>
  <c r="BU76" i="23"/>
  <c r="BT76" i="23"/>
  <c r="BI104" i="23"/>
  <c r="AT139" i="23"/>
  <c r="C139" i="23"/>
  <c r="D139" i="23" s="1"/>
  <c r="X139" i="23"/>
  <c r="W139" i="23"/>
  <c r="B139" i="23"/>
  <c r="BH139" i="23" s="1"/>
  <c r="AW76" i="23"/>
  <c r="AE76" i="23"/>
  <c r="AV76" i="23"/>
  <c r="T76" i="23"/>
  <c r="U76" i="23"/>
  <c r="Y114" i="23"/>
  <c r="BS114" i="23"/>
  <c r="BT101" i="23"/>
  <c r="BU101" i="23"/>
  <c r="BT123" i="23"/>
  <c r="BU123" i="23"/>
  <c r="AD122" i="23"/>
  <c r="AK122" i="23"/>
  <c r="AJ122" i="23"/>
  <c r="AI122" i="23"/>
  <c r="AC122" i="23"/>
  <c r="AB122" i="23"/>
  <c r="AL122" i="23"/>
  <c r="AA122" i="23"/>
  <c r="CC122" i="23"/>
  <c r="AM122" i="23"/>
  <c r="U128" i="23"/>
  <c r="AE128" i="23"/>
  <c r="AW128" i="23"/>
  <c r="AV128" i="23"/>
  <c r="T128" i="23"/>
  <c r="BZ98" i="23"/>
  <c r="BY98" i="23"/>
  <c r="CA98" i="23"/>
  <c r="BU125" i="23"/>
  <c r="BT125" i="23"/>
  <c r="Y76" i="23"/>
  <c r="BS76" i="23"/>
  <c r="W91" i="23"/>
  <c r="C91" i="23"/>
  <c r="B91" i="23"/>
  <c r="BH91" i="23" s="1"/>
  <c r="X91" i="23"/>
  <c r="AT91" i="23"/>
  <c r="AJ128" i="23"/>
  <c r="AI128" i="23"/>
  <c r="AB128" i="23"/>
  <c r="AA128" i="23"/>
  <c r="AC128" i="23"/>
  <c r="AM128" i="23"/>
  <c r="AL128" i="23"/>
  <c r="CC128" i="23"/>
  <c r="AK128" i="23"/>
  <c r="AD128" i="23"/>
  <c r="AS88" i="23"/>
  <c r="AQ88" i="23"/>
  <c r="AY88" i="23"/>
  <c r="V88" i="23"/>
  <c r="S88" i="23"/>
  <c r="AP88" i="23"/>
  <c r="Z88" i="23"/>
  <c r="BM88" i="23"/>
  <c r="BK88" i="23"/>
  <c r="BJ88" i="23"/>
  <c r="AO88" i="23"/>
  <c r="BV89" i="23"/>
  <c r="CB88" i="23"/>
  <c r="BP88" i="23"/>
  <c r="BQ88" i="23" s="1"/>
  <c r="BN88" i="23"/>
  <c r="BF88" i="23"/>
  <c r="AN88" i="23"/>
  <c r="CA89" i="23"/>
  <c r="BZ89" i="23"/>
  <c r="BY89" i="23"/>
  <c r="AL67" i="23"/>
  <c r="AK67" i="23"/>
  <c r="AJ67" i="23"/>
  <c r="CC67" i="23"/>
  <c r="AI67" i="23"/>
  <c r="AA67" i="23"/>
  <c r="AM67" i="23"/>
  <c r="AD67" i="23"/>
  <c r="AC67" i="23"/>
  <c r="AB67" i="23"/>
  <c r="AV78" i="23"/>
  <c r="AE78" i="23"/>
  <c r="U78" i="23"/>
  <c r="T78" i="23"/>
  <c r="AW78" i="23"/>
  <c r="BI9" i="23"/>
  <c r="CD16" i="23"/>
  <c r="AX16" i="23"/>
  <c r="CA37" i="23"/>
  <c r="BZ37" i="23"/>
  <c r="BY37" i="23"/>
  <c r="AE81" i="23"/>
  <c r="AV81" i="23"/>
  <c r="AW81" i="23"/>
  <c r="U81" i="23"/>
  <c r="T81" i="23"/>
  <c r="BS59" i="23"/>
  <c r="Y59" i="23"/>
  <c r="AW101" i="23"/>
  <c r="U101" i="23"/>
  <c r="AV101" i="23"/>
  <c r="AE101" i="23"/>
  <c r="T101" i="23"/>
  <c r="AW21" i="23"/>
  <c r="BL21" i="23"/>
  <c r="U21" i="23"/>
  <c r="T21" i="23"/>
  <c r="AE21" i="23"/>
  <c r="AV21" i="23"/>
  <c r="BL22" i="23"/>
  <c r="AV22" i="23"/>
  <c r="AE22" i="23"/>
  <c r="U22" i="23"/>
  <c r="T22" i="23"/>
  <c r="AW22" i="23"/>
  <c r="CA69" i="23"/>
  <c r="BY69" i="23"/>
  <c r="BZ69" i="23"/>
  <c r="AB25" i="23"/>
  <c r="AD25" i="23"/>
  <c r="CC25" i="23"/>
  <c r="AC25" i="23"/>
  <c r="AA25" i="23"/>
  <c r="AL25" i="23"/>
  <c r="AI25" i="23"/>
  <c r="AJ25" i="23"/>
  <c r="AM25" i="23"/>
  <c r="AK25" i="23"/>
  <c r="BU25" i="23"/>
  <c r="BT25" i="23"/>
  <c r="BI11" i="23"/>
  <c r="AS9" i="23"/>
  <c r="AQ9" i="23"/>
  <c r="S9" i="23"/>
  <c r="BN9" i="23"/>
  <c r="BM9" i="23"/>
  <c r="BK9" i="23"/>
  <c r="V9" i="23"/>
  <c r="AY9" i="23"/>
  <c r="CB9" i="23"/>
  <c r="AP9" i="23"/>
  <c r="AO9" i="23"/>
  <c r="AN9" i="23"/>
  <c r="BJ9" i="23"/>
  <c r="Z9" i="23"/>
  <c r="BV10" i="23"/>
  <c r="BP9" i="23"/>
  <c r="BQ9" i="23" s="1"/>
  <c r="BF9" i="23"/>
  <c r="AX6" i="23"/>
  <c r="CD6" i="23"/>
  <c r="CD21" i="23"/>
  <c r="AX21" i="23"/>
  <c r="AV71" i="23"/>
  <c r="U71" i="23"/>
  <c r="T71" i="23"/>
  <c r="AW71" i="23"/>
  <c r="AE71" i="23"/>
  <c r="AC2" i="23"/>
  <c r="CC2" i="23"/>
  <c r="AM2" i="23"/>
  <c r="AL2" i="23"/>
  <c r="AK2" i="23"/>
  <c r="AJ2" i="23"/>
  <c r="AI2" i="23"/>
  <c r="AA2" i="23"/>
  <c r="AD2" i="23"/>
  <c r="AB2" i="23"/>
  <c r="CC37" i="23"/>
  <c r="AD37" i="23"/>
  <c r="AM37" i="23"/>
  <c r="AL37" i="23"/>
  <c r="AK37" i="23"/>
  <c r="AJ37" i="23"/>
  <c r="AB37" i="23"/>
  <c r="AI37" i="23"/>
  <c r="AC37" i="23"/>
  <c r="AA37" i="23"/>
  <c r="AO7" i="23"/>
  <c r="V7" i="23"/>
  <c r="AS7" i="23"/>
  <c r="S7" i="23"/>
  <c r="CB7" i="23"/>
  <c r="AQ7" i="23"/>
  <c r="AP7" i="23"/>
  <c r="AN7" i="23"/>
  <c r="BV8" i="23"/>
  <c r="BP7" i="23"/>
  <c r="BQ7" i="23" s="1"/>
  <c r="BN7" i="23"/>
  <c r="BM7" i="23"/>
  <c r="Z7" i="23"/>
  <c r="BF7" i="23"/>
  <c r="AY7" i="23"/>
  <c r="BK7" i="23"/>
  <c r="BJ7" i="23"/>
  <c r="BY110" i="23"/>
  <c r="CA110" i="23"/>
  <c r="BZ110" i="23"/>
  <c r="BS91" i="23"/>
  <c r="Y91" i="23"/>
  <c r="CC80" i="23"/>
  <c r="AJ80" i="23"/>
  <c r="AI80" i="23"/>
  <c r="AL80" i="23"/>
  <c r="AB80" i="23"/>
  <c r="AA80" i="23"/>
  <c r="AK80" i="23"/>
  <c r="AD80" i="23"/>
  <c r="AC80" i="23"/>
  <c r="AM80" i="23"/>
  <c r="C128" i="23"/>
  <c r="D128" i="23" s="1"/>
  <c r="B128" i="23"/>
  <c r="BH128" i="23" s="1"/>
  <c r="W128" i="23"/>
  <c r="X128" i="23"/>
  <c r="AT128" i="23"/>
  <c r="AK48" i="23"/>
  <c r="CC48" i="23"/>
  <c r="AM48" i="23"/>
  <c r="AL48" i="23"/>
  <c r="AJ48" i="23"/>
  <c r="AI48" i="23"/>
  <c r="AA48" i="23"/>
  <c r="AD48" i="23"/>
  <c r="AC48" i="23"/>
  <c r="AB48" i="23"/>
  <c r="AJ3" i="23"/>
  <c r="CC3" i="23"/>
  <c r="AM3" i="23"/>
  <c r="AL3" i="23"/>
  <c r="AK3" i="23"/>
  <c r="AI3" i="23"/>
  <c r="AD3" i="23"/>
  <c r="AC3" i="23"/>
  <c r="AB3" i="23"/>
  <c r="AA3" i="23"/>
  <c r="Y68" i="23"/>
  <c r="BS68" i="23"/>
  <c r="BS71" i="23"/>
  <c r="Y71" i="23"/>
  <c r="BH235" i="23"/>
  <c r="BO235" i="23"/>
  <c r="BH242" i="23"/>
  <c r="BO242" i="23"/>
  <c r="AD138" i="23"/>
  <c r="AK138" i="23"/>
  <c r="AM138" i="23"/>
  <c r="AA138" i="23"/>
  <c r="AC138" i="23"/>
  <c r="CC138" i="23"/>
  <c r="AB138" i="23"/>
  <c r="AL138" i="23"/>
  <c r="AI138" i="23"/>
  <c r="AJ138" i="23"/>
  <c r="BH255" i="23"/>
  <c r="BO255" i="23"/>
  <c r="CA121" i="23"/>
  <c r="BZ121" i="23"/>
  <c r="BY121" i="23"/>
  <c r="BH228" i="23"/>
  <c r="BO228" i="23"/>
  <c r="BI139" i="23"/>
  <c r="BO195" i="23"/>
  <c r="BH195" i="23"/>
  <c r="BU139" i="23"/>
  <c r="BT139" i="23"/>
  <c r="AT124" i="23"/>
  <c r="X124" i="23"/>
  <c r="C124" i="23"/>
  <c r="W124" i="23"/>
  <c r="B124" i="23"/>
  <c r="BO124" i="23" s="1"/>
  <c r="AW93" i="23"/>
  <c r="AE93" i="23"/>
  <c r="U93" i="23"/>
  <c r="T93" i="23"/>
  <c r="AV93" i="23"/>
  <c r="AM102" i="23"/>
  <c r="AK102" i="23"/>
  <c r="AD102" i="23"/>
  <c r="AB102" i="23"/>
  <c r="AA102" i="23"/>
  <c r="AJ102" i="23"/>
  <c r="AI102" i="23"/>
  <c r="AC102" i="23"/>
  <c r="AL102" i="23"/>
  <c r="CC102" i="23"/>
  <c r="BI123" i="23"/>
  <c r="CA137" i="23"/>
  <c r="BZ137" i="23"/>
  <c r="BY137" i="23"/>
  <c r="AW112" i="23"/>
  <c r="T112" i="23"/>
  <c r="AV112" i="23"/>
  <c r="AE112" i="23"/>
  <c r="U112" i="23"/>
  <c r="AE95" i="23"/>
  <c r="T95" i="23"/>
  <c r="AW95" i="23"/>
  <c r="U95" i="23"/>
  <c r="AV95" i="23"/>
  <c r="BJ133" i="23"/>
  <c r="AP133" i="23"/>
  <c r="BK133" i="23"/>
  <c r="Z133" i="23"/>
  <c r="AO133" i="23"/>
  <c r="CB133" i="23"/>
  <c r="BV134" i="23"/>
  <c r="BN133" i="23"/>
  <c r="BP133" i="23"/>
  <c r="BQ133" i="23" s="1"/>
  <c r="S133" i="23"/>
  <c r="BM133" i="23"/>
  <c r="AQ133" i="23"/>
  <c r="AN133" i="23"/>
  <c r="AS133" i="23"/>
  <c r="BF133" i="23"/>
  <c r="AY133" i="23"/>
  <c r="V133" i="23"/>
  <c r="Z110" i="23"/>
  <c r="BF110" i="23"/>
  <c r="V110" i="23"/>
  <c r="AP110" i="23"/>
  <c r="CB110" i="23"/>
  <c r="AO110" i="23"/>
  <c r="BP110" i="23"/>
  <c r="BQ110" i="23" s="1"/>
  <c r="BV111" i="23"/>
  <c r="BK110" i="23"/>
  <c r="BJ110" i="23"/>
  <c r="AY110" i="23"/>
  <c r="BM110" i="23"/>
  <c r="BN110" i="23"/>
  <c r="AS110" i="23"/>
  <c r="AQ110" i="23"/>
  <c r="AN110" i="23"/>
  <c r="S110" i="23"/>
  <c r="BO232" i="23"/>
  <c r="BH232" i="23"/>
  <c r="BU67" i="23"/>
  <c r="BT67" i="23"/>
  <c r="BT100" i="23"/>
  <c r="BU100" i="23"/>
  <c r="BZ122" i="23"/>
  <c r="BY122" i="23"/>
  <c r="CA122" i="23"/>
  <c r="BU39" i="23"/>
  <c r="BT39" i="23"/>
  <c r="BI89" i="23"/>
  <c r="BZ118" i="23"/>
  <c r="BY118" i="23"/>
  <c r="CA118" i="23"/>
  <c r="BT126" i="23"/>
  <c r="BU126" i="23"/>
  <c r="BP126" i="23"/>
  <c r="BQ126" i="23" s="1"/>
  <c r="AN126" i="23"/>
  <c r="AQ126" i="23"/>
  <c r="AP126" i="23"/>
  <c r="BV127" i="23"/>
  <c r="S126" i="23"/>
  <c r="CB126" i="23"/>
  <c r="BM126" i="23"/>
  <c r="AY126" i="23"/>
  <c r="BK126" i="23"/>
  <c r="BJ126" i="23"/>
  <c r="AO126" i="23"/>
  <c r="Z126" i="23"/>
  <c r="BF126" i="23"/>
  <c r="V126" i="23"/>
  <c r="BN126" i="23"/>
  <c r="AS126" i="23"/>
  <c r="BU62" i="23"/>
  <c r="BT62" i="23"/>
  <c r="AE61" i="23"/>
  <c r="U61" i="23"/>
  <c r="T61" i="23"/>
  <c r="AV61" i="23"/>
  <c r="AW61" i="23"/>
  <c r="BI108" i="23"/>
  <c r="BM41" i="23"/>
  <c r="BN41" i="23"/>
  <c r="BK41" i="23"/>
  <c r="V41" i="23"/>
  <c r="S41" i="23"/>
  <c r="AY41" i="23"/>
  <c r="CB41" i="23"/>
  <c r="AS41" i="23"/>
  <c r="AP41" i="23"/>
  <c r="BJ41" i="23"/>
  <c r="BF41" i="23"/>
  <c r="AQ41" i="23"/>
  <c r="AO41" i="23"/>
  <c r="AN41" i="23"/>
  <c r="BV42" i="23"/>
  <c r="BP41" i="23"/>
  <c r="BQ41" i="23" s="1"/>
  <c r="Z41" i="23"/>
  <c r="Y48" i="23"/>
  <c r="BB48" i="23"/>
  <c r="BS48" i="23"/>
  <c r="Z46" i="23"/>
  <c r="AS46" i="23"/>
  <c r="AQ46" i="23"/>
  <c r="AP46" i="23"/>
  <c r="BV47" i="23"/>
  <c r="BF46" i="23"/>
  <c r="S46" i="23"/>
  <c r="AY46" i="23"/>
  <c r="CB46" i="23"/>
  <c r="AO46" i="23"/>
  <c r="AN46" i="23"/>
  <c r="BN46" i="23"/>
  <c r="BK46" i="23"/>
  <c r="BJ46" i="23"/>
  <c r="BM46" i="23"/>
  <c r="V46" i="23"/>
  <c r="BP46" i="23"/>
  <c r="BQ46" i="23" s="1"/>
  <c r="Y73" i="23"/>
  <c r="BS73" i="23"/>
  <c r="BT64" i="23"/>
  <c r="BU64" i="23"/>
  <c r="CA85" i="23"/>
  <c r="BY85" i="23"/>
  <c r="BZ85" i="23"/>
  <c r="BZ94" i="23"/>
  <c r="CA94" i="23"/>
  <c r="BY94" i="23"/>
  <c r="BU69" i="23"/>
  <c r="BT69" i="23"/>
  <c r="X14" i="23"/>
  <c r="W14" i="23"/>
  <c r="AZ14" i="23"/>
  <c r="C14" i="23"/>
  <c r="D14" i="23" s="1"/>
  <c r="B14" i="23"/>
  <c r="BO14" i="23" s="1"/>
  <c r="AT14" i="23"/>
  <c r="BG14" i="23" s="1"/>
  <c r="Z35" i="23"/>
  <c r="CB35" i="23"/>
  <c r="AY35" i="23"/>
  <c r="BJ35" i="23"/>
  <c r="AS35" i="23"/>
  <c r="AQ35" i="23"/>
  <c r="AP35" i="23"/>
  <c r="AO35" i="23"/>
  <c r="AN35" i="23"/>
  <c r="BV36" i="23"/>
  <c r="BK35" i="23"/>
  <c r="V35" i="23"/>
  <c r="S35" i="23"/>
  <c r="BP35" i="23"/>
  <c r="BQ35" i="23" s="1"/>
  <c r="BN35" i="23"/>
  <c r="BM35" i="23"/>
  <c r="BF35" i="23"/>
  <c r="BI44" i="23"/>
  <c r="C48" i="23"/>
  <c r="X48" i="23"/>
  <c r="W48" i="23"/>
  <c r="AZ48" i="23"/>
  <c r="AT48" i="23"/>
  <c r="BG48" i="23" s="1"/>
  <c r="B48" i="23"/>
  <c r="BO48" i="23" s="1"/>
  <c r="BZ96" i="23"/>
  <c r="CA96" i="23"/>
  <c r="BY96" i="23"/>
  <c r="U65" i="23"/>
  <c r="T65" i="23"/>
  <c r="AE65" i="23"/>
  <c r="AW65" i="23"/>
  <c r="AV65" i="23"/>
  <c r="BL37" i="23"/>
  <c r="U37" i="23"/>
  <c r="T37" i="23"/>
  <c r="AW37" i="23"/>
  <c r="AV37" i="23"/>
  <c r="AE37" i="23"/>
  <c r="AE36" i="23"/>
  <c r="AW36" i="23"/>
  <c r="AV36" i="23"/>
  <c r="BL36" i="23"/>
  <c r="U36" i="23"/>
  <c r="T36" i="23"/>
  <c r="X20" i="23"/>
  <c r="W20" i="23"/>
  <c r="AZ20" i="23"/>
  <c r="C20" i="23"/>
  <c r="D20" i="23" s="1"/>
  <c r="B20" i="23"/>
  <c r="BH20" i="23" s="1"/>
  <c r="AT20" i="23"/>
  <c r="BG20" i="23" s="1"/>
  <c r="AX19" i="23"/>
  <c r="CD19" i="23"/>
  <c r="AD12" i="23"/>
  <c r="CC12" i="23"/>
  <c r="AM12" i="23"/>
  <c r="AL12" i="23"/>
  <c r="AK12" i="23"/>
  <c r="AJ12" i="23"/>
  <c r="AI12" i="23"/>
  <c r="AC12" i="23"/>
  <c r="AA12" i="23"/>
  <c r="AB12" i="23"/>
  <c r="BS56" i="23"/>
  <c r="Y56" i="23"/>
  <c r="CA120" i="23"/>
  <c r="BZ120" i="23"/>
  <c r="BY120" i="23"/>
  <c r="CB27" i="23"/>
  <c r="BP27" i="23"/>
  <c r="BQ27" i="23" s="1"/>
  <c r="AO27" i="23"/>
  <c r="AN27" i="23"/>
  <c r="BN27" i="23"/>
  <c r="BM27" i="23"/>
  <c r="BK27" i="23"/>
  <c r="BJ27" i="23"/>
  <c r="Z27" i="23"/>
  <c r="BF27" i="23"/>
  <c r="V27" i="23"/>
  <c r="AP27" i="23"/>
  <c r="AY27" i="23"/>
  <c r="BV28" i="23"/>
  <c r="AS27" i="23"/>
  <c r="AQ27" i="23"/>
  <c r="S27" i="23"/>
  <c r="BT24" i="23"/>
  <c r="BU24" i="23"/>
  <c r="AD19" i="23"/>
  <c r="AC19" i="23"/>
  <c r="AB19" i="23"/>
  <c r="AA19" i="23"/>
  <c r="AK19" i="23"/>
  <c r="AL19" i="23"/>
  <c r="AJ19" i="23"/>
  <c r="AI19" i="23"/>
  <c r="AM19" i="23"/>
  <c r="CC19" i="23"/>
  <c r="X63" i="23"/>
  <c r="W63" i="23"/>
  <c r="C63" i="23"/>
  <c r="D63" i="23" s="1"/>
  <c r="B63" i="23"/>
  <c r="BO63" i="23" s="1"/>
  <c r="AT63" i="23"/>
  <c r="B4" i="23"/>
  <c r="BB4" i="23" s="1"/>
  <c r="AT4" i="23"/>
  <c r="BG4" i="23" s="1"/>
  <c r="X4" i="23"/>
  <c r="W4" i="23"/>
  <c r="C4" i="23"/>
  <c r="AZ4" i="23"/>
  <c r="AY18" i="23"/>
  <c r="Z18" i="23"/>
  <c r="BJ18" i="23"/>
  <c r="AO18" i="23"/>
  <c r="AN18" i="23"/>
  <c r="BP18" i="23"/>
  <c r="BQ18" i="23" s="1"/>
  <c r="BK18" i="23"/>
  <c r="S18" i="23"/>
  <c r="BF18" i="23"/>
  <c r="AS18" i="23"/>
  <c r="AQ18" i="23"/>
  <c r="AP18" i="23"/>
  <c r="V18" i="23"/>
  <c r="CB18" i="23"/>
  <c r="BN18" i="23"/>
  <c r="BM18" i="23"/>
  <c r="BV19" i="23"/>
  <c r="C58" i="23"/>
  <c r="AT58" i="23"/>
  <c r="X58" i="23"/>
  <c r="W58" i="23"/>
  <c r="B58" i="23"/>
  <c r="BO58" i="23" s="1"/>
  <c r="CA50" i="23"/>
  <c r="BZ50" i="23"/>
  <c r="BY50" i="23"/>
  <c r="BI6" i="23"/>
  <c r="CA22" i="23"/>
  <c r="BY22" i="23"/>
  <c r="BZ22" i="23"/>
  <c r="Y131" i="23"/>
  <c r="BS131" i="23"/>
  <c r="B36" i="23"/>
  <c r="BH36" i="23" s="1"/>
  <c r="AT36" i="23"/>
  <c r="BG36" i="23" s="1"/>
  <c r="AZ36" i="23"/>
  <c r="C36" i="23"/>
  <c r="D36" i="23" s="1"/>
  <c r="X36" i="23"/>
  <c r="W36" i="23"/>
  <c r="BZ95" i="23"/>
  <c r="CA95" i="23"/>
  <c r="BY95" i="23"/>
  <c r="AM32" i="23"/>
  <c r="AL32" i="23"/>
  <c r="AD32" i="23"/>
  <c r="AC32" i="23"/>
  <c r="AB32" i="23"/>
  <c r="AA32" i="23"/>
  <c r="AJ32" i="23"/>
  <c r="AK32" i="23"/>
  <c r="AI32" i="23"/>
  <c r="CC32" i="23"/>
  <c r="F90" i="10"/>
  <c r="BZ124" i="23"/>
  <c r="CA124" i="23"/>
  <c r="BY124" i="23"/>
  <c r="B13" i="16"/>
  <c r="CA105" i="23"/>
  <c r="BZ105" i="23"/>
  <c r="BY105" i="23"/>
  <c r="B3" i="40"/>
  <c r="C4" i="16"/>
  <c r="B2" i="40" s="1"/>
  <c r="B140" i="16"/>
  <c r="C140" i="16" s="1"/>
  <c r="B2" i="37" s="1"/>
  <c r="B53" i="10" s="1"/>
  <c r="F53" i="10" s="1"/>
  <c r="B181" i="16"/>
  <c r="B182" i="16" s="1"/>
  <c r="B185" i="16" s="1"/>
  <c r="BH211" i="23"/>
  <c r="BO211" i="23"/>
  <c r="BO197" i="23"/>
  <c r="BH197" i="23"/>
  <c r="BH251" i="23"/>
  <c r="BO251" i="23"/>
  <c r="CA141" i="23"/>
  <c r="BY141" i="23"/>
  <c r="BZ141" i="23"/>
  <c r="BP143" i="23"/>
  <c r="BQ143" i="23" s="1"/>
  <c r="V143" i="23"/>
  <c r="AS143" i="23"/>
  <c r="AQ143" i="23"/>
  <c r="AY143" i="23"/>
  <c r="AN143" i="23"/>
  <c r="BN143" i="23"/>
  <c r="AP143" i="23"/>
  <c r="AO143" i="23"/>
  <c r="BK143" i="23"/>
  <c r="S143" i="23"/>
  <c r="BJ143" i="23"/>
  <c r="CB143" i="23"/>
  <c r="BF143" i="23"/>
  <c r="Z143" i="23"/>
  <c r="BM143" i="23"/>
  <c r="BV144" i="23"/>
  <c r="BO224" i="23"/>
  <c r="BH224" i="23"/>
  <c r="Y105" i="23"/>
  <c r="BS105" i="23"/>
  <c r="AJ121" i="23"/>
  <c r="AI121" i="23"/>
  <c r="AD121" i="23"/>
  <c r="AK121" i="23"/>
  <c r="AC121" i="23"/>
  <c r="CC121" i="23"/>
  <c r="AA121" i="23"/>
  <c r="AB121" i="23"/>
  <c r="AM121" i="23"/>
  <c r="AL121" i="23"/>
  <c r="BO225" i="23"/>
  <c r="BH225" i="23"/>
  <c r="CA106" i="23"/>
  <c r="BZ106" i="23"/>
  <c r="BY106" i="23"/>
  <c r="BH188" i="23"/>
  <c r="BO188" i="23"/>
  <c r="BO266" i="23"/>
  <c r="BH266" i="23"/>
  <c r="CC111" i="23"/>
  <c r="AD111" i="23"/>
  <c r="AL111" i="23"/>
  <c r="AI111" i="23"/>
  <c r="AK111" i="23"/>
  <c r="AM111" i="23"/>
  <c r="AJ111" i="23"/>
  <c r="AB111" i="23"/>
  <c r="AA111" i="23"/>
  <c r="AC111" i="23"/>
  <c r="BT92" i="23"/>
  <c r="BU92" i="23"/>
  <c r="AE122" i="23"/>
  <c r="U122" i="23"/>
  <c r="T122" i="23"/>
  <c r="AW122" i="23"/>
  <c r="AV122" i="23"/>
  <c r="T118" i="23"/>
  <c r="AE118" i="23"/>
  <c r="AV118" i="23"/>
  <c r="AW118" i="23"/>
  <c r="U118" i="23"/>
  <c r="Y129" i="23"/>
  <c r="BS129" i="23"/>
  <c r="AL96" i="23"/>
  <c r="AM96" i="23"/>
  <c r="AK96" i="23"/>
  <c r="AI96" i="23"/>
  <c r="AA96" i="23"/>
  <c r="AJ96" i="23"/>
  <c r="AC96" i="23"/>
  <c r="CC96" i="23"/>
  <c r="AD96" i="23"/>
  <c r="AB96" i="23"/>
  <c r="BT130" i="23"/>
  <c r="BU130" i="23"/>
  <c r="AY145" i="23"/>
  <c r="AP145" i="23"/>
  <c r="CB145" i="23"/>
  <c r="AO145" i="23"/>
  <c r="BV146" i="23"/>
  <c r="BJ145" i="23"/>
  <c r="S145" i="23"/>
  <c r="V145" i="23"/>
  <c r="AS145" i="23"/>
  <c r="AQ145" i="23"/>
  <c r="BM145" i="23"/>
  <c r="BK145" i="23"/>
  <c r="Z145" i="23"/>
  <c r="BP145" i="23"/>
  <c r="BQ145" i="23" s="1"/>
  <c r="BN145" i="23"/>
  <c r="BF145" i="23"/>
  <c r="AN145" i="23"/>
  <c r="BU99" i="23"/>
  <c r="BT99" i="23"/>
  <c r="BI54" i="23"/>
  <c r="BI117" i="23"/>
  <c r="AE121" i="23"/>
  <c r="AW121" i="23"/>
  <c r="AV121" i="23"/>
  <c r="U121" i="23"/>
  <c r="T121" i="23"/>
  <c r="AQ104" i="23"/>
  <c r="BF104" i="23"/>
  <c r="S104" i="23"/>
  <c r="BJ104" i="23"/>
  <c r="V104" i="23"/>
  <c r="CB104" i="23"/>
  <c r="BK104" i="23"/>
  <c r="Z104" i="23"/>
  <c r="BV105" i="23"/>
  <c r="BM104" i="23"/>
  <c r="AO104" i="23"/>
  <c r="BP104" i="23"/>
  <c r="BQ104" i="23" s="1"/>
  <c r="BN104" i="23"/>
  <c r="AS104" i="23"/>
  <c r="AP104" i="23"/>
  <c r="AN104" i="23"/>
  <c r="AY104" i="23"/>
  <c r="AC73" i="23"/>
  <c r="AB73" i="23"/>
  <c r="AL73" i="23"/>
  <c r="AK73" i="23"/>
  <c r="AJ73" i="23"/>
  <c r="AI73" i="23"/>
  <c r="CC73" i="23"/>
  <c r="AA73" i="23"/>
  <c r="AD73" i="23"/>
  <c r="AM73" i="23"/>
  <c r="AD103" i="23"/>
  <c r="AC103" i="23"/>
  <c r="AB103" i="23"/>
  <c r="AA103" i="23"/>
  <c r="AJ103" i="23"/>
  <c r="AI103" i="23"/>
  <c r="CC103" i="23"/>
  <c r="AM103" i="23"/>
  <c r="AL103" i="23"/>
  <c r="AK103" i="23"/>
  <c r="C61" i="23"/>
  <c r="D61" i="23" s="1"/>
  <c r="B61" i="23"/>
  <c r="BO61" i="23" s="1"/>
  <c r="X61" i="23"/>
  <c r="W61" i="23"/>
  <c r="AT61" i="23"/>
  <c r="BF60" i="23"/>
  <c r="Z60" i="23"/>
  <c r="AO60" i="23"/>
  <c r="BN60" i="23"/>
  <c r="AS60" i="23"/>
  <c r="BM60" i="23"/>
  <c r="BK60" i="23"/>
  <c r="BV61" i="23"/>
  <c r="BJ60" i="23"/>
  <c r="S60" i="23"/>
  <c r="AY60" i="23"/>
  <c r="CB60" i="23"/>
  <c r="BP60" i="23"/>
  <c r="BQ60" i="23" s="1"/>
  <c r="AQ60" i="23"/>
  <c r="AP60" i="23"/>
  <c r="AN60" i="23"/>
  <c r="V60" i="23"/>
  <c r="BZ63" i="23"/>
  <c r="BY63" i="23"/>
  <c r="CA63" i="23"/>
  <c r="T150" i="23"/>
  <c r="U150" i="23"/>
  <c r="AV150" i="23"/>
  <c r="AW150" i="23"/>
  <c r="AE150" i="23"/>
  <c r="W59" i="23"/>
  <c r="AT59" i="23"/>
  <c r="C59" i="23"/>
  <c r="X59" i="23"/>
  <c r="B59" i="23"/>
  <c r="BH59" i="23" s="1"/>
  <c r="BS86" i="23"/>
  <c r="Y86" i="23"/>
  <c r="BS61" i="23"/>
  <c r="Y61" i="23"/>
  <c r="AV12" i="23"/>
  <c r="U12" i="23"/>
  <c r="T12" i="23"/>
  <c r="AW12" i="23"/>
  <c r="AE12" i="23"/>
  <c r="BL12" i="23"/>
  <c r="BP33" i="23"/>
  <c r="BQ33" i="23" s="1"/>
  <c r="AP33" i="23"/>
  <c r="AO33" i="23"/>
  <c r="AS33" i="23"/>
  <c r="AQ33" i="23"/>
  <c r="AN33" i="23"/>
  <c r="BN33" i="23"/>
  <c r="BK33" i="23"/>
  <c r="BV34" i="23"/>
  <c r="CB33" i="23"/>
  <c r="BM33" i="23"/>
  <c r="Z33" i="23"/>
  <c r="V33" i="23"/>
  <c r="BJ33" i="23"/>
  <c r="BF33" i="23"/>
  <c r="S33" i="23"/>
  <c r="AY33" i="23"/>
  <c r="AW34" i="23"/>
  <c r="U34" i="23"/>
  <c r="T34" i="23"/>
  <c r="AV34" i="23"/>
  <c r="BL34" i="23"/>
  <c r="AE34" i="23"/>
  <c r="CA40" i="23"/>
  <c r="BZ40" i="23"/>
  <c r="BY40" i="23"/>
  <c r="AL90" i="23"/>
  <c r="AK90" i="23"/>
  <c r="AM90" i="23"/>
  <c r="AJ90" i="23"/>
  <c r="AI90" i="23"/>
  <c r="AB90" i="23"/>
  <c r="AA90" i="23"/>
  <c r="AD90" i="23"/>
  <c r="CC90" i="23"/>
  <c r="AC90" i="23"/>
  <c r="BI36" i="23"/>
  <c r="BT18" i="23"/>
  <c r="BU18" i="23"/>
  <c r="T87" i="23"/>
  <c r="AE87" i="23"/>
  <c r="U87" i="23"/>
  <c r="AW87" i="23"/>
  <c r="AV87" i="23"/>
  <c r="AI87" i="23"/>
  <c r="AD87" i="23"/>
  <c r="AC87" i="23"/>
  <c r="AB87" i="23"/>
  <c r="CC87" i="23"/>
  <c r="AM87" i="23"/>
  <c r="AJ87" i="23"/>
  <c r="AA87" i="23"/>
  <c r="AL87" i="23"/>
  <c r="AK87" i="23"/>
  <c r="CA20" i="23"/>
  <c r="BY20" i="23"/>
  <c r="BZ20" i="23"/>
  <c r="BU7" i="23"/>
  <c r="BT7" i="23"/>
  <c r="B25" i="23"/>
  <c r="BO25" i="23" s="1"/>
  <c r="X25" i="23"/>
  <c r="W25" i="23"/>
  <c r="AZ25" i="23"/>
  <c r="C25" i="23"/>
  <c r="AT25" i="23"/>
  <c r="BG25" i="23" s="1"/>
  <c r="BU17" i="23"/>
  <c r="BT17" i="23"/>
  <c r="AX3" i="23"/>
  <c r="CD3" i="23"/>
  <c r="BF29" i="23"/>
  <c r="Z29" i="23"/>
  <c r="AY29" i="23"/>
  <c r="BJ29" i="23"/>
  <c r="BN29" i="23"/>
  <c r="BV30" i="23"/>
  <c r="BM29" i="23"/>
  <c r="BK29" i="23"/>
  <c r="V29" i="23"/>
  <c r="S29" i="23"/>
  <c r="AN29" i="23"/>
  <c r="AP29" i="23"/>
  <c r="AO29" i="23"/>
  <c r="CB29" i="23"/>
  <c r="BP29" i="23"/>
  <c r="BQ29" i="23" s="1"/>
  <c r="AS29" i="23"/>
  <c r="AQ29" i="23"/>
  <c r="BI31" i="23"/>
  <c r="BV21" i="23"/>
  <c r="CB20" i="23"/>
  <c r="BN20" i="23"/>
  <c r="BM20" i="23"/>
  <c r="BK20" i="23"/>
  <c r="BJ20" i="23"/>
  <c r="Z20" i="23"/>
  <c r="BF20" i="23"/>
  <c r="V20" i="23"/>
  <c r="AY20" i="23"/>
  <c r="AP20" i="23"/>
  <c r="BP20" i="23"/>
  <c r="BQ20" i="23" s="1"/>
  <c r="AN20" i="23"/>
  <c r="S20" i="23"/>
  <c r="AQ20" i="23"/>
  <c r="AO20" i="23"/>
  <c r="AS20" i="23"/>
  <c r="Y13" i="23"/>
  <c r="BB13" i="23"/>
  <c r="BS13" i="23"/>
  <c r="BT22" i="23"/>
  <c r="BU22" i="23"/>
  <c r="BY127" i="23"/>
  <c r="CA127" i="23"/>
  <c r="BZ127" i="23"/>
  <c r="AM150" i="23"/>
  <c r="AJ150" i="23"/>
  <c r="AI150" i="23"/>
  <c r="AC150" i="23"/>
  <c r="AL150" i="23"/>
  <c r="CC150" i="23"/>
  <c r="AD150" i="23"/>
  <c r="AA150" i="23"/>
  <c r="AK150" i="23"/>
  <c r="AB150" i="23"/>
  <c r="AT62" i="23"/>
  <c r="C62" i="23"/>
  <c r="D62" i="23" s="1"/>
  <c r="B62" i="23"/>
  <c r="BO62" i="23" s="1"/>
  <c r="X62" i="23"/>
  <c r="W62" i="23"/>
  <c r="W97" i="23"/>
  <c r="X97" i="23"/>
  <c r="AT97" i="23"/>
  <c r="C97" i="23"/>
  <c r="B97" i="23"/>
  <c r="BH97" i="23" s="1"/>
  <c r="BV31" i="23"/>
  <c r="BK30" i="23"/>
  <c r="BJ30" i="23"/>
  <c r="BF30" i="23"/>
  <c r="AQ30" i="23"/>
  <c r="AN30" i="23"/>
  <c r="BP30" i="23"/>
  <c r="BQ30" i="23" s="1"/>
  <c r="Z30" i="23"/>
  <c r="BN30" i="23"/>
  <c r="BM30" i="23"/>
  <c r="V30" i="23"/>
  <c r="CB30" i="23"/>
  <c r="AY30" i="23"/>
  <c r="AS30" i="23"/>
  <c r="AP30" i="23"/>
  <c r="AO30" i="23"/>
  <c r="S30" i="23"/>
  <c r="AV127" i="23"/>
  <c r="AW127" i="23"/>
  <c r="U127" i="23"/>
  <c r="T127" i="23"/>
  <c r="AE127" i="23"/>
  <c r="AT38" i="23"/>
  <c r="BG38" i="23" s="1"/>
  <c r="B38" i="23"/>
  <c r="BO38" i="23" s="1"/>
  <c r="AZ38" i="23"/>
  <c r="C38" i="23"/>
  <c r="X38" i="23"/>
  <c r="W38" i="23"/>
  <c r="BH221" i="23"/>
  <c r="BO221" i="23"/>
  <c r="BS2" i="23"/>
  <c r="Y2" i="23"/>
  <c r="BB2" i="23"/>
  <c r="AW72" i="23"/>
  <c r="T72" i="23"/>
  <c r="U72" i="23"/>
  <c r="AV72" i="23"/>
  <c r="AE72" i="23"/>
  <c r="BZ150" i="23"/>
  <c r="BY150" i="23"/>
  <c r="CA150" i="23"/>
  <c r="BO174" i="23"/>
  <c r="BH174" i="23"/>
  <c r="BH236" i="23"/>
  <c r="BO236" i="23"/>
  <c r="AM139" i="23"/>
  <c r="AD139" i="23"/>
  <c r="AJ139" i="23"/>
  <c r="AK139" i="23"/>
  <c r="AB139" i="23"/>
  <c r="AI139" i="23"/>
  <c r="AC139" i="23"/>
  <c r="CC139" i="23"/>
  <c r="AL139" i="23"/>
  <c r="AA139" i="23"/>
  <c r="AP142" i="23"/>
  <c r="CB142" i="23"/>
  <c r="AS142" i="23"/>
  <c r="BV143" i="23"/>
  <c r="BJ142" i="23"/>
  <c r="V142" i="23"/>
  <c r="S142" i="23"/>
  <c r="AY142" i="23"/>
  <c r="BN142" i="23"/>
  <c r="BM142" i="23"/>
  <c r="BK142" i="23"/>
  <c r="BF142" i="23"/>
  <c r="AQ142" i="23"/>
  <c r="Z142" i="23"/>
  <c r="BP142" i="23"/>
  <c r="BQ142" i="23" s="1"/>
  <c r="AO142" i="23"/>
  <c r="AN142" i="23"/>
  <c r="BH180" i="23"/>
  <c r="BO180" i="23"/>
  <c r="AP150" i="23"/>
  <c r="Z150" i="23"/>
  <c r="BF150" i="23"/>
  <c r="BJ150" i="23"/>
  <c r="AS150" i="23"/>
  <c r="AQ150" i="23"/>
  <c r="BK150" i="23"/>
  <c r="BP150" i="23"/>
  <c r="BQ150" i="23" s="1"/>
  <c r="S150" i="23"/>
  <c r="AN150" i="23"/>
  <c r="CB150" i="23"/>
  <c r="AO150" i="23"/>
  <c r="AY150" i="23"/>
  <c r="V150" i="23"/>
  <c r="BN150" i="23"/>
  <c r="BM150" i="23"/>
  <c r="BI94" i="23"/>
  <c r="BO217" i="23"/>
  <c r="BH217" i="23"/>
  <c r="BO212" i="23"/>
  <c r="BH212" i="23"/>
  <c r="BH178" i="23"/>
  <c r="BO178" i="23"/>
  <c r="BI122" i="23"/>
  <c r="BO263" i="23"/>
  <c r="BH263" i="23"/>
  <c r="AW91" i="23"/>
  <c r="AV91" i="23"/>
  <c r="AE91" i="23"/>
  <c r="T91" i="23"/>
  <c r="U91" i="23"/>
  <c r="BS128" i="23"/>
  <c r="Y128" i="23"/>
  <c r="BN128" i="23"/>
  <c r="BM128" i="23"/>
  <c r="BK128" i="23"/>
  <c r="CB128" i="23"/>
  <c r="AQ128" i="23"/>
  <c r="AS128" i="23"/>
  <c r="AP128" i="23"/>
  <c r="AO128" i="23"/>
  <c r="Z128" i="23"/>
  <c r="V128" i="23"/>
  <c r="BV129" i="23"/>
  <c r="BF128" i="23"/>
  <c r="AY128" i="23"/>
  <c r="AN128" i="23"/>
  <c r="BP128" i="23"/>
  <c r="BQ128" i="23" s="1"/>
  <c r="BJ128" i="23"/>
  <c r="S128" i="23"/>
  <c r="AD109" i="23"/>
  <c r="AC109" i="23"/>
  <c r="AI109" i="23"/>
  <c r="AM109" i="23"/>
  <c r="AJ109" i="23"/>
  <c r="CC109" i="23"/>
  <c r="AB109" i="23"/>
  <c r="AL109" i="23"/>
  <c r="AA109" i="23"/>
  <c r="AK109" i="23"/>
  <c r="W127" i="23"/>
  <c r="X127" i="23"/>
  <c r="C127" i="23"/>
  <c r="B127" i="23"/>
  <c r="BO127" i="23" s="1"/>
  <c r="AT127" i="23"/>
  <c r="Y122" i="23"/>
  <c r="BS122" i="23"/>
  <c r="BU70" i="23"/>
  <c r="BT70" i="23"/>
  <c r="AM64" i="23"/>
  <c r="AL64" i="23"/>
  <c r="AC64" i="23"/>
  <c r="AB64" i="23"/>
  <c r="CC64" i="23"/>
  <c r="AJ64" i="23"/>
  <c r="AK64" i="23"/>
  <c r="AI64" i="23"/>
  <c r="AD64" i="23"/>
  <c r="AA64" i="23"/>
  <c r="W109" i="23"/>
  <c r="AT109" i="23"/>
  <c r="X109" i="23"/>
  <c r="B109" i="23"/>
  <c r="BH109" i="23" s="1"/>
  <c r="C109" i="23"/>
  <c r="BN53" i="23"/>
  <c r="BV54" i="23"/>
  <c r="BF53" i="23"/>
  <c r="S53" i="23"/>
  <c r="AY53" i="23"/>
  <c r="AS53" i="23"/>
  <c r="AQ53" i="23"/>
  <c r="AP53" i="23"/>
  <c r="BJ53" i="23"/>
  <c r="AO53" i="23"/>
  <c r="AN53" i="23"/>
  <c r="Z53" i="23"/>
  <c r="BP53" i="23"/>
  <c r="BQ53" i="23" s="1"/>
  <c r="BM53" i="23"/>
  <c r="BK53" i="23"/>
  <c r="V53" i="23"/>
  <c r="CB53" i="23"/>
  <c r="BI119" i="23"/>
  <c r="BT89" i="23"/>
  <c r="BU89" i="23"/>
  <c r="Y84" i="23"/>
  <c r="BS84" i="23"/>
  <c r="Y99" i="23"/>
  <c r="BS99" i="23"/>
  <c r="BU102" i="23"/>
  <c r="BT102" i="23"/>
  <c r="AS81" i="23"/>
  <c r="BP81" i="23"/>
  <c r="BQ81" i="23" s="1"/>
  <c r="BN81" i="23"/>
  <c r="S81" i="23"/>
  <c r="Z81" i="23"/>
  <c r="AY81" i="23"/>
  <c r="BF81" i="23"/>
  <c r="AN81" i="23"/>
  <c r="AQ81" i="23"/>
  <c r="AP81" i="23"/>
  <c r="AO81" i="23"/>
  <c r="BV82" i="23"/>
  <c r="V81" i="23"/>
  <c r="BM81" i="23"/>
  <c r="BK81" i="23"/>
  <c r="BJ81" i="23"/>
  <c r="CB81" i="23"/>
  <c r="AE52" i="23"/>
  <c r="T52" i="23"/>
  <c r="AW52" i="23"/>
  <c r="AV52" i="23"/>
  <c r="U52" i="23"/>
  <c r="BM63" i="23"/>
  <c r="BK63" i="23"/>
  <c r="BJ63" i="23"/>
  <c r="AS63" i="23"/>
  <c r="AP63" i="23"/>
  <c r="BP63" i="23"/>
  <c r="BQ63" i="23" s="1"/>
  <c r="V63" i="23"/>
  <c r="BN63" i="23"/>
  <c r="S63" i="23"/>
  <c r="BF63" i="23"/>
  <c r="BV64" i="23"/>
  <c r="Z63" i="23"/>
  <c r="AY63" i="23"/>
  <c r="AQ63" i="23"/>
  <c r="AO63" i="23"/>
  <c r="AN63" i="23"/>
  <c r="CB63" i="23"/>
  <c r="BZ132" i="23"/>
  <c r="CA132" i="23"/>
  <c r="BY132" i="23"/>
  <c r="BK31" i="23"/>
  <c r="BJ31" i="23"/>
  <c r="S31" i="23"/>
  <c r="AS31" i="23"/>
  <c r="AQ31" i="23"/>
  <c r="AP31" i="23"/>
  <c r="Z31" i="23"/>
  <c r="AY31" i="23"/>
  <c r="AO31" i="23"/>
  <c r="CB31" i="23"/>
  <c r="AN31" i="23"/>
  <c r="BV32" i="23"/>
  <c r="BM31" i="23"/>
  <c r="BF31" i="23"/>
  <c r="V31" i="23"/>
  <c r="BP31" i="23"/>
  <c r="BQ31" i="23" s="1"/>
  <c r="BN31" i="23"/>
  <c r="AZ39" i="23"/>
  <c r="X39" i="23"/>
  <c r="W39" i="23"/>
  <c r="C39" i="23"/>
  <c r="D39" i="23" s="1"/>
  <c r="B39" i="23"/>
  <c r="BO39" i="23" s="1"/>
  <c r="AT39" i="23"/>
  <c r="BG39" i="23" s="1"/>
  <c r="AT45" i="23"/>
  <c r="BG45" i="23" s="1"/>
  <c r="C45" i="23"/>
  <c r="B45" i="23"/>
  <c r="BH45" i="23" s="1"/>
  <c r="AZ45" i="23"/>
  <c r="X45" i="23"/>
  <c r="W45" i="23"/>
  <c r="BU41" i="23"/>
  <c r="BT41" i="23"/>
  <c r="BY58" i="23"/>
  <c r="CA58" i="23"/>
  <c r="BZ58" i="23"/>
  <c r="BV56" i="23"/>
  <c r="BM55" i="23"/>
  <c r="BJ55" i="23"/>
  <c r="AN55" i="23"/>
  <c r="AQ55" i="23"/>
  <c r="AP55" i="23"/>
  <c r="AO55" i="23"/>
  <c r="CB55" i="23"/>
  <c r="BF55" i="23"/>
  <c r="AS55" i="23"/>
  <c r="Z55" i="23"/>
  <c r="V55" i="23"/>
  <c r="S55" i="23"/>
  <c r="BP55" i="23"/>
  <c r="BQ55" i="23" s="1"/>
  <c r="BN55" i="23"/>
  <c r="BK55" i="23"/>
  <c r="AY55" i="23"/>
  <c r="BI10" i="23"/>
  <c r="BI59" i="23"/>
  <c r="AE45" i="23"/>
  <c r="T45" i="23"/>
  <c r="BL45" i="23"/>
  <c r="AW45" i="23"/>
  <c r="U45" i="23"/>
  <c r="AV45" i="23"/>
  <c r="BT85" i="23"/>
  <c r="BU85" i="23"/>
  <c r="AE16" i="23"/>
  <c r="U16" i="23"/>
  <c r="AW16" i="23"/>
  <c r="AV16" i="23"/>
  <c r="T16" i="23"/>
  <c r="BL16" i="23"/>
  <c r="BU9" i="23"/>
  <c r="BT9" i="23"/>
  <c r="BZ10" i="23"/>
  <c r="CA10" i="23"/>
  <c r="BY10" i="23"/>
  <c r="BU42" i="23"/>
  <c r="BT42" i="23"/>
  <c r="AA75" i="23"/>
  <c r="AI75" i="23"/>
  <c r="AC75" i="23"/>
  <c r="AB75" i="23"/>
  <c r="AD75" i="23"/>
  <c r="CC75" i="23"/>
  <c r="AM75" i="23"/>
  <c r="AL75" i="23"/>
  <c r="AK75" i="23"/>
  <c r="AJ75" i="23"/>
  <c r="CA18" i="23"/>
  <c r="BZ18" i="23"/>
  <c r="BY18" i="23"/>
  <c r="BU20" i="23"/>
  <c r="BT20" i="23"/>
  <c r="Y15" i="23"/>
  <c r="BB15" i="23"/>
  <c r="BS15" i="23"/>
  <c r="AX13" i="23"/>
  <c r="CD13" i="23"/>
  <c r="AT11" i="23"/>
  <c r="BG11" i="23" s="1"/>
  <c r="C11" i="23"/>
  <c r="D11" i="23" s="1"/>
  <c r="X11" i="23"/>
  <c r="W11" i="23"/>
  <c r="B11" i="23"/>
  <c r="BO11" i="23" s="1"/>
  <c r="AZ11" i="23"/>
  <c r="BL4" i="23"/>
  <c r="AE4" i="23"/>
  <c r="AV4" i="23"/>
  <c r="U4" i="23"/>
  <c r="T4" i="23"/>
  <c r="BS6" i="23"/>
  <c r="Y6" i="23"/>
  <c r="BB6" i="23"/>
  <c r="BI138" i="23"/>
  <c r="BU149" i="23"/>
  <c r="BT149" i="23"/>
  <c r="AY93" i="23"/>
  <c r="BP93" i="23"/>
  <c r="BQ93" i="23" s="1"/>
  <c r="BN93" i="23"/>
  <c r="V93" i="23"/>
  <c r="BM93" i="23"/>
  <c r="BK93" i="23"/>
  <c r="AP93" i="23"/>
  <c r="CB93" i="23"/>
  <c r="BV94" i="23"/>
  <c r="BJ93" i="23"/>
  <c r="AQ93" i="23"/>
  <c r="AS93" i="23"/>
  <c r="BF93" i="23"/>
  <c r="AO93" i="23"/>
  <c r="AN93" i="23"/>
  <c r="Z93" i="23"/>
  <c r="S93" i="23"/>
  <c r="BO182" i="23"/>
  <c r="BH182" i="23"/>
  <c r="BT142" i="23"/>
  <c r="BU142" i="23"/>
  <c r="BH198" i="23"/>
  <c r="BO198" i="23"/>
  <c r="BO175" i="23"/>
  <c r="BH175" i="23"/>
  <c r="BO233" i="23"/>
  <c r="BH233" i="23"/>
  <c r="BJ95" i="23"/>
  <c r="BV96" i="23"/>
  <c r="BF95" i="23"/>
  <c r="AY95" i="23"/>
  <c r="AO95" i="23"/>
  <c r="BN95" i="23"/>
  <c r="BM95" i="23"/>
  <c r="Z95" i="23"/>
  <c r="AS95" i="23"/>
  <c r="AQ95" i="23"/>
  <c r="CB95" i="23"/>
  <c r="BK95" i="23"/>
  <c r="V95" i="23"/>
  <c r="BP95" i="23"/>
  <c r="BQ95" i="23" s="1"/>
  <c r="S95" i="23"/>
  <c r="AP95" i="23"/>
  <c r="AN95" i="23"/>
  <c r="BK118" i="23"/>
  <c r="BJ118" i="23"/>
  <c r="BF118" i="23"/>
  <c r="Z118" i="23"/>
  <c r="BN118" i="23"/>
  <c r="AS118" i="23"/>
  <c r="AQ118" i="23"/>
  <c r="BV119" i="23"/>
  <c r="BM118" i="23"/>
  <c r="AY118" i="23"/>
  <c r="AP118" i="23"/>
  <c r="AO118" i="23"/>
  <c r="AN118" i="23"/>
  <c r="BP118" i="23"/>
  <c r="BQ118" i="23" s="1"/>
  <c r="CB118" i="23"/>
  <c r="S118" i="23"/>
  <c r="V118" i="23"/>
  <c r="BF122" i="23"/>
  <c r="Z122" i="23"/>
  <c r="BN122" i="23"/>
  <c r="AY122" i="23"/>
  <c r="AQ122" i="23"/>
  <c r="AS122" i="23"/>
  <c r="AP122" i="23"/>
  <c r="BV123" i="23"/>
  <c r="S122" i="23"/>
  <c r="BM122" i="23"/>
  <c r="BK122" i="23"/>
  <c r="BJ122" i="23"/>
  <c r="V122" i="23"/>
  <c r="CB122" i="23"/>
  <c r="AN122" i="23"/>
  <c r="BP122" i="23"/>
  <c r="BQ122" i="23" s="1"/>
  <c r="AO122" i="23"/>
  <c r="BT90" i="23"/>
  <c r="BU90" i="23"/>
  <c r="BI106" i="23"/>
  <c r="BI120" i="23"/>
  <c r="AV90" i="23"/>
  <c r="U90" i="23"/>
  <c r="T90" i="23"/>
  <c r="AE90" i="23"/>
  <c r="AW90" i="23"/>
  <c r="BY100" i="23"/>
  <c r="CA100" i="23"/>
  <c r="BZ100" i="23"/>
  <c r="U62" i="23"/>
  <c r="T62" i="23"/>
  <c r="AV62" i="23"/>
  <c r="AE62" i="23"/>
  <c r="AW62" i="23"/>
  <c r="T94" i="23"/>
  <c r="AV94" i="23"/>
  <c r="U94" i="23"/>
  <c r="AE94" i="23"/>
  <c r="AW94" i="23"/>
  <c r="AC117" i="23"/>
  <c r="AD117" i="23"/>
  <c r="AB117" i="23"/>
  <c r="AI117" i="23"/>
  <c r="AL117" i="23"/>
  <c r="AK117" i="23"/>
  <c r="AM117" i="23"/>
  <c r="AJ117" i="23"/>
  <c r="CC117" i="23"/>
  <c r="AA117" i="23"/>
  <c r="AT87" i="23"/>
  <c r="W87" i="23"/>
  <c r="C87" i="23"/>
  <c r="X87" i="23"/>
  <c r="B87" i="23"/>
  <c r="BO87" i="23" s="1"/>
  <c r="BS102" i="23"/>
  <c r="Y102" i="23"/>
  <c r="BS80" i="23"/>
  <c r="Y80" i="23"/>
  <c r="Y96" i="23"/>
  <c r="BS96" i="23"/>
  <c r="AQ59" i="23"/>
  <c r="S59" i="23"/>
  <c r="AO59" i="23"/>
  <c r="BP59" i="23"/>
  <c r="BQ59" i="23" s="1"/>
  <c r="AY59" i="23"/>
  <c r="AS59" i="23"/>
  <c r="BF59" i="23"/>
  <c r="AP59" i="23"/>
  <c r="AN59" i="23"/>
  <c r="CB59" i="23"/>
  <c r="V59" i="23"/>
  <c r="BV60" i="23"/>
  <c r="BN59" i="23"/>
  <c r="Z59" i="23"/>
  <c r="BM59" i="23"/>
  <c r="BK59" i="23"/>
  <c r="BJ59" i="23"/>
  <c r="AW51" i="23"/>
  <c r="AE51" i="23"/>
  <c r="AV51" i="23"/>
  <c r="U51" i="23"/>
  <c r="T51" i="23"/>
  <c r="BU57" i="23"/>
  <c r="BT57" i="23"/>
  <c r="BI61" i="23"/>
  <c r="BI91" i="23"/>
  <c r="BU30" i="23"/>
  <c r="BT30" i="23"/>
  <c r="BS38" i="23"/>
  <c r="BB38" i="23"/>
  <c r="Y38" i="23"/>
  <c r="AT43" i="23"/>
  <c r="BG43" i="23" s="1"/>
  <c r="X43" i="23"/>
  <c r="W43" i="23"/>
  <c r="C43" i="23"/>
  <c r="B43" i="23"/>
  <c r="BH43" i="23" s="1"/>
  <c r="AZ43" i="23"/>
  <c r="BS67" i="23"/>
  <c r="Y67" i="23"/>
  <c r="Y57" i="23"/>
  <c r="BS57" i="23"/>
  <c r="AP68" i="23"/>
  <c r="AO68" i="23"/>
  <c r="AN68" i="23"/>
  <c r="BV69" i="23"/>
  <c r="BM68" i="23"/>
  <c r="BJ68" i="23"/>
  <c r="S68" i="23"/>
  <c r="BP68" i="23"/>
  <c r="BQ68" i="23" s="1"/>
  <c r="AS68" i="23"/>
  <c r="AQ68" i="23"/>
  <c r="Z68" i="23"/>
  <c r="V68" i="23"/>
  <c r="CB68" i="23"/>
  <c r="BN68" i="23"/>
  <c r="BK68" i="23"/>
  <c r="BF68" i="23"/>
  <c r="AY68" i="23"/>
  <c r="BI52" i="23"/>
  <c r="CA8" i="23"/>
  <c r="BZ8" i="23"/>
  <c r="BY8" i="23"/>
  <c r="W56" i="23"/>
  <c r="B56" i="23"/>
  <c r="BH56" i="23" s="1"/>
  <c r="AT56" i="23"/>
  <c r="X56" i="23"/>
  <c r="C56" i="23"/>
  <c r="D56" i="23" s="1"/>
  <c r="AC44" i="23"/>
  <c r="AM44" i="23"/>
  <c r="CC44" i="23"/>
  <c r="AI44" i="23"/>
  <c r="AD44" i="23"/>
  <c r="AB44" i="23"/>
  <c r="AA44" i="23"/>
  <c r="AL44" i="23"/>
  <c r="AK44" i="23"/>
  <c r="AJ44" i="23"/>
  <c r="U79" i="23"/>
  <c r="T79" i="23"/>
  <c r="AW79" i="23"/>
  <c r="AV79" i="23"/>
  <c r="AE79" i="23"/>
  <c r="AE33" i="23"/>
  <c r="BL33" i="23"/>
  <c r="AV33" i="23"/>
  <c r="AW33" i="23"/>
  <c r="U33" i="23"/>
  <c r="T33" i="23"/>
  <c r="AT28" i="23"/>
  <c r="BG28" i="23" s="1"/>
  <c r="X28" i="23"/>
  <c r="W28" i="23"/>
  <c r="C28" i="23"/>
  <c r="D28" i="23" s="1"/>
  <c r="B28" i="23"/>
  <c r="BO28" i="23" s="1"/>
  <c r="AZ28" i="23"/>
  <c r="AD10" i="23"/>
  <c r="AA10" i="23"/>
  <c r="CC10" i="23"/>
  <c r="AI10" i="23"/>
  <c r="AC10" i="23"/>
  <c r="AB10" i="23"/>
  <c r="AK10" i="23"/>
  <c r="AJ10" i="23"/>
  <c r="AM10" i="23"/>
  <c r="AL10" i="23"/>
  <c r="BI39" i="23"/>
  <c r="BS64" i="23"/>
  <c r="Y64" i="23"/>
  <c r="BU3" i="23"/>
  <c r="BT3" i="23"/>
  <c r="BI19" i="23"/>
  <c r="BI40" i="23"/>
  <c r="V11" i="23"/>
  <c r="BM11" i="23"/>
  <c r="BK11" i="23"/>
  <c r="BJ11" i="23"/>
  <c r="AQ11" i="23"/>
  <c r="BP11" i="23"/>
  <c r="BQ11" i="23" s="1"/>
  <c r="BN11" i="23"/>
  <c r="Z11" i="23"/>
  <c r="BV12" i="23"/>
  <c r="BF11" i="23"/>
  <c r="S11" i="23"/>
  <c r="AS11" i="23"/>
  <c r="CB11" i="23"/>
  <c r="AP11" i="23"/>
  <c r="AN11" i="23"/>
  <c r="AY11" i="23"/>
  <c r="AO11" i="23"/>
  <c r="AZ15" i="23"/>
  <c r="AT15" i="23"/>
  <c r="BG15" i="23" s="1"/>
  <c r="X15" i="23"/>
  <c r="C15" i="23"/>
  <c r="D15" i="23" s="1"/>
  <c r="W15" i="23"/>
  <c r="B15" i="23"/>
  <c r="BO15" i="23" s="1"/>
  <c r="C53" i="23"/>
  <c r="B53" i="23"/>
  <c r="BH53" i="23" s="1"/>
  <c r="AT53" i="23"/>
  <c r="X53" i="23"/>
  <c r="W53" i="23"/>
  <c r="AT10" i="23"/>
  <c r="BG10" i="23" s="1"/>
  <c r="W10" i="23"/>
  <c r="C10" i="23"/>
  <c r="B10" i="23"/>
  <c r="BH10" i="23" s="1"/>
  <c r="X10" i="23"/>
  <c r="AZ10" i="23"/>
  <c r="T38" i="23"/>
  <c r="U38" i="23"/>
  <c r="AW38" i="23"/>
  <c r="AV38" i="23"/>
  <c r="BL38" i="23"/>
  <c r="AE38" i="23"/>
  <c r="AX24" i="23"/>
  <c r="CD24" i="23"/>
  <c r="AA35" i="23"/>
  <c r="CC35" i="23"/>
  <c r="AM35" i="23"/>
  <c r="AL35" i="23"/>
  <c r="AC35" i="23"/>
  <c r="AD35" i="23"/>
  <c r="AB35" i="23"/>
  <c r="AK35" i="23"/>
  <c r="AJ35" i="23"/>
  <c r="AI35" i="23"/>
  <c r="BL17" i="23"/>
  <c r="U17" i="23"/>
  <c r="T17" i="23"/>
  <c r="AW17" i="23"/>
  <c r="AV17" i="23"/>
  <c r="AE17" i="23"/>
  <c r="BS74" i="23"/>
  <c r="Y74" i="23"/>
  <c r="BS4" i="23"/>
  <c r="BU4" i="23" s="1"/>
  <c r="BY68" i="23"/>
  <c r="CA68" i="23"/>
  <c r="BZ68" i="23"/>
  <c r="AY16" i="23"/>
  <c r="Z16" i="23"/>
  <c r="BV17" i="23"/>
  <c r="CB16" i="23"/>
  <c r="V16" i="23"/>
  <c r="AS16" i="23"/>
  <c r="BM16" i="23"/>
  <c r="AP16" i="23"/>
  <c r="AO16" i="23"/>
  <c r="AN16" i="23"/>
  <c r="BP16" i="23"/>
  <c r="BQ16" i="23" s="1"/>
  <c r="BN16" i="23"/>
  <c r="BF16" i="23"/>
  <c r="BJ16" i="23"/>
  <c r="AQ16" i="23"/>
  <c r="S16" i="23"/>
  <c r="BK16" i="23"/>
  <c r="BO214" i="23"/>
  <c r="BH214" i="23"/>
  <c r="E11" i="19"/>
  <c r="X148" i="23"/>
  <c r="W148" i="23"/>
  <c r="B148" i="23"/>
  <c r="BO148" i="23" s="1"/>
  <c r="C148" i="23"/>
  <c r="D148" i="23" s="1"/>
  <c r="AT148" i="23"/>
  <c r="AW146" i="23"/>
  <c r="AV146" i="23"/>
  <c r="AE146" i="23"/>
  <c r="T146" i="23"/>
  <c r="U146" i="23"/>
  <c r="BH209" i="23"/>
  <c r="BO209" i="23"/>
  <c r="BO257" i="23"/>
  <c r="BH257" i="23"/>
  <c r="AV143" i="23"/>
  <c r="AE143" i="23"/>
  <c r="U143" i="23"/>
  <c r="T143" i="23"/>
  <c r="AW143" i="23"/>
  <c r="T130" i="23"/>
  <c r="AV130" i="23"/>
  <c r="AE130" i="23"/>
  <c r="U130" i="23"/>
  <c r="AW130" i="23"/>
  <c r="BN139" i="23"/>
  <c r="BM139" i="23"/>
  <c r="CB139" i="23"/>
  <c r="AY139" i="23"/>
  <c r="S139" i="23"/>
  <c r="BV140" i="23"/>
  <c r="BK139" i="23"/>
  <c r="BF139" i="23"/>
  <c r="AS139" i="23"/>
  <c r="BP139" i="23"/>
  <c r="BQ139" i="23" s="1"/>
  <c r="AO139" i="23"/>
  <c r="AN139" i="23"/>
  <c r="BJ139" i="23"/>
  <c r="AQ139" i="23"/>
  <c r="AP139" i="23"/>
  <c r="Z139" i="23"/>
  <c r="V139" i="23"/>
  <c r="BO185" i="23"/>
  <c r="BH185" i="23"/>
  <c r="BS147" i="23"/>
  <c r="Y147" i="23"/>
  <c r="BO173" i="23"/>
  <c r="BH173" i="23"/>
  <c r="BO254" i="23"/>
  <c r="BH254" i="23"/>
  <c r="BU124" i="23"/>
  <c r="BT124" i="23"/>
  <c r="AK94" i="23"/>
  <c r="AJ94" i="23"/>
  <c r="AC94" i="23"/>
  <c r="AB94" i="23"/>
  <c r="AA94" i="23"/>
  <c r="AI94" i="23"/>
  <c r="CC94" i="23"/>
  <c r="AD94" i="23"/>
  <c r="AL94" i="23"/>
  <c r="AM94" i="23"/>
  <c r="BS120" i="23"/>
  <c r="Y120" i="23"/>
  <c r="BP141" i="23"/>
  <c r="BQ141" i="23" s="1"/>
  <c r="BN141" i="23"/>
  <c r="AO141" i="23"/>
  <c r="AN141" i="23"/>
  <c r="Z141" i="23"/>
  <c r="S141" i="23"/>
  <c r="BM141" i="23"/>
  <c r="BK141" i="23"/>
  <c r="AY141" i="23"/>
  <c r="AS141" i="23"/>
  <c r="CB141" i="23"/>
  <c r="V141" i="23"/>
  <c r="BJ141" i="23"/>
  <c r="BF141" i="23"/>
  <c r="BV142" i="23"/>
  <c r="AQ141" i="23"/>
  <c r="AP141" i="23"/>
  <c r="AC89" i="23"/>
  <c r="AB89" i="23"/>
  <c r="CC89" i="23"/>
  <c r="AL89" i="23"/>
  <c r="AI89" i="23"/>
  <c r="AM89" i="23"/>
  <c r="AD89" i="23"/>
  <c r="AJ89" i="23"/>
  <c r="AA89" i="23"/>
  <c r="AK89" i="23"/>
  <c r="AE99" i="23"/>
  <c r="AW99" i="23"/>
  <c r="U99" i="23"/>
  <c r="AV99" i="23"/>
  <c r="T99" i="23"/>
  <c r="AJ68" i="23"/>
  <c r="AI68" i="23"/>
  <c r="AM68" i="23"/>
  <c r="CC68" i="23"/>
  <c r="AK68" i="23"/>
  <c r="AL68" i="23"/>
  <c r="AD68" i="23"/>
  <c r="AC68" i="23"/>
  <c r="AB68" i="23"/>
  <c r="AA68" i="23"/>
  <c r="BS119" i="23"/>
  <c r="Y119" i="23"/>
  <c r="AE138" i="23"/>
  <c r="U138" i="23"/>
  <c r="T138" i="23"/>
  <c r="AW138" i="23"/>
  <c r="AV138" i="23"/>
  <c r="AJ107" i="23"/>
  <c r="AA107" i="23"/>
  <c r="AB107" i="23"/>
  <c r="AL107" i="23"/>
  <c r="AD107" i="23"/>
  <c r="AM107" i="23"/>
  <c r="AK107" i="23"/>
  <c r="AI107" i="23"/>
  <c r="CC107" i="23"/>
  <c r="AC107" i="23"/>
  <c r="BS112" i="23"/>
  <c r="Y112" i="23"/>
  <c r="U86" i="23"/>
  <c r="T86" i="23"/>
  <c r="AW86" i="23"/>
  <c r="AE86" i="23"/>
  <c r="AV86" i="23"/>
  <c r="BT95" i="23"/>
  <c r="BU95" i="23"/>
  <c r="BF69" i="23"/>
  <c r="Z69" i="23"/>
  <c r="AY69" i="23"/>
  <c r="AN69" i="23"/>
  <c r="BV70" i="23"/>
  <c r="BJ69" i="23"/>
  <c r="V69" i="23"/>
  <c r="CB69" i="23"/>
  <c r="BN69" i="23"/>
  <c r="BM69" i="23"/>
  <c r="BK69" i="23"/>
  <c r="AS69" i="23"/>
  <c r="AQ69" i="23"/>
  <c r="AP69" i="23"/>
  <c r="AO69" i="23"/>
  <c r="BP69" i="23"/>
  <c r="BQ69" i="23" s="1"/>
  <c r="S69" i="23"/>
  <c r="BK78" i="23"/>
  <c r="BJ78" i="23"/>
  <c r="AS78" i="23"/>
  <c r="CB78" i="23"/>
  <c r="AQ78" i="23"/>
  <c r="Z78" i="23"/>
  <c r="BV79" i="23"/>
  <c r="S78" i="23"/>
  <c r="BN78" i="23"/>
  <c r="V78" i="23"/>
  <c r="AP78" i="23"/>
  <c r="AO78" i="23"/>
  <c r="AN78" i="23"/>
  <c r="BP78" i="23"/>
  <c r="BQ78" i="23" s="1"/>
  <c r="BM78" i="23"/>
  <c r="BF78" i="23"/>
  <c r="AY78" i="23"/>
  <c r="BN112" i="23"/>
  <c r="S112" i="23"/>
  <c r="BJ112" i="23"/>
  <c r="V112" i="23"/>
  <c r="CB112" i="23"/>
  <c r="AN112" i="23"/>
  <c r="BF112" i="23"/>
  <c r="AY112" i="23"/>
  <c r="BP112" i="23"/>
  <c r="BQ112" i="23" s="1"/>
  <c r="BM112" i="23"/>
  <c r="AS112" i="23"/>
  <c r="Z112" i="23"/>
  <c r="AP112" i="23"/>
  <c r="AO112" i="23"/>
  <c r="BV113" i="23"/>
  <c r="BK112" i="23"/>
  <c r="AQ112" i="23"/>
  <c r="AK91" i="23"/>
  <c r="AJ91" i="23"/>
  <c r="AI91" i="23"/>
  <c r="AA91" i="23"/>
  <c r="AC91" i="23"/>
  <c r="AB91" i="23"/>
  <c r="AM91" i="23"/>
  <c r="AL91" i="23"/>
  <c r="AD91" i="23"/>
  <c r="CC91" i="23"/>
  <c r="CA79" i="23"/>
  <c r="BZ79" i="23"/>
  <c r="BY79" i="23"/>
  <c r="BL48" i="23"/>
  <c r="U48" i="23"/>
  <c r="AW48" i="23"/>
  <c r="T48" i="23"/>
  <c r="AE48" i="23"/>
  <c r="AV48" i="23"/>
  <c r="CA60" i="23"/>
  <c r="BZ60" i="23"/>
  <c r="BY60" i="23"/>
  <c r="AK130" i="23"/>
  <c r="AJ130" i="23"/>
  <c r="AC130" i="23"/>
  <c r="AB130" i="23"/>
  <c r="AI130" i="23"/>
  <c r="AA130" i="23"/>
  <c r="AD130" i="23"/>
  <c r="CC130" i="23"/>
  <c r="AM130" i="23"/>
  <c r="AL130" i="23"/>
  <c r="AZ35" i="23"/>
  <c r="W35" i="23"/>
  <c r="C35" i="23"/>
  <c r="AT35" i="23"/>
  <c r="BG35" i="23" s="1"/>
  <c r="B35" i="23"/>
  <c r="BO35" i="23" s="1"/>
  <c r="X35" i="23"/>
  <c r="BZ42" i="23"/>
  <c r="CA42" i="23"/>
  <c r="BY42" i="23"/>
  <c r="AW39" i="23"/>
  <c r="T39" i="23"/>
  <c r="AV39" i="23"/>
  <c r="AE39" i="23"/>
  <c r="BL39" i="23"/>
  <c r="U39" i="23"/>
  <c r="AT51" i="23"/>
  <c r="C51" i="23"/>
  <c r="D51" i="23" s="1"/>
  <c r="B51" i="23"/>
  <c r="BO51" i="23" s="1"/>
  <c r="X51" i="23"/>
  <c r="W51" i="23"/>
  <c r="BI53" i="23"/>
  <c r="BB8" i="23"/>
  <c r="BS8" i="23"/>
  <c r="Y8" i="23"/>
  <c r="BS28" i="23"/>
  <c r="BB28" i="23"/>
  <c r="Y28" i="23"/>
  <c r="AW29" i="23"/>
  <c r="AE29" i="23"/>
  <c r="BL29" i="23"/>
  <c r="U29" i="23"/>
  <c r="T29" i="23"/>
  <c r="AV29" i="23"/>
  <c r="CA77" i="23"/>
  <c r="BZ77" i="23"/>
  <c r="BY77" i="23"/>
  <c r="BS45" i="23"/>
  <c r="BB45" i="23"/>
  <c r="Y45" i="23"/>
  <c r="AT31" i="23"/>
  <c r="BG31" i="23" s="1"/>
  <c r="C31" i="23"/>
  <c r="D31" i="23" s="1"/>
  <c r="AZ31" i="23"/>
  <c r="X31" i="23"/>
  <c r="B31" i="23"/>
  <c r="BH31" i="23" s="1"/>
  <c r="W31" i="23"/>
  <c r="C27" i="23"/>
  <c r="B27" i="23"/>
  <c r="BH27" i="23" s="1"/>
  <c r="W27" i="23"/>
  <c r="X27" i="23"/>
  <c r="AZ27" i="23"/>
  <c r="AT27" i="23"/>
  <c r="BG27" i="23" s="1"/>
  <c r="BI14" i="23"/>
  <c r="AT8" i="23"/>
  <c r="BG8" i="23" s="1"/>
  <c r="X8" i="23"/>
  <c r="AZ8" i="23"/>
  <c r="C8" i="23"/>
  <c r="W8" i="23"/>
  <c r="B8" i="23"/>
  <c r="BO8" i="23" s="1"/>
  <c r="BY51" i="23"/>
  <c r="CA51" i="23"/>
  <c r="BZ51" i="23"/>
  <c r="AY15" i="23"/>
  <c r="Z15" i="23"/>
  <c r="AN15" i="23"/>
  <c r="BP15" i="23"/>
  <c r="BQ15" i="23" s="1"/>
  <c r="BN15" i="23"/>
  <c r="BM15" i="23"/>
  <c r="BJ15" i="23"/>
  <c r="V15" i="23"/>
  <c r="BF15" i="23"/>
  <c r="S15" i="23"/>
  <c r="BV16" i="23"/>
  <c r="AS15" i="23"/>
  <c r="AQ15" i="23"/>
  <c r="AO15" i="23"/>
  <c r="CB15" i="23"/>
  <c r="BK15" i="23"/>
  <c r="AP15" i="23"/>
  <c r="BU32" i="23"/>
  <c r="BT32" i="23"/>
  <c r="CA14" i="23"/>
  <c r="BZ14" i="23"/>
  <c r="BY14" i="23"/>
  <c r="Y37" i="23"/>
  <c r="BS37" i="23"/>
  <c r="BB37" i="23"/>
  <c r="BI13" i="23"/>
  <c r="BJ21" i="23"/>
  <c r="BV22" i="23"/>
  <c r="AP21" i="23"/>
  <c r="BN21" i="23"/>
  <c r="BM21" i="23"/>
  <c r="BK21" i="23"/>
  <c r="BF21" i="23"/>
  <c r="Z21" i="23"/>
  <c r="V21" i="23"/>
  <c r="AO21" i="23"/>
  <c r="AQ21" i="23"/>
  <c r="AN21" i="23"/>
  <c r="CB21" i="23"/>
  <c r="S21" i="23"/>
  <c r="AY21" i="23"/>
  <c r="BP21" i="23"/>
  <c r="BQ21" i="23" s="1"/>
  <c r="AS21" i="23"/>
  <c r="BM5" i="23"/>
  <c r="BK5" i="23"/>
  <c r="BJ5" i="23"/>
  <c r="AS5" i="23"/>
  <c r="S5" i="23"/>
  <c r="CB5" i="23"/>
  <c r="AQ5" i="23"/>
  <c r="AP5" i="23"/>
  <c r="BV6" i="23"/>
  <c r="AO5" i="23"/>
  <c r="AN5" i="23"/>
  <c r="BP5" i="23"/>
  <c r="BQ5" i="23" s="1"/>
  <c r="BN5" i="23"/>
  <c r="BF5" i="23"/>
  <c r="AY5" i="23"/>
  <c r="Z5" i="23"/>
  <c r="V5" i="23"/>
  <c r="AT92" i="23"/>
  <c r="B92" i="23"/>
  <c r="BO92" i="23" s="1"/>
  <c r="W92" i="23"/>
  <c r="X92" i="23"/>
  <c r="C92" i="23"/>
  <c r="BI18" i="23"/>
  <c r="CD29" i="23"/>
  <c r="AX29" i="23"/>
  <c r="AT137" i="23"/>
  <c r="C137" i="23"/>
  <c r="D137" i="23" s="1"/>
  <c r="X137" i="23"/>
  <c r="W137" i="23"/>
  <c r="B137" i="23"/>
  <c r="BO137" i="23" s="1"/>
  <c r="BU145" i="23"/>
  <c r="BT145" i="23"/>
  <c r="BO194" i="23"/>
  <c r="BH194" i="23"/>
  <c r="BI132" i="23"/>
  <c r="BO238" i="23"/>
  <c r="BH238" i="23"/>
  <c r="BU141" i="23"/>
  <c r="BT141" i="23"/>
  <c r="BU150" i="23"/>
  <c r="BT150" i="23"/>
  <c r="BI145" i="23"/>
  <c r="BI129" i="23"/>
  <c r="BO227" i="23"/>
  <c r="BH227" i="23"/>
  <c r="BS146" i="23"/>
  <c r="Y146" i="23"/>
  <c r="AP136" i="23"/>
  <c r="BF136" i="23"/>
  <c r="BV137" i="23"/>
  <c r="BP136" i="23"/>
  <c r="BQ136" i="23" s="1"/>
  <c r="S136" i="23"/>
  <c r="CB136" i="23"/>
  <c r="AN136" i="23"/>
  <c r="Z136" i="23"/>
  <c r="AY136" i="23"/>
  <c r="BN136" i="23"/>
  <c r="AQ136" i="23"/>
  <c r="BM136" i="23"/>
  <c r="BK136" i="23"/>
  <c r="BJ136" i="23"/>
  <c r="V136" i="23"/>
  <c r="AS136" i="23"/>
  <c r="AO136" i="23"/>
  <c r="D132" i="23"/>
  <c r="BO170" i="23"/>
  <c r="BH170" i="23"/>
  <c r="BH176" i="23"/>
  <c r="BO176" i="23"/>
  <c r="BI93" i="23"/>
  <c r="BU114" i="23"/>
  <c r="BT114" i="23"/>
  <c r="Y103" i="23"/>
  <c r="BS103" i="23"/>
  <c r="AW66" i="23"/>
  <c r="AV66" i="23"/>
  <c r="AE66" i="23"/>
  <c r="U66" i="23"/>
  <c r="T66" i="23"/>
  <c r="Y115" i="23"/>
  <c r="BS115" i="23"/>
  <c r="BT58" i="23"/>
  <c r="BU58" i="23"/>
  <c r="AC133" i="23"/>
  <c r="AA133" i="23"/>
  <c r="AI133" i="23"/>
  <c r="CC133" i="23"/>
  <c r="AM133" i="23"/>
  <c r="AL133" i="23"/>
  <c r="AB133" i="23"/>
  <c r="AD133" i="23"/>
  <c r="AJ133" i="23"/>
  <c r="AK133" i="23"/>
  <c r="BT105" i="23"/>
  <c r="BU105" i="23"/>
  <c r="BS111" i="23"/>
  <c r="Y111" i="23"/>
  <c r="BO256" i="23"/>
  <c r="BH256" i="23"/>
  <c r="BF75" i="23"/>
  <c r="Z75" i="23"/>
  <c r="V75" i="23"/>
  <c r="BP75" i="23"/>
  <c r="BQ75" i="23" s="1"/>
  <c r="BN75" i="23"/>
  <c r="S75" i="23"/>
  <c r="AQ75" i="23"/>
  <c r="CB75" i="23"/>
  <c r="BJ75" i="23"/>
  <c r="AS75" i="23"/>
  <c r="BV76" i="23"/>
  <c r="AP75" i="23"/>
  <c r="BM75" i="23"/>
  <c r="BK75" i="23"/>
  <c r="AY75" i="23"/>
  <c r="AO75" i="23"/>
  <c r="AN75" i="23"/>
  <c r="BU47" i="23"/>
  <c r="BT47" i="23"/>
  <c r="V127" i="23"/>
  <c r="AY127" i="23"/>
  <c r="S127" i="23"/>
  <c r="BK127" i="23"/>
  <c r="BJ127" i="23"/>
  <c r="BV128" i="23"/>
  <c r="CB127" i="23"/>
  <c r="AP127" i="23"/>
  <c r="AQ127" i="23"/>
  <c r="AO127" i="23"/>
  <c r="BN127" i="23"/>
  <c r="BP127" i="23"/>
  <c r="BQ127" i="23" s="1"/>
  <c r="AN127" i="23"/>
  <c r="BM127" i="23"/>
  <c r="AS127" i="23"/>
  <c r="BF127" i="23"/>
  <c r="Z127" i="23"/>
  <c r="AD105" i="23"/>
  <c r="CC105" i="23"/>
  <c r="AM105" i="23"/>
  <c r="AI105" i="23"/>
  <c r="AL105" i="23"/>
  <c r="AK105" i="23"/>
  <c r="AC105" i="23"/>
  <c r="AJ105" i="23"/>
  <c r="AB105" i="23"/>
  <c r="AA105" i="23"/>
  <c r="CA34" i="23"/>
  <c r="BZ34" i="23"/>
  <c r="BY34" i="23"/>
  <c r="CA38" i="23"/>
  <c r="BZ38" i="23"/>
  <c r="BY38" i="23"/>
  <c r="AA38" i="23"/>
  <c r="CC38" i="23"/>
  <c r="AM38" i="23"/>
  <c r="AD38" i="23"/>
  <c r="AL38" i="23"/>
  <c r="AK38" i="23"/>
  <c r="AJ38" i="23"/>
  <c r="AI38" i="23"/>
  <c r="AC38" i="23"/>
  <c r="AB38" i="23"/>
  <c r="AB60" i="23"/>
  <c r="AA60" i="23"/>
  <c r="AL60" i="23"/>
  <c r="AM60" i="23"/>
  <c r="AK60" i="23"/>
  <c r="AJ60" i="23"/>
  <c r="AI60" i="23"/>
  <c r="CC60" i="23"/>
  <c r="AD60" i="23"/>
  <c r="AC60" i="23"/>
  <c r="BT134" i="23"/>
  <c r="BU134" i="23"/>
  <c r="AT75" i="23"/>
  <c r="X75" i="23"/>
  <c r="W75" i="23"/>
  <c r="C75" i="23"/>
  <c r="D75" i="23" s="1"/>
  <c r="B75" i="23"/>
  <c r="BH75" i="23" s="1"/>
  <c r="BI65" i="23"/>
  <c r="AM49" i="23"/>
  <c r="AC49" i="23"/>
  <c r="AB49" i="23"/>
  <c r="AA49" i="23"/>
  <c r="AL49" i="23"/>
  <c r="CC49" i="23"/>
  <c r="AK49" i="23"/>
  <c r="AJ49" i="23"/>
  <c r="AI49" i="23"/>
  <c r="AD49" i="23"/>
  <c r="BZ28" i="23"/>
  <c r="BY28" i="23"/>
  <c r="CA28" i="23"/>
  <c r="BY128" i="23"/>
  <c r="CA128" i="23"/>
  <c r="BZ128" i="23"/>
  <c r="AW27" i="23"/>
  <c r="AE27" i="23"/>
  <c r="U27" i="23"/>
  <c r="T27" i="23"/>
  <c r="AV27" i="23"/>
  <c r="BL27" i="23"/>
  <c r="AE25" i="23"/>
  <c r="BL25" i="23"/>
  <c r="U25" i="23"/>
  <c r="T25" i="23"/>
  <c r="AW25" i="23"/>
  <c r="AV25" i="23"/>
  <c r="BU13" i="23"/>
  <c r="BT13" i="23"/>
  <c r="AW3" i="23"/>
  <c r="AE3" i="23"/>
  <c r="U3" i="23"/>
  <c r="BL3" i="23"/>
  <c r="AV3" i="23"/>
  <c r="T3" i="23"/>
  <c r="BS7" i="23"/>
  <c r="Y7" i="23"/>
  <c r="BB7" i="23"/>
  <c r="AB36" i="23"/>
  <c r="AD36" i="23"/>
  <c r="CC36" i="23"/>
  <c r="AM36" i="23"/>
  <c r="AL36" i="23"/>
  <c r="AK36" i="23"/>
  <c r="AJ36" i="23"/>
  <c r="AI36" i="23"/>
  <c r="AC36" i="23"/>
  <c r="AA36" i="23"/>
  <c r="BY52" i="23"/>
  <c r="CA52" i="23"/>
  <c r="BZ52" i="23"/>
  <c r="BI100" i="23"/>
  <c r="AE63" i="23"/>
  <c r="T63" i="23"/>
  <c r="U63" i="23"/>
  <c r="AW63" i="23"/>
  <c r="AV63" i="23"/>
  <c r="AL4" i="23"/>
  <c r="AD4" i="23"/>
  <c r="CC4" i="23"/>
  <c r="AC4" i="23"/>
  <c r="AB4" i="23"/>
  <c r="AM4" i="23"/>
  <c r="AK4" i="23"/>
  <c r="AJ4" i="23"/>
  <c r="AI4" i="23"/>
  <c r="AA4" i="23"/>
  <c r="AS4" i="23"/>
  <c r="AQ4" i="23"/>
  <c r="BV5" i="23"/>
  <c r="AO4" i="23"/>
  <c r="AN4" i="23"/>
  <c r="AP4" i="23" s="1"/>
  <c r="BP4" i="23"/>
  <c r="BQ4" i="23" s="1"/>
  <c r="BB18" i="23"/>
  <c r="BS18" i="23"/>
  <c r="Y18" i="23"/>
  <c r="CD20" i="23"/>
  <c r="AX20" i="23"/>
  <c r="AT71" i="23"/>
  <c r="X71" i="23"/>
  <c r="C71" i="23"/>
  <c r="B71" i="23"/>
  <c r="BH71" i="23" s="1"/>
  <c r="W71" i="23"/>
  <c r="B25" i="32"/>
  <c r="B22" i="32"/>
  <c r="B10" i="39"/>
  <c r="C9" i="36" s="1"/>
  <c r="B9" i="42"/>
  <c r="B4" i="42"/>
  <c r="B2" i="42"/>
  <c r="B28" i="32"/>
  <c r="E9" i="33"/>
  <c r="E23" i="33"/>
  <c r="C25" i="11" s="1"/>
  <c r="B59" i="10" s="1"/>
  <c r="F59" i="10" s="1"/>
  <c r="E20" i="33"/>
  <c r="E15" i="33"/>
  <c r="B34" i="32"/>
  <c r="B31" i="32"/>
  <c r="E24" i="33"/>
  <c r="B60" i="10" s="1"/>
  <c r="F60" i="10" s="1"/>
  <c r="B132" i="16"/>
  <c r="E41" i="19"/>
  <c r="AS124" i="23"/>
  <c r="BP124" i="23"/>
  <c r="BQ124" i="23" s="1"/>
  <c r="AY124" i="23"/>
  <c r="V124" i="23"/>
  <c r="CB124" i="23"/>
  <c r="BM124" i="23"/>
  <c r="S124" i="23"/>
  <c r="AQ124" i="23"/>
  <c r="BJ124" i="23"/>
  <c r="AO124" i="23"/>
  <c r="BF124" i="23"/>
  <c r="Z124" i="23"/>
  <c r="BN124" i="23"/>
  <c r="BK124" i="23"/>
  <c r="AP124" i="23"/>
  <c r="AN124" i="23"/>
  <c r="BV125" i="23"/>
  <c r="Y47" i="23"/>
  <c r="BB47" i="23"/>
  <c r="BS47" i="23"/>
  <c r="AM6" i="23"/>
  <c r="AL6" i="23"/>
  <c r="CC6" i="23"/>
  <c r="AK6" i="23"/>
  <c r="AJ6" i="23"/>
  <c r="AI6" i="23"/>
  <c r="AD6" i="23"/>
  <c r="AC6" i="23"/>
  <c r="AB6" i="23"/>
  <c r="AA6" i="23"/>
  <c r="AW24" i="23"/>
  <c r="AV24" i="23"/>
  <c r="BL24" i="23"/>
  <c r="AE24" i="23"/>
  <c r="U24" i="23"/>
  <c r="T24" i="23"/>
  <c r="CC34" i="23"/>
  <c r="AB34" i="23"/>
  <c r="AA34" i="23"/>
  <c r="AJ34" i="23"/>
  <c r="AC34" i="23"/>
  <c r="AL34" i="23"/>
  <c r="AD34" i="23"/>
  <c r="AM34" i="23"/>
  <c r="AK34" i="23"/>
  <c r="AI34" i="23"/>
  <c r="C65" i="23"/>
  <c r="W65" i="23"/>
  <c r="B65" i="23"/>
  <c r="BH65" i="23" s="1"/>
  <c r="X65" i="23"/>
  <c r="AT65" i="23"/>
  <c r="BU84" i="23"/>
  <c r="BT84" i="23"/>
  <c r="CA26" i="23"/>
  <c r="BZ26" i="23"/>
  <c r="BY26" i="23"/>
  <c r="AT23" i="23"/>
  <c r="BG23" i="23" s="1"/>
  <c r="X23" i="23"/>
  <c r="W23" i="23"/>
  <c r="C23" i="23"/>
  <c r="B23" i="23"/>
  <c r="BO23" i="23" s="1"/>
  <c r="AZ23" i="23"/>
  <c r="BS12" i="23"/>
  <c r="Y12" i="23"/>
  <c r="BB12" i="23"/>
  <c r="BI33" i="23"/>
  <c r="BZ13" i="23"/>
  <c r="CA13" i="23"/>
  <c r="BY13" i="23"/>
  <c r="BU12" i="23"/>
  <c r="BT12" i="23"/>
  <c r="AX12" i="23"/>
  <c r="CD12" i="23"/>
  <c r="BT11" i="23"/>
  <c r="BU11" i="23"/>
  <c r="CA2" i="23"/>
  <c r="BZ2" i="23"/>
  <c r="BY2" i="23"/>
  <c r="AY24" i="23"/>
  <c r="V24" i="23"/>
  <c r="BM24" i="23"/>
  <c r="BK24" i="23"/>
  <c r="BJ24" i="23"/>
  <c r="Z24" i="23"/>
  <c r="BF24" i="23"/>
  <c r="S24" i="23"/>
  <c r="AN24" i="23"/>
  <c r="AS24" i="23"/>
  <c r="AQ24" i="23"/>
  <c r="AP24" i="23"/>
  <c r="AO24" i="23"/>
  <c r="CB24" i="23"/>
  <c r="BP24" i="23"/>
  <c r="BQ24" i="23" s="1"/>
  <c r="BN24" i="23"/>
  <c r="BV25" i="23"/>
  <c r="CC7" i="23"/>
  <c r="AC7" i="23"/>
  <c r="AM7" i="23"/>
  <c r="AL7" i="23"/>
  <c r="AK7" i="23"/>
  <c r="AJ7" i="23"/>
  <c r="AI7" i="23"/>
  <c r="AD7" i="23"/>
  <c r="AB7" i="23"/>
  <c r="AA7" i="23"/>
  <c r="AW5" i="23"/>
  <c r="AV5" i="23"/>
  <c r="AE5" i="23"/>
  <c r="BL5" i="23"/>
  <c r="U5" i="23"/>
  <c r="T5" i="23"/>
  <c r="BZ138" i="23"/>
  <c r="BY138" i="23"/>
  <c r="CA138" i="23"/>
  <c r="BO241" i="23"/>
  <c r="BH241" i="23"/>
  <c r="BI82" i="23"/>
  <c r="BU88" i="23"/>
  <c r="BT88" i="23"/>
  <c r="CA71" i="23"/>
  <c r="BZ71" i="23"/>
  <c r="BY71" i="23"/>
  <c r="BZ99" i="23"/>
  <c r="BY99" i="23"/>
  <c r="CA99" i="23"/>
  <c r="AJ40" i="23"/>
  <c r="AD40" i="23"/>
  <c r="AC40" i="23"/>
  <c r="CC40" i="23"/>
  <c r="AB40" i="23"/>
  <c r="AA40" i="23"/>
  <c r="AM40" i="23"/>
  <c r="AL40" i="23"/>
  <c r="AK40" i="23"/>
  <c r="AI40" i="23"/>
  <c r="AQ51" i="23"/>
  <c r="S51" i="23"/>
  <c r="AO51" i="23"/>
  <c r="V51" i="23"/>
  <c r="BN51" i="23"/>
  <c r="CB51" i="23"/>
  <c r="AY51" i="23"/>
  <c r="AS51" i="23"/>
  <c r="AP51" i="23"/>
  <c r="AN51" i="23"/>
  <c r="BV52" i="23"/>
  <c r="Z51" i="23"/>
  <c r="BK51" i="23"/>
  <c r="BF51" i="23"/>
  <c r="BP51" i="23"/>
  <c r="BQ51" i="23" s="1"/>
  <c r="B161" i="16" s="1"/>
  <c r="BM51" i="23"/>
  <c r="BJ51" i="23"/>
  <c r="C37" i="23"/>
  <c r="D37" i="23" s="1"/>
  <c r="B37" i="23"/>
  <c r="BO37" i="23" s="1"/>
  <c r="AZ37" i="23"/>
  <c r="AT37" i="23"/>
  <c r="BG37" i="23" s="1"/>
  <c r="X37" i="23"/>
  <c r="W37" i="23"/>
  <c r="AL9" i="23"/>
  <c r="AK9" i="23"/>
  <c r="AJ9" i="23"/>
  <c r="AI9" i="23"/>
  <c r="CC9" i="23"/>
  <c r="AM9" i="23"/>
  <c r="AD9" i="23"/>
  <c r="AC9" i="23"/>
  <c r="AB9" i="23"/>
  <c r="AA9" i="23"/>
  <c r="BU144" i="23"/>
  <c r="BT144" i="23"/>
  <c r="BO218" i="23"/>
  <c r="BH218" i="23"/>
  <c r="BS139" i="23"/>
  <c r="Y139" i="23"/>
  <c r="CC141" i="23"/>
  <c r="AI141" i="23"/>
  <c r="AL141" i="23"/>
  <c r="AK141" i="23"/>
  <c r="AA141" i="23"/>
  <c r="AJ141" i="23"/>
  <c r="AC141" i="23"/>
  <c r="AB141" i="23"/>
  <c r="AM141" i="23"/>
  <c r="AD141" i="23"/>
  <c r="CA145" i="23"/>
  <c r="BZ145" i="23"/>
  <c r="BY145" i="23"/>
  <c r="BS62" i="23"/>
  <c r="Y62" i="23"/>
  <c r="CC57" i="23"/>
  <c r="AM57" i="23"/>
  <c r="AL57" i="23"/>
  <c r="AK57" i="23"/>
  <c r="AJ57" i="23"/>
  <c r="AI57" i="23"/>
  <c r="AD57" i="23"/>
  <c r="AC57" i="23"/>
  <c r="AB57" i="23"/>
  <c r="AA57" i="23"/>
  <c r="CA90" i="23"/>
  <c r="BZ90" i="23"/>
  <c r="BY90" i="23"/>
  <c r="BI7" i="23"/>
  <c r="AW31" i="23"/>
  <c r="AV31" i="23"/>
  <c r="AE31" i="23"/>
  <c r="BL31" i="23"/>
  <c r="T31" i="23"/>
  <c r="U31" i="23"/>
  <c r="S34" i="23"/>
  <c r="AS34" i="23"/>
  <c r="BF34" i="23"/>
  <c r="Z34" i="23"/>
  <c r="BV35" i="23"/>
  <c r="CB34" i="23"/>
  <c r="AY34" i="23"/>
  <c r="BN34" i="23"/>
  <c r="V34" i="23"/>
  <c r="BP34" i="23"/>
  <c r="BQ34" i="23" s="1"/>
  <c r="BM34" i="23"/>
  <c r="BK34" i="23"/>
  <c r="BJ34" i="23"/>
  <c r="AQ34" i="23"/>
  <c r="AP34" i="23"/>
  <c r="AO34" i="23"/>
  <c r="AN34" i="23"/>
  <c r="W146" i="23"/>
  <c r="C146" i="23"/>
  <c r="D146" i="23" s="1"/>
  <c r="B146" i="23"/>
  <c r="BO146" i="23" s="1"/>
  <c r="AT146" i="23"/>
  <c r="X146" i="23"/>
  <c r="CC135" i="23"/>
  <c r="AJ135" i="23"/>
  <c r="AK135" i="23"/>
  <c r="AI135" i="23"/>
  <c r="AM135" i="23"/>
  <c r="AL135" i="23"/>
  <c r="AC135" i="23"/>
  <c r="AB135" i="23"/>
  <c r="AD135" i="23"/>
  <c r="AA135" i="23"/>
  <c r="BO246" i="23"/>
  <c r="BH246" i="23"/>
  <c r="BO262" i="23"/>
  <c r="BH262" i="23"/>
  <c r="AI145" i="23"/>
  <c r="CC145" i="23"/>
  <c r="AC145" i="23"/>
  <c r="AL145" i="23"/>
  <c r="AD145" i="23"/>
  <c r="AB145" i="23"/>
  <c r="AA145" i="23"/>
  <c r="AM145" i="23"/>
  <c r="AJ145" i="23"/>
  <c r="AK145" i="23"/>
  <c r="AT142" i="23"/>
  <c r="B142" i="23"/>
  <c r="BO142" i="23" s="1"/>
  <c r="W142" i="23"/>
  <c r="X142" i="23"/>
  <c r="C142" i="23"/>
  <c r="BH207" i="23"/>
  <c r="BO207" i="23"/>
  <c r="AD84" i="23"/>
  <c r="AC84" i="23"/>
  <c r="AB84" i="23"/>
  <c r="AA84" i="23"/>
  <c r="AK84" i="23"/>
  <c r="AJ84" i="23"/>
  <c r="AI84" i="23"/>
  <c r="AM84" i="23"/>
  <c r="CC84" i="23"/>
  <c r="AL84" i="23"/>
  <c r="AE107" i="23"/>
  <c r="U107" i="23"/>
  <c r="T107" i="23"/>
  <c r="AW107" i="23"/>
  <c r="AV107" i="23"/>
  <c r="BJ125" i="23"/>
  <c r="CB125" i="23"/>
  <c r="AQ125" i="23"/>
  <c r="AP125" i="23"/>
  <c r="BP125" i="23"/>
  <c r="BQ125" i="23" s="1"/>
  <c r="BM125" i="23"/>
  <c r="BK125" i="23"/>
  <c r="V125" i="23"/>
  <c r="BN125" i="23"/>
  <c r="BV126" i="23"/>
  <c r="S125" i="23"/>
  <c r="AS125" i="23"/>
  <c r="AO125" i="23"/>
  <c r="AN125" i="23"/>
  <c r="Z125" i="23"/>
  <c r="BF125" i="23"/>
  <c r="AY125" i="23"/>
  <c r="C98" i="23"/>
  <c r="D98" i="23" s="1"/>
  <c r="X98" i="23"/>
  <c r="B98" i="23"/>
  <c r="BO98" i="23" s="1"/>
  <c r="AT98" i="23"/>
  <c r="W98" i="23"/>
  <c r="CA61" i="23"/>
  <c r="BZ61" i="23"/>
  <c r="BY61" i="23"/>
  <c r="AE92" i="23"/>
  <c r="T92" i="23"/>
  <c r="AW92" i="23"/>
  <c r="U92" i="23"/>
  <c r="AV92" i="23"/>
  <c r="AV53" i="23"/>
  <c r="U53" i="23"/>
  <c r="AE53" i="23"/>
  <c r="T53" i="23"/>
  <c r="AW53" i="23"/>
  <c r="CA36" i="23"/>
  <c r="BZ36" i="23"/>
  <c r="BY36" i="23"/>
  <c r="AC59" i="23"/>
  <c r="AM59" i="23"/>
  <c r="AL59" i="23"/>
  <c r="AK59" i="23"/>
  <c r="AJ59" i="23"/>
  <c r="CC59" i="23"/>
  <c r="AI59" i="23"/>
  <c r="AB59" i="23"/>
  <c r="AA59" i="23"/>
  <c r="AD59" i="23"/>
  <c r="AY17" i="23"/>
  <c r="Z17" i="23"/>
  <c r="AS17" i="23"/>
  <c r="AQ17" i="23"/>
  <c r="AP17" i="23"/>
  <c r="AO17" i="23"/>
  <c r="AN17" i="23"/>
  <c r="BN17" i="23"/>
  <c r="BP17" i="23"/>
  <c r="BQ17" i="23" s="1"/>
  <c r="BM17" i="23"/>
  <c r="V17" i="23"/>
  <c r="BK17" i="23"/>
  <c r="BJ17" i="23"/>
  <c r="S17" i="23"/>
  <c r="BF17" i="23"/>
  <c r="BV18" i="23"/>
  <c r="CB17" i="23"/>
  <c r="BL30" i="23"/>
  <c r="AE30" i="23"/>
  <c r="AW30" i="23"/>
  <c r="AV30" i="23"/>
  <c r="U30" i="23"/>
  <c r="T30" i="23"/>
  <c r="AS2" i="23"/>
  <c r="B10" i="16"/>
  <c r="C10" i="9" s="1"/>
  <c r="E10" i="9" s="1"/>
  <c r="BV3" i="23"/>
  <c r="AO2" i="23"/>
  <c r="AN2" i="23"/>
  <c r="AP2" i="23" s="1"/>
  <c r="BP2" i="23"/>
  <c r="BQ2" i="23" s="1"/>
  <c r="Z2" i="23"/>
  <c r="BS11" i="23"/>
  <c r="BB11" i="23"/>
  <c r="Y11" i="23"/>
  <c r="AZ18" i="23"/>
  <c r="B18" i="23"/>
  <c r="BH18" i="23" s="1"/>
  <c r="AT18" i="23"/>
  <c r="BG18" i="23" s="1"/>
  <c r="C18" i="23"/>
  <c r="W18" i="23"/>
  <c r="X18" i="23"/>
  <c r="CA7" i="23"/>
  <c r="BZ7" i="23"/>
  <c r="BY7" i="23"/>
  <c r="BH220" i="23"/>
  <c r="BO220" i="23"/>
  <c r="BO167" i="23"/>
  <c r="BH167" i="23"/>
  <c r="BO177" i="23"/>
  <c r="BH177" i="23"/>
  <c r="B76" i="23"/>
  <c r="BH76" i="23" s="1"/>
  <c r="C76" i="23"/>
  <c r="D76" i="23" s="1"/>
  <c r="AT76" i="23"/>
  <c r="W76" i="23"/>
  <c r="X76" i="23"/>
  <c r="X104" i="23"/>
  <c r="W104" i="23"/>
  <c r="C104" i="23"/>
  <c r="AT104" i="23"/>
  <c r="B104" i="23"/>
  <c r="BO104" i="23" s="1"/>
  <c r="BI67" i="23"/>
  <c r="CA29" i="23"/>
  <c r="BZ29" i="23"/>
  <c r="BY29" i="23"/>
  <c r="BI125" i="23"/>
  <c r="W117" i="23"/>
  <c r="C117" i="23"/>
  <c r="B117" i="23"/>
  <c r="BO117" i="23" s="1"/>
  <c r="X117" i="23"/>
  <c r="AT117" i="23"/>
  <c r="AL132" i="23"/>
  <c r="AK132" i="23"/>
  <c r="AA132" i="23"/>
  <c r="CC132" i="23"/>
  <c r="AI132" i="23"/>
  <c r="AB132" i="23"/>
  <c r="AJ132" i="23"/>
  <c r="AM132" i="23"/>
  <c r="AC132" i="23"/>
  <c r="AD132" i="23"/>
  <c r="AD81" i="23"/>
  <c r="AC81" i="23"/>
  <c r="AB81" i="23"/>
  <c r="AA81" i="23"/>
  <c r="AK81" i="23"/>
  <c r="AJ81" i="23"/>
  <c r="AI81" i="23"/>
  <c r="AM81" i="23"/>
  <c r="AL81" i="23"/>
  <c r="CC81" i="23"/>
  <c r="BT103" i="23"/>
  <c r="BU103" i="23"/>
  <c r="AP79" i="23"/>
  <c r="AO79" i="23"/>
  <c r="AN79" i="23"/>
  <c r="BM79" i="23"/>
  <c r="AQ79" i="23"/>
  <c r="Z79" i="23"/>
  <c r="BF79" i="23"/>
  <c r="BP79" i="23"/>
  <c r="BQ79" i="23" s="1"/>
  <c r="AY79" i="23"/>
  <c r="BV80" i="23"/>
  <c r="AS79" i="23"/>
  <c r="V79" i="23"/>
  <c r="S79" i="23"/>
  <c r="CB79" i="23"/>
  <c r="BN79" i="23"/>
  <c r="BK79" i="23"/>
  <c r="BJ79" i="23"/>
  <c r="T102" i="23"/>
  <c r="U102" i="23"/>
  <c r="AV102" i="23"/>
  <c r="AE102" i="23"/>
  <c r="AW102" i="23"/>
  <c r="Y54" i="23"/>
  <c r="BS54" i="23"/>
  <c r="BI73" i="23"/>
  <c r="CB66" i="23"/>
  <c r="V66" i="23"/>
  <c r="BV67" i="23"/>
  <c r="BK66" i="23"/>
  <c r="Z66" i="23"/>
  <c r="BJ66" i="23"/>
  <c r="AO66" i="23"/>
  <c r="AN66" i="23"/>
  <c r="BN66" i="23"/>
  <c r="BM66" i="23"/>
  <c r="AQ66" i="23"/>
  <c r="AP66" i="23"/>
  <c r="BF66" i="23"/>
  <c r="AY66" i="23"/>
  <c r="AS66" i="23"/>
  <c r="S66" i="23"/>
  <c r="BP66" i="23"/>
  <c r="BQ66" i="23" s="1"/>
  <c r="BU68" i="23"/>
  <c r="BT68" i="23"/>
  <c r="BI28" i="23"/>
  <c r="CA76" i="23"/>
  <c r="BZ76" i="23"/>
  <c r="BY76" i="23"/>
  <c r="B50" i="23"/>
  <c r="BO50" i="23" s="1"/>
  <c r="AZ50" i="23"/>
  <c r="AT50" i="23"/>
  <c r="BG50" i="23" s="1"/>
  <c r="C50" i="23"/>
  <c r="X50" i="23"/>
  <c r="W50" i="23"/>
  <c r="BI58" i="23"/>
  <c r="AC55" i="23"/>
  <c r="AD55" i="23"/>
  <c r="AI55" i="23"/>
  <c r="AL55" i="23"/>
  <c r="AK55" i="23"/>
  <c r="AJ55" i="23"/>
  <c r="AM55" i="23"/>
  <c r="CC55" i="23"/>
  <c r="AB55" i="23"/>
  <c r="AA55" i="23"/>
  <c r="BI27" i="23"/>
  <c r="U77" i="23"/>
  <c r="T77" i="23"/>
  <c r="AW77" i="23"/>
  <c r="AV77" i="23"/>
  <c r="AE77" i="23"/>
  <c r="W12" i="23"/>
  <c r="AZ12" i="23"/>
  <c r="X12" i="23"/>
  <c r="AT12" i="23"/>
  <c r="BG12" i="23" s="1"/>
  <c r="C12" i="23"/>
  <c r="B12" i="23"/>
  <c r="BH12" i="23" s="1"/>
  <c r="BI32" i="23"/>
  <c r="BO183" i="23"/>
  <c r="BH183" i="23"/>
  <c r="CA114" i="23"/>
  <c r="BZ114" i="23"/>
  <c r="BY114" i="23"/>
  <c r="CA111" i="23"/>
  <c r="BZ111" i="23"/>
  <c r="BY111" i="23"/>
  <c r="AE73" i="23"/>
  <c r="AW73" i="23"/>
  <c r="T73" i="23"/>
  <c r="AV73" i="23"/>
  <c r="U73" i="23"/>
  <c r="AT125" i="23"/>
  <c r="C125" i="23"/>
  <c r="D125" i="23" s="1"/>
  <c r="B125" i="23"/>
  <c r="BO125" i="23" s="1"/>
  <c r="X125" i="23"/>
  <c r="W125" i="23"/>
  <c r="AB88" i="23"/>
  <c r="AA88" i="23"/>
  <c r="AL88" i="23"/>
  <c r="AI88" i="23"/>
  <c r="CC88" i="23"/>
  <c r="AK88" i="23"/>
  <c r="AJ88" i="23"/>
  <c r="AD88" i="23"/>
  <c r="AC88" i="23"/>
  <c r="AM88" i="23"/>
  <c r="CA72" i="23"/>
  <c r="BZ72" i="23"/>
  <c r="BY72" i="23"/>
  <c r="BU37" i="23"/>
  <c r="BT37" i="23"/>
  <c r="W126" i="23"/>
  <c r="B126" i="23"/>
  <c r="BO126" i="23" s="1"/>
  <c r="AT126" i="23"/>
  <c r="C126" i="23"/>
  <c r="X126" i="23"/>
  <c r="BS30" i="23"/>
  <c r="Y30" i="23"/>
  <c r="BB30" i="23"/>
  <c r="AC8" i="23"/>
  <c r="AB8" i="23"/>
  <c r="CC8" i="23"/>
  <c r="AA8" i="23"/>
  <c r="AJ8" i="23"/>
  <c r="AM8" i="23"/>
  <c r="AL8" i="23"/>
  <c r="AK8" i="23"/>
  <c r="AI8" i="23"/>
  <c r="AD8" i="23"/>
  <c r="AT42" i="23"/>
  <c r="BG42" i="23" s="1"/>
  <c r="X42" i="23"/>
  <c r="C42" i="23"/>
  <c r="W42" i="23"/>
  <c r="B42" i="23"/>
  <c r="BH42" i="23" s="1"/>
  <c r="AZ42" i="23"/>
  <c r="AV100" i="23"/>
  <c r="AW100" i="23"/>
  <c r="AE100" i="23"/>
  <c r="U100" i="23"/>
  <c r="T100" i="23"/>
  <c r="X72" i="23"/>
  <c r="W72" i="23"/>
  <c r="AT72" i="23"/>
  <c r="C72" i="23"/>
  <c r="D72" i="23" s="1"/>
  <c r="B72" i="23"/>
  <c r="BO72" i="23" s="1"/>
  <c r="BS79" i="23"/>
  <c r="Y79" i="23"/>
  <c r="CC66" i="23"/>
  <c r="AK66" i="23"/>
  <c r="AL66" i="23"/>
  <c r="AJ66" i="23"/>
  <c r="AI66" i="23"/>
  <c r="AM66" i="23"/>
  <c r="AD66" i="23"/>
  <c r="AC66" i="23"/>
  <c r="AB66" i="23"/>
  <c r="AA66" i="23"/>
  <c r="AD63" i="23"/>
  <c r="AC63" i="23"/>
  <c r="CC63" i="23"/>
  <c r="AM63" i="23"/>
  <c r="AB63" i="23"/>
  <c r="AA63" i="23"/>
  <c r="AL63" i="23"/>
  <c r="AK63" i="23"/>
  <c r="AJ63" i="23"/>
  <c r="AI63" i="23"/>
  <c r="BN6" i="23"/>
  <c r="AN6" i="23"/>
  <c r="BV7" i="23"/>
  <c r="AP6" i="23"/>
  <c r="BP6" i="23"/>
  <c r="BQ6" i="23" s="1"/>
  <c r="AO6" i="23"/>
  <c r="BM6" i="23"/>
  <c r="CB6" i="23"/>
  <c r="AS6" i="23"/>
  <c r="AQ6" i="23"/>
  <c r="BK6" i="23"/>
  <c r="BF6" i="23"/>
  <c r="Z6" i="23"/>
  <c r="V6" i="23"/>
  <c r="AY6" i="23"/>
  <c r="S6" i="23"/>
  <c r="BJ6" i="23"/>
  <c r="X93" i="23"/>
  <c r="W93" i="23"/>
  <c r="C93" i="23"/>
  <c r="AT93" i="23"/>
  <c r="B93" i="23"/>
  <c r="BH93" i="23" s="1"/>
  <c r="BI114" i="23"/>
  <c r="CA93" i="23"/>
  <c r="BZ93" i="23"/>
  <c r="BY93" i="23"/>
  <c r="BZ84" i="23"/>
  <c r="CA84" i="23"/>
  <c r="BY84" i="23"/>
  <c r="BU50" i="23"/>
  <c r="BT50" i="23"/>
  <c r="AV57" i="23"/>
  <c r="AE57" i="23"/>
  <c r="AW57" i="23"/>
  <c r="U57" i="23"/>
  <c r="T57" i="23"/>
  <c r="U46" i="23"/>
  <c r="T46" i="23"/>
  <c r="AW46" i="23"/>
  <c r="AV46" i="23"/>
  <c r="BL46" i="23"/>
  <c r="AE46" i="23"/>
  <c r="BT113" i="23"/>
  <c r="BU113" i="23"/>
  <c r="BI22" i="23"/>
  <c r="BU49" i="23"/>
  <c r="BT49" i="23"/>
  <c r="AM15" i="23"/>
  <c r="AL15" i="23"/>
  <c r="AK15" i="23"/>
  <c r="AJ15" i="23"/>
  <c r="AD15" i="23"/>
  <c r="AI15" i="23"/>
  <c r="CC15" i="23"/>
  <c r="AC15" i="23"/>
  <c r="AB15" i="23"/>
  <c r="AA15" i="23"/>
  <c r="X110" i="23"/>
  <c r="W110" i="23"/>
  <c r="B110" i="23"/>
  <c r="BH110" i="23" s="1"/>
  <c r="AT110" i="23"/>
  <c r="C110" i="23"/>
  <c r="D110" i="23" s="1"/>
  <c r="X95" i="23"/>
  <c r="AT95" i="23"/>
  <c r="W95" i="23"/>
  <c r="C95" i="23"/>
  <c r="B95" i="23"/>
  <c r="BO95" i="23" s="1"/>
  <c r="BU52" i="23"/>
  <c r="BT52" i="23"/>
  <c r="BU80" i="23"/>
  <c r="BT80" i="23"/>
  <c r="BB20" i="23"/>
  <c r="Y20" i="23"/>
  <c r="BS20" i="23"/>
  <c r="B5" i="39"/>
  <c r="B18" i="39"/>
  <c r="C18" i="39" s="1"/>
  <c r="D18" i="39" s="1"/>
  <c r="B25" i="39" s="1"/>
  <c r="Y150" i="23"/>
  <c r="BS150" i="23"/>
  <c r="BI142" i="23"/>
  <c r="CA131" i="23"/>
  <c r="BY131" i="23"/>
  <c r="BZ131" i="23"/>
  <c r="AB116" i="23"/>
  <c r="AA116" i="23"/>
  <c r="AI116" i="23"/>
  <c r="AC116" i="23"/>
  <c r="AD116" i="23"/>
  <c r="AM116" i="23"/>
  <c r="AL116" i="23"/>
  <c r="CC116" i="23"/>
  <c r="AK116" i="23"/>
  <c r="AJ116" i="23"/>
  <c r="W112" i="23"/>
  <c r="C112" i="23"/>
  <c r="B112" i="23"/>
  <c r="BO112" i="23" s="1"/>
  <c r="X112" i="23"/>
  <c r="AT112" i="23"/>
  <c r="AS102" i="23"/>
  <c r="AQ102" i="23"/>
  <c r="BP102" i="23"/>
  <c r="BQ102" i="23" s="1"/>
  <c r="BF102" i="23"/>
  <c r="V102" i="23"/>
  <c r="AY102" i="23"/>
  <c r="BJ102" i="23"/>
  <c r="S102" i="23"/>
  <c r="Z102" i="23"/>
  <c r="AO102" i="23"/>
  <c r="BV103" i="23"/>
  <c r="BK102" i="23"/>
  <c r="AP102" i="23"/>
  <c r="CB102" i="23"/>
  <c r="AN102" i="23"/>
  <c r="BN102" i="23"/>
  <c r="BM102" i="23"/>
  <c r="AO99" i="23"/>
  <c r="BK99" i="23"/>
  <c r="BP99" i="23"/>
  <c r="BQ99" i="23" s="1"/>
  <c r="BJ99" i="23"/>
  <c r="CB99" i="23"/>
  <c r="BM99" i="23"/>
  <c r="S99" i="23"/>
  <c r="BF99" i="23"/>
  <c r="AY99" i="23"/>
  <c r="AQ99" i="23"/>
  <c r="AP99" i="23"/>
  <c r="BV100" i="23"/>
  <c r="AN99" i="23"/>
  <c r="AS99" i="23"/>
  <c r="Z99" i="23"/>
  <c r="V99" i="23"/>
  <c r="BN99" i="23"/>
  <c r="B96" i="23"/>
  <c r="BO96" i="23" s="1"/>
  <c r="X96" i="23"/>
  <c r="W96" i="23"/>
  <c r="C96" i="23"/>
  <c r="D96" i="23" s="1"/>
  <c r="AT96" i="23"/>
  <c r="BI84" i="23"/>
  <c r="AZ17" i="23"/>
  <c r="B17" i="23"/>
  <c r="BH17" i="23" s="1"/>
  <c r="W17" i="23"/>
  <c r="C17" i="23"/>
  <c r="X17" i="23"/>
  <c r="AT17" i="23"/>
  <c r="BG17" i="23" s="1"/>
  <c r="CA142" i="23"/>
  <c r="BZ142" i="23"/>
  <c r="BY142" i="23"/>
  <c r="BS140" i="23"/>
  <c r="Y140" i="23"/>
  <c r="B147" i="23"/>
  <c r="BH147" i="23" s="1"/>
  <c r="AT147" i="23"/>
  <c r="C147" i="23"/>
  <c r="D147" i="23" s="1"/>
  <c r="X147" i="23"/>
  <c r="W147" i="23"/>
  <c r="BH192" i="23"/>
  <c r="BO192" i="23"/>
  <c r="CA139" i="23"/>
  <c r="BZ139" i="23"/>
  <c r="BY139" i="23"/>
  <c r="BF148" i="23"/>
  <c r="AY148" i="23"/>
  <c r="BM148" i="23"/>
  <c r="BK148" i="23"/>
  <c r="BV149" i="23"/>
  <c r="BJ148" i="23"/>
  <c r="S148" i="23"/>
  <c r="AN148" i="23"/>
  <c r="BP148" i="23"/>
  <c r="BQ148" i="23" s="1"/>
  <c r="AO148" i="23"/>
  <c r="V148" i="23"/>
  <c r="BN148" i="23"/>
  <c r="Z148" i="23"/>
  <c r="AP148" i="23"/>
  <c r="AS148" i="23"/>
  <c r="AQ148" i="23"/>
  <c r="CB148" i="23"/>
  <c r="U142" i="23"/>
  <c r="T142" i="23"/>
  <c r="AV142" i="23"/>
  <c r="AW142" i="23"/>
  <c r="AE142" i="23"/>
  <c r="BO186" i="23"/>
  <c r="BH186" i="23"/>
  <c r="AO129" i="23"/>
  <c r="AY129" i="23"/>
  <c r="BN129" i="23"/>
  <c r="BM129" i="23"/>
  <c r="Z129" i="23"/>
  <c r="BK129" i="23"/>
  <c r="CB129" i="23"/>
  <c r="AN129" i="23"/>
  <c r="BJ129" i="23"/>
  <c r="S129" i="23"/>
  <c r="AQ129" i="23"/>
  <c r="BV130" i="23"/>
  <c r="BP129" i="23"/>
  <c r="BQ129" i="23" s="1"/>
  <c r="AS129" i="23"/>
  <c r="AP129" i="23"/>
  <c r="V129" i="23"/>
  <c r="BF129" i="23"/>
  <c r="CA130" i="23"/>
  <c r="BZ130" i="23"/>
  <c r="BY130" i="23"/>
  <c r="AV113" i="23"/>
  <c r="U113" i="23"/>
  <c r="AW113" i="23"/>
  <c r="T113" i="23"/>
  <c r="AE113" i="23"/>
  <c r="X116" i="23"/>
  <c r="W116" i="23"/>
  <c r="C116" i="23"/>
  <c r="AU116" i="23" s="1"/>
  <c r="AT116" i="23"/>
  <c r="B116" i="23"/>
  <c r="BH116" i="23" s="1"/>
  <c r="U89" i="23"/>
  <c r="T89" i="23"/>
  <c r="AW89" i="23"/>
  <c r="AV89" i="23"/>
  <c r="AE89" i="23"/>
  <c r="CA109" i="23"/>
  <c r="BZ109" i="23"/>
  <c r="BY109" i="23"/>
  <c r="Y126" i="23"/>
  <c r="BS126" i="23"/>
  <c r="BI85" i="23"/>
  <c r="B94" i="23"/>
  <c r="BO94" i="23" s="1"/>
  <c r="W94" i="23"/>
  <c r="C94" i="23"/>
  <c r="AT94" i="23"/>
  <c r="X94" i="23"/>
  <c r="BI130" i="23"/>
  <c r="Z97" i="23"/>
  <c r="BP97" i="23"/>
  <c r="BQ97" i="23" s="1"/>
  <c r="BK97" i="23"/>
  <c r="BJ97" i="23"/>
  <c r="V97" i="23"/>
  <c r="BF97" i="23"/>
  <c r="BM97" i="23"/>
  <c r="BN97" i="23"/>
  <c r="AY97" i="23"/>
  <c r="AP97" i="23"/>
  <c r="AO97" i="23"/>
  <c r="AN97" i="23"/>
  <c r="BV98" i="23"/>
  <c r="CB97" i="23"/>
  <c r="AQ97" i="23"/>
  <c r="S97" i="23"/>
  <c r="AS97" i="23"/>
  <c r="AL56" i="23"/>
  <c r="AM56" i="23"/>
  <c r="AK56" i="23"/>
  <c r="AD56" i="23"/>
  <c r="CC56" i="23"/>
  <c r="AC56" i="23"/>
  <c r="AB56" i="23"/>
  <c r="AA56" i="23"/>
  <c r="AJ56" i="23"/>
  <c r="AI56" i="23"/>
  <c r="W85" i="23"/>
  <c r="AT85" i="23"/>
  <c r="C85" i="23"/>
  <c r="D85" i="23" s="1"/>
  <c r="B85" i="23"/>
  <c r="BH85" i="23" s="1"/>
  <c r="X85" i="23"/>
  <c r="BI97" i="23"/>
  <c r="BU140" i="23"/>
  <c r="BT140" i="23"/>
  <c r="T88" i="23"/>
  <c r="AW88" i="23"/>
  <c r="U88" i="23"/>
  <c r="AV88" i="23"/>
  <c r="AE88" i="23"/>
  <c r="B70" i="23"/>
  <c r="BH70" i="23" s="1"/>
  <c r="C70" i="23"/>
  <c r="D70" i="23" s="1"/>
  <c r="X70" i="23"/>
  <c r="W70" i="23"/>
  <c r="AT70" i="23"/>
  <c r="BH229" i="23"/>
  <c r="BO229" i="23"/>
  <c r="CA147" i="23"/>
  <c r="BZ147" i="23"/>
  <c r="BY147" i="23"/>
  <c r="AM110" i="23"/>
  <c r="AL110" i="23"/>
  <c r="CC110" i="23"/>
  <c r="AC110" i="23"/>
  <c r="AK110" i="23"/>
  <c r="AD110" i="23"/>
  <c r="AB110" i="23"/>
  <c r="AA110" i="23"/>
  <c r="AI110" i="23"/>
  <c r="AJ110" i="23"/>
  <c r="BY73" i="23"/>
  <c r="CA73" i="23"/>
  <c r="BZ73" i="23"/>
  <c r="BN37" i="23"/>
  <c r="BM37" i="23"/>
  <c r="S37" i="23"/>
  <c r="AY37" i="23"/>
  <c r="CB37" i="23"/>
  <c r="AS37" i="23"/>
  <c r="AQ37" i="23"/>
  <c r="AP37" i="23"/>
  <c r="AO37" i="23"/>
  <c r="BJ37" i="23"/>
  <c r="V37" i="23"/>
  <c r="BP37" i="23"/>
  <c r="BQ37" i="23" s="1"/>
  <c r="BK37" i="23"/>
  <c r="BF37" i="23"/>
  <c r="BV38" i="23"/>
  <c r="AN37" i="23"/>
  <c r="Z37" i="23"/>
  <c r="BT97" i="23"/>
  <c r="BU97" i="23"/>
  <c r="BN67" i="23"/>
  <c r="BV68" i="23"/>
  <c r="BM67" i="23"/>
  <c r="CB67" i="23"/>
  <c r="V67" i="23"/>
  <c r="BP67" i="23"/>
  <c r="BQ67" i="23" s="1"/>
  <c r="AY67" i="23"/>
  <c r="AS67" i="23"/>
  <c r="AQ67" i="23"/>
  <c r="Z67" i="23"/>
  <c r="BK67" i="23"/>
  <c r="BJ67" i="23"/>
  <c r="BF67" i="23"/>
  <c r="AP67" i="23"/>
  <c r="AO67" i="23"/>
  <c r="AN67" i="23"/>
  <c r="S67" i="23"/>
  <c r="BT60" i="23"/>
  <c r="BU60" i="23"/>
  <c r="BU45" i="23"/>
  <c r="BT45" i="23"/>
  <c r="CA23" i="23"/>
  <c r="BZ23" i="23"/>
  <c r="BY23" i="23"/>
  <c r="CD25" i="23"/>
  <c r="AX25" i="23"/>
  <c r="C32" i="23"/>
  <c r="W32" i="23"/>
  <c r="B32" i="23"/>
  <c r="BH32" i="23" s="1"/>
  <c r="AZ32" i="23"/>
  <c r="AT32" i="23"/>
  <c r="BG32" i="23" s="1"/>
  <c r="X32" i="23"/>
  <c r="BU46" i="23"/>
  <c r="BT46" i="23"/>
  <c r="BS90" i="23"/>
  <c r="Y90" i="23"/>
  <c r="AV82" i="23"/>
  <c r="U82" i="23"/>
  <c r="T82" i="23"/>
  <c r="AE82" i="23"/>
  <c r="AW82" i="23"/>
  <c r="C22" i="23"/>
  <c r="D22" i="23" s="1"/>
  <c r="B22" i="23"/>
  <c r="BO22" i="23" s="1"/>
  <c r="X22" i="23"/>
  <c r="W22" i="23"/>
  <c r="AZ22" i="23"/>
  <c r="AT22" i="23"/>
  <c r="BG22" i="23" s="1"/>
  <c r="BI121" i="23"/>
  <c r="Y49" i="23"/>
  <c r="BB49" i="23"/>
  <c r="BS49" i="23"/>
  <c r="CA32" i="23"/>
  <c r="BZ32" i="23"/>
  <c r="BY32" i="23"/>
  <c r="AC45" i="23"/>
  <c r="AB45" i="23"/>
  <c r="AA45" i="23"/>
  <c r="AL45" i="23"/>
  <c r="AM45" i="23"/>
  <c r="AK45" i="23"/>
  <c r="AJ45" i="23"/>
  <c r="AI45" i="23"/>
  <c r="AD45" i="23"/>
  <c r="CC45" i="23"/>
  <c r="BB35" i="23"/>
  <c r="Y35" i="23"/>
  <c r="BS35" i="23"/>
  <c r="B40" i="23"/>
  <c r="BH40" i="23" s="1"/>
  <c r="AZ40" i="23"/>
  <c r="C40" i="23"/>
  <c r="AT40" i="23"/>
  <c r="BG40" i="23" s="1"/>
  <c r="X40" i="23"/>
  <c r="W40" i="23"/>
  <c r="BF25" i="23"/>
  <c r="CB25" i="23"/>
  <c r="BM25" i="23"/>
  <c r="BN25" i="23"/>
  <c r="BK25" i="23"/>
  <c r="Z25" i="23"/>
  <c r="BJ25" i="23"/>
  <c r="V25" i="23"/>
  <c r="AY25" i="23"/>
  <c r="S25" i="23"/>
  <c r="BV26" i="23"/>
  <c r="AO25" i="23"/>
  <c r="BP25" i="23"/>
  <c r="BQ25" i="23" s="1"/>
  <c r="AS25" i="23"/>
  <c r="AQ25" i="23"/>
  <c r="AP25" i="23"/>
  <c r="AN25" i="23"/>
  <c r="CD4" i="23"/>
  <c r="AX4" i="23"/>
  <c r="AK74" i="23"/>
  <c r="CC74" i="23"/>
  <c r="AB74" i="23"/>
  <c r="AD74" i="23"/>
  <c r="AM74" i="23"/>
  <c r="AL74" i="23"/>
  <c r="AJ74" i="23"/>
  <c r="AI74" i="23"/>
  <c r="AC74" i="23"/>
  <c r="AA74" i="23"/>
  <c r="AT5" i="23"/>
  <c r="BG5" i="23" s="1"/>
  <c r="X5" i="23"/>
  <c r="W5" i="23"/>
  <c r="C5" i="23"/>
  <c r="B5" i="23"/>
  <c r="BO5" i="23" s="1"/>
  <c r="AZ5" i="23"/>
  <c r="AX10" i="23"/>
  <c r="CD10" i="23"/>
  <c r="BI8" i="23"/>
  <c r="BY16" i="23"/>
  <c r="CA16" i="23"/>
  <c r="BZ16" i="23"/>
  <c r="C6" i="23"/>
  <c r="D6" i="23" s="1"/>
  <c r="B6" i="23"/>
  <c r="BH6" i="23" s="1"/>
  <c r="X6" i="23"/>
  <c r="AT6" i="23"/>
  <c r="BG6" i="23" s="1"/>
  <c r="AZ6" i="23"/>
  <c r="W6" i="23"/>
  <c r="CB19" i="23"/>
  <c r="BK19" i="23"/>
  <c r="BP19" i="23"/>
  <c r="BQ19" i="23" s="1"/>
  <c r="BN19" i="23"/>
  <c r="BM19" i="23"/>
  <c r="BJ19" i="23"/>
  <c r="Z19" i="23"/>
  <c r="BV20" i="23"/>
  <c r="BF19" i="23"/>
  <c r="AY19" i="23"/>
  <c r="AS19" i="23"/>
  <c r="AQ19" i="23"/>
  <c r="AP19" i="23"/>
  <c r="AO19" i="23"/>
  <c r="AN19" i="23"/>
  <c r="S19" i="23"/>
  <c r="V19" i="23"/>
  <c r="BK146" i="23"/>
  <c r="V146" i="23"/>
  <c r="AO146" i="23"/>
  <c r="AN146" i="23"/>
  <c r="BF146" i="23"/>
  <c r="AP146" i="23"/>
  <c r="BJ146" i="23"/>
  <c r="BP146" i="23"/>
  <c r="BQ146" i="23" s="1"/>
  <c r="BV147" i="23"/>
  <c r="AS146" i="23"/>
  <c r="CB146" i="23"/>
  <c r="AY146" i="23"/>
  <c r="Z146" i="23"/>
  <c r="AQ146" i="23"/>
  <c r="BM146" i="23"/>
  <c r="S146" i="23"/>
  <c r="BN146" i="23"/>
  <c r="BI143" i="23"/>
  <c r="BI128" i="23"/>
  <c r="CA108" i="23"/>
  <c r="BY108" i="23"/>
  <c r="BZ108" i="23"/>
  <c r="BT136" i="23"/>
  <c r="BU136" i="23"/>
  <c r="BZ81" i="23"/>
  <c r="CA81" i="23"/>
  <c r="BY81" i="23"/>
  <c r="AL41" i="23"/>
  <c r="AM41" i="23"/>
  <c r="AK41" i="23"/>
  <c r="AJ41" i="23"/>
  <c r="AI41" i="23"/>
  <c r="CC41" i="23"/>
  <c r="AD41" i="23"/>
  <c r="AC41" i="23"/>
  <c r="AB41" i="23"/>
  <c r="AA41" i="23"/>
  <c r="BT78" i="23"/>
  <c r="BU78" i="23"/>
  <c r="CD8" i="23"/>
  <c r="AX8" i="23"/>
  <c r="BI43" i="23"/>
  <c r="BU40" i="23"/>
  <c r="BT40" i="23"/>
  <c r="CA21" i="23"/>
  <c r="BZ21" i="23"/>
  <c r="BY21" i="23"/>
  <c r="T42" i="23"/>
  <c r="U42" i="23"/>
  <c r="AW42" i="23"/>
  <c r="AV42" i="23"/>
  <c r="AE42" i="23"/>
  <c r="BL42" i="23"/>
  <c r="B34" i="24"/>
  <c r="B38" i="24"/>
  <c r="BH249" i="23"/>
  <c r="BO249" i="23"/>
  <c r="AY57" i="23"/>
  <c r="BF57" i="23"/>
  <c r="V57" i="23"/>
  <c r="AP57" i="23"/>
  <c r="CB57" i="23"/>
  <c r="AO57" i="23"/>
  <c r="AN57" i="23"/>
  <c r="AQ57" i="23"/>
  <c r="BJ57" i="23"/>
  <c r="BN57" i="23"/>
  <c r="BM57" i="23"/>
  <c r="BK57" i="23"/>
  <c r="AS57" i="23"/>
  <c r="Z57" i="23"/>
  <c r="BV58" i="23"/>
  <c r="BP57" i="23"/>
  <c r="BQ57" i="23" s="1"/>
  <c r="S57" i="23"/>
  <c r="BB36" i="23"/>
  <c r="BS36" i="23"/>
  <c r="Y36" i="23"/>
  <c r="BU8" i="23"/>
  <c r="BT8" i="23"/>
  <c r="AT2" i="23"/>
  <c r="X2" i="23"/>
  <c r="B2" i="23"/>
  <c r="AY2" i="23" s="1"/>
  <c r="W2" i="23"/>
  <c r="C2" i="23"/>
  <c r="D2" i="23" s="1"/>
  <c r="CB123" i="23"/>
  <c r="AS123" i="23"/>
  <c r="S123" i="23"/>
  <c r="BK123" i="23"/>
  <c r="BJ123" i="23"/>
  <c r="Z123" i="23"/>
  <c r="AN123" i="23"/>
  <c r="AO123" i="23"/>
  <c r="BF123" i="23"/>
  <c r="AP123" i="23"/>
  <c r="BV124" i="23"/>
  <c r="AY123" i="23"/>
  <c r="BP123" i="23"/>
  <c r="BQ123" i="23" s="1"/>
  <c r="V123" i="23"/>
  <c r="BM123" i="23"/>
  <c r="AQ123" i="23"/>
  <c r="BN123" i="23"/>
  <c r="BH203" i="23"/>
  <c r="BO203" i="23"/>
  <c r="AI140" i="23"/>
  <c r="AD140" i="23"/>
  <c r="AC140" i="23"/>
  <c r="AM140" i="23"/>
  <c r="AL140" i="23"/>
  <c r="AK140" i="23"/>
  <c r="CC140" i="23"/>
  <c r="AB140" i="23"/>
  <c r="AA140" i="23"/>
  <c r="AJ140" i="23"/>
  <c r="X106" i="23"/>
  <c r="AT106" i="23"/>
  <c r="W106" i="23"/>
  <c r="B106" i="23"/>
  <c r="BH106" i="23" s="1"/>
  <c r="C106" i="23"/>
  <c r="D106" i="23" s="1"/>
  <c r="U84" i="23"/>
  <c r="AW84" i="23"/>
  <c r="T84" i="23"/>
  <c r="AE84" i="23"/>
  <c r="AV84" i="23"/>
  <c r="BI56" i="23"/>
  <c r="AE139" i="23"/>
  <c r="T139" i="23"/>
  <c r="U139" i="23"/>
  <c r="AW139" i="23"/>
  <c r="AV139" i="23"/>
  <c r="BU117" i="23"/>
  <c r="BT117" i="23"/>
  <c r="AN56" i="23"/>
  <c r="V56" i="23"/>
  <c r="CB56" i="23"/>
  <c r="AO56" i="23"/>
  <c r="BM56" i="23"/>
  <c r="BK56" i="23"/>
  <c r="BJ56" i="23"/>
  <c r="S56" i="23"/>
  <c r="BF56" i="23"/>
  <c r="AY56" i="23"/>
  <c r="BV57" i="23"/>
  <c r="BN56" i="23"/>
  <c r="Z56" i="23"/>
  <c r="BP56" i="23"/>
  <c r="BQ56" i="23" s="1"/>
  <c r="AS56" i="23"/>
  <c r="AQ56" i="23"/>
  <c r="AP56" i="23"/>
  <c r="Y134" i="23"/>
  <c r="BS134" i="23"/>
  <c r="BU61" i="23"/>
  <c r="BT61" i="23"/>
  <c r="BU5" i="23"/>
  <c r="BT5" i="23"/>
  <c r="BB26" i="23"/>
  <c r="Y26" i="23"/>
  <c r="BS26" i="23"/>
  <c r="BI17" i="23"/>
  <c r="BS94" i="23"/>
  <c r="Y94" i="23"/>
  <c r="B107" i="23"/>
  <c r="BO107" i="23" s="1"/>
  <c r="AT107" i="23"/>
  <c r="X107" i="23"/>
  <c r="C107" i="23"/>
  <c r="W107" i="23"/>
  <c r="Y29" i="23"/>
  <c r="BB29" i="23"/>
  <c r="BS29" i="23"/>
  <c r="BS5" i="23"/>
  <c r="Y5" i="23"/>
  <c r="BB5" i="23"/>
  <c r="BO215" i="23"/>
  <c r="BH215" i="23"/>
  <c r="BI150" i="23"/>
  <c r="Y101" i="23"/>
  <c r="BS101" i="23"/>
  <c r="BI57" i="23"/>
  <c r="BI131" i="23"/>
  <c r="BZ65" i="23"/>
  <c r="BY65" i="23"/>
  <c r="CA65" i="23"/>
  <c r="BI69" i="23"/>
  <c r="AV2" i="23"/>
  <c r="BL2" i="23"/>
  <c r="AE2" i="23"/>
  <c r="CA86" i="23"/>
  <c r="BZ86" i="23"/>
  <c r="BY86" i="23"/>
  <c r="AQ8" i="23"/>
  <c r="S8" i="23"/>
  <c r="BP8" i="23"/>
  <c r="BQ8" i="23" s="1"/>
  <c r="AP8" i="23"/>
  <c r="CB8" i="23"/>
  <c r="Z8" i="23"/>
  <c r="AS8" i="23"/>
  <c r="AO8" i="23"/>
  <c r="AN8" i="23"/>
  <c r="BV9" i="23"/>
  <c r="BJ8" i="23"/>
  <c r="AY8" i="23"/>
  <c r="V8" i="23"/>
  <c r="BF8" i="23"/>
  <c r="BN8" i="23"/>
  <c r="BM8" i="23"/>
  <c r="BK8" i="23"/>
  <c r="BU77" i="23"/>
  <c r="BT77" i="23"/>
  <c r="X100" i="23"/>
  <c r="W100" i="23"/>
  <c r="AT100" i="23"/>
  <c r="C100" i="23"/>
  <c r="B100" i="23"/>
  <c r="BH100" i="23" s="1"/>
  <c r="AT108" i="23"/>
  <c r="B108" i="23"/>
  <c r="BH108" i="23" s="1"/>
  <c r="W108" i="23"/>
  <c r="X108" i="23"/>
  <c r="C108" i="23"/>
  <c r="X21" i="23"/>
  <c r="W21" i="23"/>
  <c r="AZ21" i="23"/>
  <c r="C21" i="23"/>
  <c r="D21" i="23" s="1"/>
  <c r="AT21" i="23"/>
  <c r="BG21" i="23" s="1"/>
  <c r="B21" i="23"/>
  <c r="BH21" i="23" s="1"/>
  <c r="BS116" i="23"/>
  <c r="Y116" i="23"/>
  <c r="W54" i="23"/>
  <c r="X54" i="23"/>
  <c r="C54" i="23"/>
  <c r="B54" i="23"/>
  <c r="BH54" i="23" s="1"/>
  <c r="AT54" i="23"/>
  <c r="BS65" i="23"/>
  <c r="Y65" i="23"/>
  <c r="B28" i="24"/>
  <c r="E22" i="33"/>
  <c r="B134" i="10" s="1"/>
  <c r="F134" i="10" s="1"/>
  <c r="B26" i="24"/>
  <c r="B128" i="10" s="1"/>
  <c r="F128" i="10" s="1"/>
  <c r="B131" i="10"/>
  <c r="B136" i="10"/>
  <c r="F136" i="10" s="1"/>
  <c r="C150" i="23"/>
  <c r="D150" i="23" s="1"/>
  <c r="W150" i="23"/>
  <c r="AT150" i="23"/>
  <c r="B150" i="23"/>
  <c r="BH150" i="23" s="1"/>
  <c r="X150" i="23"/>
  <c r="BS121" i="23"/>
  <c r="Y121" i="23"/>
  <c r="BO268" i="23"/>
  <c r="BH268" i="23"/>
  <c r="AJ112" i="23"/>
  <c r="AI112" i="23"/>
  <c r="AK112" i="23"/>
  <c r="AB112" i="23"/>
  <c r="AA112" i="23"/>
  <c r="AM112" i="23"/>
  <c r="CC112" i="23"/>
  <c r="AL112" i="23"/>
  <c r="AC112" i="23"/>
  <c r="AD112" i="23"/>
  <c r="BU110" i="23"/>
  <c r="BT110" i="23"/>
  <c r="BI99" i="23"/>
  <c r="BP76" i="23"/>
  <c r="BQ76" i="23" s="1"/>
  <c r="BK76" i="23"/>
  <c r="BJ76" i="23"/>
  <c r="Z76" i="23"/>
  <c r="BV77" i="23"/>
  <c r="CB76" i="23"/>
  <c r="AQ76" i="23"/>
  <c r="BN76" i="23"/>
  <c r="V76" i="23"/>
  <c r="AY76" i="23"/>
  <c r="BM76" i="23"/>
  <c r="BF76" i="23"/>
  <c r="AO76" i="23"/>
  <c r="AN76" i="23"/>
  <c r="S76" i="23"/>
  <c r="AS76" i="23"/>
  <c r="AP76" i="23"/>
  <c r="BI71" i="23"/>
  <c r="AE74" i="23"/>
  <c r="U74" i="23"/>
  <c r="AW74" i="23"/>
  <c r="AV74" i="23"/>
  <c r="T74" i="23"/>
  <c r="BY87" i="23"/>
  <c r="CA87" i="23"/>
  <c r="BZ87" i="23"/>
  <c r="Y24" i="23"/>
  <c r="BB24" i="23"/>
  <c r="BS24" i="23"/>
  <c r="BL50" i="23"/>
  <c r="T50" i="23"/>
  <c r="AW50" i="23"/>
  <c r="AV50" i="23"/>
  <c r="AE50" i="23"/>
  <c r="U50" i="23"/>
  <c r="CA27" i="23"/>
  <c r="BZ27" i="23"/>
  <c r="BY27" i="23"/>
  <c r="B9" i="40"/>
  <c r="B39" i="10"/>
  <c r="CC119" i="23"/>
  <c r="AC119" i="23"/>
  <c r="AB119" i="23"/>
  <c r="AM119" i="23"/>
  <c r="AL119" i="23"/>
  <c r="AJ119" i="23"/>
  <c r="AD119" i="23"/>
  <c r="AA119" i="23"/>
  <c r="AI119" i="23"/>
  <c r="AK119" i="23"/>
  <c r="BT112" i="23"/>
  <c r="BU112" i="23"/>
  <c r="BO264" i="23"/>
  <c r="BH264" i="23"/>
  <c r="U125" i="23"/>
  <c r="T125" i="23"/>
  <c r="AE125" i="23"/>
  <c r="AV125" i="23"/>
  <c r="AW125" i="23"/>
  <c r="BP70" i="23"/>
  <c r="BQ70" i="23" s="1"/>
  <c r="AY70" i="23"/>
  <c r="BV71" i="23"/>
  <c r="V70" i="23"/>
  <c r="BF70" i="23"/>
  <c r="AN70" i="23"/>
  <c r="AQ70" i="23"/>
  <c r="Z70" i="23"/>
  <c r="BK70" i="23"/>
  <c r="BJ70" i="23"/>
  <c r="S70" i="23"/>
  <c r="CB70" i="23"/>
  <c r="BM70" i="23"/>
  <c r="BN70" i="23"/>
  <c r="AS70" i="23"/>
  <c r="AP70" i="23"/>
  <c r="AO70" i="23"/>
  <c r="Y93" i="23"/>
  <c r="BS93" i="23"/>
  <c r="BN98" i="23"/>
  <c r="AO98" i="23"/>
  <c r="AP98" i="23"/>
  <c r="AN98" i="23"/>
  <c r="BM98" i="23"/>
  <c r="BK98" i="23"/>
  <c r="Z98" i="23"/>
  <c r="BV99" i="23"/>
  <c r="BP98" i="23"/>
  <c r="BQ98" i="23" s="1"/>
  <c r="BF98" i="23"/>
  <c r="AY98" i="23"/>
  <c r="CB98" i="23"/>
  <c r="S98" i="23"/>
  <c r="V98" i="23"/>
  <c r="BJ98" i="23"/>
  <c r="AQ98" i="23"/>
  <c r="AS98" i="23"/>
  <c r="U60" i="23"/>
  <c r="T60" i="23"/>
  <c r="AE60" i="23"/>
  <c r="AW60" i="23"/>
  <c r="AV60" i="23"/>
  <c r="CA62" i="23"/>
  <c r="BZ62" i="23"/>
  <c r="BY62" i="23"/>
  <c r="BS53" i="23"/>
  <c r="Y53" i="23"/>
  <c r="BI23" i="23"/>
  <c r="AL50" i="23"/>
  <c r="AC50" i="23"/>
  <c r="AM50" i="23"/>
  <c r="AK50" i="23"/>
  <c r="AJ50" i="23"/>
  <c r="AI50" i="23"/>
  <c r="AD50" i="23"/>
  <c r="AB50" i="23"/>
  <c r="AA50" i="23"/>
  <c r="CC50" i="23"/>
  <c r="BI38" i="23"/>
  <c r="BV150" i="23"/>
  <c r="Z149" i="23"/>
  <c r="BJ149" i="23"/>
  <c r="AY149" i="23"/>
  <c r="AQ149" i="23"/>
  <c r="BP149" i="23"/>
  <c r="BQ149" i="23" s="1"/>
  <c r="BN149" i="23"/>
  <c r="BM149" i="23"/>
  <c r="AN149" i="23"/>
  <c r="AO149" i="23"/>
  <c r="BK149" i="23"/>
  <c r="CB149" i="23"/>
  <c r="AP149" i="23"/>
  <c r="AS149" i="23"/>
  <c r="BF149" i="23"/>
  <c r="V149" i="23"/>
  <c r="S149" i="23"/>
  <c r="BN120" i="23"/>
  <c r="BM120" i="23"/>
  <c r="BK120" i="23"/>
  <c r="AP120" i="23"/>
  <c r="AO120" i="23"/>
  <c r="CB120" i="23"/>
  <c r="BF120" i="23"/>
  <c r="BP120" i="23"/>
  <c r="BQ120" i="23" s="1"/>
  <c r="BJ120" i="23"/>
  <c r="AY120" i="23"/>
  <c r="AN120" i="23"/>
  <c r="Z120" i="23"/>
  <c r="AS120" i="23"/>
  <c r="AQ120" i="23"/>
  <c r="BV121" i="23"/>
  <c r="V120" i="23"/>
  <c r="S120" i="23"/>
  <c r="BU108" i="23"/>
  <c r="BT108" i="23"/>
  <c r="AA113" i="23"/>
  <c r="AD113" i="23"/>
  <c r="AC113" i="23"/>
  <c r="AK113" i="23"/>
  <c r="AL113" i="23"/>
  <c r="AJ113" i="23"/>
  <c r="CC113" i="23"/>
  <c r="AI113" i="23"/>
  <c r="AM113" i="23"/>
  <c r="AB113" i="23"/>
  <c r="BT118" i="23"/>
  <c r="BU118" i="23"/>
  <c r="Y60" i="23"/>
  <c r="BS60" i="23"/>
  <c r="CD26" i="23"/>
  <c r="AX26" i="23"/>
  <c r="BO171" i="23"/>
  <c r="BH171" i="23"/>
  <c r="F7" i="36"/>
  <c r="B129" i="16"/>
  <c r="B128" i="16"/>
  <c r="C24" i="11"/>
  <c r="B55" i="10" s="1"/>
  <c r="F55" i="10" s="1"/>
  <c r="B139" i="16"/>
  <c r="C15" i="11" s="1"/>
  <c r="BF131" i="23"/>
  <c r="AY131" i="23"/>
  <c r="BV132" i="23"/>
  <c r="CB131" i="23"/>
  <c r="BP131" i="23"/>
  <c r="BQ131" i="23" s="1"/>
  <c r="BN131" i="23"/>
  <c r="AN131" i="23"/>
  <c r="AS131" i="23"/>
  <c r="AQ131" i="23"/>
  <c r="Z131" i="23"/>
  <c r="V131" i="23"/>
  <c r="BM131" i="23"/>
  <c r="AP131" i="23"/>
  <c r="BK131" i="23"/>
  <c r="AO131" i="23"/>
  <c r="S131" i="23"/>
  <c r="BJ131" i="23"/>
  <c r="BH230" i="23"/>
  <c r="BO230" i="23"/>
  <c r="AW140" i="23"/>
  <c r="T140" i="23"/>
  <c r="AV140" i="23"/>
  <c r="U140" i="23"/>
  <c r="AE140" i="23"/>
  <c r="AE149" i="23"/>
  <c r="AW149" i="23"/>
  <c r="AV149" i="23"/>
  <c r="T149" i="23"/>
  <c r="U149" i="23"/>
  <c r="V144" i="23"/>
  <c r="AQ144" i="23"/>
  <c r="CB144" i="23"/>
  <c r="AP144" i="23"/>
  <c r="BP144" i="23"/>
  <c r="BQ144" i="23" s="1"/>
  <c r="AO144" i="23"/>
  <c r="AN144" i="23"/>
  <c r="S144" i="23"/>
  <c r="BJ144" i="23"/>
  <c r="AY144" i="23"/>
  <c r="BN144" i="23"/>
  <c r="BM144" i="23"/>
  <c r="BV145" i="23"/>
  <c r="BK144" i="23"/>
  <c r="AS144" i="23"/>
  <c r="Z144" i="23"/>
  <c r="BF144" i="23"/>
  <c r="BO205" i="23"/>
  <c r="BH205" i="23"/>
  <c r="AE131" i="23"/>
  <c r="AW131" i="23"/>
  <c r="U131" i="23"/>
  <c r="T131" i="23"/>
  <c r="AV131" i="23"/>
  <c r="BH219" i="23"/>
  <c r="BO219" i="23"/>
  <c r="BF86" i="23"/>
  <c r="Z86" i="23"/>
  <c r="AP86" i="23"/>
  <c r="CB86" i="23"/>
  <c r="AO86" i="23"/>
  <c r="AN86" i="23"/>
  <c r="BN86" i="23"/>
  <c r="BP86" i="23"/>
  <c r="BQ86" i="23" s="1"/>
  <c r="V86" i="23"/>
  <c r="BM86" i="23"/>
  <c r="BK86" i="23"/>
  <c r="AS86" i="23"/>
  <c r="AQ86" i="23"/>
  <c r="BJ86" i="23"/>
  <c r="BV87" i="23"/>
  <c r="AY86" i="23"/>
  <c r="S86" i="23"/>
  <c r="Y97" i="23"/>
  <c r="BS97" i="23"/>
  <c r="BU86" i="23"/>
  <c r="BT86" i="23"/>
  <c r="BZ97" i="23"/>
  <c r="BY97" i="23"/>
  <c r="CA97" i="23"/>
  <c r="B114" i="23"/>
  <c r="BH114" i="23" s="1"/>
  <c r="AT114" i="23"/>
  <c r="C114" i="23"/>
  <c r="D114" i="23" s="1"/>
  <c r="X114" i="23"/>
  <c r="W114" i="23"/>
  <c r="CA92" i="23"/>
  <c r="BZ92" i="23"/>
  <c r="BY92" i="23"/>
  <c r="X89" i="23"/>
  <c r="C89" i="23"/>
  <c r="B89" i="23"/>
  <c r="BH89" i="23" s="1"/>
  <c r="AT89" i="23"/>
  <c r="W89" i="23"/>
  <c r="BN73" i="23"/>
  <c r="BF73" i="23"/>
  <c r="AY73" i="23"/>
  <c r="AN73" i="23"/>
  <c r="AS73" i="23"/>
  <c r="AQ73" i="23"/>
  <c r="AP73" i="23"/>
  <c r="CB73" i="23"/>
  <c r="BP73" i="23"/>
  <c r="BQ73" i="23" s="1"/>
  <c r="BM73" i="23"/>
  <c r="BJ73" i="23"/>
  <c r="BK73" i="23"/>
  <c r="AO73" i="23"/>
  <c r="V73" i="23"/>
  <c r="S73" i="23"/>
  <c r="BV74" i="23"/>
  <c r="Z73" i="23"/>
  <c r="BS137" i="23"/>
  <c r="Y137" i="23"/>
  <c r="BU74" i="23"/>
  <c r="BT74" i="23"/>
  <c r="BT56" i="23"/>
  <c r="BU56" i="23"/>
  <c r="C46" i="23"/>
  <c r="D46" i="23" s="1"/>
  <c r="AT46" i="23"/>
  <c r="BG46" i="23" s="1"/>
  <c r="B46" i="23"/>
  <c r="BH46" i="23" s="1"/>
  <c r="AZ46" i="23"/>
  <c r="X46" i="23"/>
  <c r="W46" i="23"/>
  <c r="AJ124" i="23"/>
  <c r="AI124" i="23"/>
  <c r="AM124" i="23"/>
  <c r="AL124" i="23"/>
  <c r="CC124" i="23"/>
  <c r="AD124" i="23"/>
  <c r="AC124" i="23"/>
  <c r="AK124" i="23"/>
  <c r="AB124" i="23"/>
  <c r="AA124" i="23"/>
  <c r="Y34" i="23"/>
  <c r="BB34" i="23"/>
  <c r="BS34" i="23"/>
  <c r="F11" i="19"/>
  <c r="F8" i="19" s="1"/>
  <c r="F8" i="10"/>
  <c r="BS142" i="23"/>
  <c r="Y142" i="23"/>
  <c r="BI149" i="23"/>
  <c r="BI146" i="23"/>
  <c r="BK138" i="23"/>
  <c r="AQ138" i="23"/>
  <c r="AP138" i="23"/>
  <c r="BF138" i="23"/>
  <c r="AY138" i="23"/>
  <c r="V138" i="23"/>
  <c r="AN138" i="23"/>
  <c r="S138" i="23"/>
  <c r="AS138" i="23"/>
  <c r="AO138" i="23"/>
  <c r="Z138" i="23"/>
  <c r="CB138" i="23"/>
  <c r="BJ138" i="23"/>
  <c r="BP138" i="23"/>
  <c r="BQ138" i="23" s="1"/>
  <c r="BV139" i="23"/>
  <c r="BN138" i="23"/>
  <c r="BM138" i="23"/>
  <c r="BS124" i="23"/>
  <c r="Y124" i="23"/>
  <c r="Y148" i="23"/>
  <c r="BS148" i="23"/>
  <c r="BY136" i="23"/>
  <c r="CA136" i="23"/>
  <c r="BZ136" i="23"/>
  <c r="AC125" i="23"/>
  <c r="CC125" i="23"/>
  <c r="AL125" i="23"/>
  <c r="AK125" i="23"/>
  <c r="AJ125" i="23"/>
  <c r="AD125" i="23"/>
  <c r="AB125" i="23"/>
  <c r="AA125" i="23"/>
  <c r="AM125" i="23"/>
  <c r="AI125" i="23"/>
  <c r="BI147" i="23"/>
  <c r="BI126" i="23"/>
  <c r="CC142" i="23"/>
  <c r="AK142" i="23"/>
  <c r="AC142" i="23"/>
  <c r="AD142" i="23"/>
  <c r="AB142" i="23"/>
  <c r="AI142" i="23"/>
  <c r="AJ142" i="23"/>
  <c r="AL142" i="23"/>
  <c r="AM142" i="23"/>
  <c r="AA142" i="23"/>
  <c r="AE109" i="23"/>
  <c r="AV109" i="23"/>
  <c r="T109" i="23"/>
  <c r="AW109" i="23"/>
  <c r="U109" i="23"/>
  <c r="BK109" i="23"/>
  <c r="BJ109" i="23"/>
  <c r="AN109" i="23"/>
  <c r="BN109" i="23"/>
  <c r="BF109" i="23"/>
  <c r="BV110" i="23"/>
  <c r="BP109" i="23"/>
  <c r="BQ109" i="23" s="1"/>
  <c r="BM109" i="23"/>
  <c r="AQ109" i="23"/>
  <c r="S109" i="23"/>
  <c r="AY109" i="23"/>
  <c r="AS109" i="23"/>
  <c r="AP109" i="23"/>
  <c r="AO109" i="23"/>
  <c r="Z109" i="23"/>
  <c r="V109" i="23"/>
  <c r="CB109" i="23"/>
  <c r="X99" i="23"/>
  <c r="W99" i="23"/>
  <c r="C99" i="23"/>
  <c r="D99" i="23" s="1"/>
  <c r="B99" i="23"/>
  <c r="BO99" i="23" s="1"/>
  <c r="AT99" i="23"/>
  <c r="BT93" i="23"/>
  <c r="BU93" i="23"/>
  <c r="T54" i="23"/>
  <c r="U54" i="23"/>
  <c r="AV54" i="23"/>
  <c r="AW54" i="23"/>
  <c r="AE54" i="23"/>
  <c r="BI81" i="23"/>
  <c r="BS83" i="23"/>
  <c r="Y83" i="23"/>
  <c r="AV97" i="23"/>
  <c r="U97" i="23"/>
  <c r="AW97" i="23"/>
  <c r="AE97" i="23"/>
  <c r="T97" i="23"/>
  <c r="T69" i="23"/>
  <c r="AW69" i="23"/>
  <c r="AV69" i="23"/>
  <c r="AE69" i="23"/>
  <c r="U69" i="23"/>
  <c r="W138" i="23"/>
  <c r="B138" i="23"/>
  <c r="BH138" i="23" s="1"/>
  <c r="X138" i="23"/>
  <c r="AT138" i="23"/>
  <c r="C138" i="23"/>
  <c r="AO85" i="23"/>
  <c r="AS85" i="23"/>
  <c r="S85" i="23"/>
  <c r="V85" i="23"/>
  <c r="BV86" i="23"/>
  <c r="BM85" i="23"/>
  <c r="Z85" i="23"/>
  <c r="AQ85" i="23"/>
  <c r="AY85" i="23"/>
  <c r="AP85" i="23"/>
  <c r="BP85" i="23"/>
  <c r="BQ85" i="23" s="1"/>
  <c r="BN85" i="23"/>
  <c r="BK85" i="23"/>
  <c r="BJ85" i="23"/>
  <c r="BF85" i="23"/>
  <c r="AN85" i="23"/>
  <c r="CB85" i="23"/>
  <c r="CA112" i="23"/>
  <c r="BY112" i="23"/>
  <c r="BZ112" i="23"/>
  <c r="C105" i="23"/>
  <c r="D105" i="23" s="1"/>
  <c r="AT105" i="23"/>
  <c r="B105" i="23"/>
  <c r="BO105" i="23" s="1"/>
  <c r="X105" i="23"/>
  <c r="W105" i="23"/>
  <c r="BS66" i="23"/>
  <c r="Y66" i="23"/>
  <c r="AK61" i="23"/>
  <c r="AJ61" i="23"/>
  <c r="AI61" i="23"/>
  <c r="AM61" i="23"/>
  <c r="AD61" i="23"/>
  <c r="AC61" i="23"/>
  <c r="AL61" i="23"/>
  <c r="AB61" i="23"/>
  <c r="CC61" i="23"/>
  <c r="AA61" i="23"/>
  <c r="AM33" i="23"/>
  <c r="AL33" i="23"/>
  <c r="AI33" i="23"/>
  <c r="CC33" i="23"/>
  <c r="AK33" i="23"/>
  <c r="AJ33" i="23"/>
  <c r="AD33" i="23"/>
  <c r="AC33" i="23"/>
  <c r="AB33" i="23"/>
  <c r="AA33" i="23"/>
  <c r="BS92" i="23"/>
  <c r="Y92" i="23"/>
  <c r="AE56" i="23"/>
  <c r="AW56" i="23"/>
  <c r="U56" i="23"/>
  <c r="T56" i="23"/>
  <c r="AV56" i="23"/>
  <c r="B44" i="23"/>
  <c r="BO44" i="23" s="1"/>
  <c r="X44" i="23"/>
  <c r="W44" i="23"/>
  <c r="C44" i="23"/>
  <c r="AZ44" i="23"/>
  <c r="AT44" i="23"/>
  <c r="BG44" i="23" s="1"/>
  <c r="AA43" i="23"/>
  <c r="AC43" i="23"/>
  <c r="AB43" i="23"/>
  <c r="AJ43" i="23"/>
  <c r="AD43" i="23"/>
  <c r="CC43" i="23"/>
  <c r="AL43" i="23"/>
  <c r="AM43" i="23"/>
  <c r="AK43" i="23"/>
  <c r="AI43" i="23"/>
  <c r="AB23" i="23"/>
  <c r="AD23" i="23"/>
  <c r="AC23" i="23"/>
  <c r="AA23" i="23"/>
  <c r="AM23" i="23"/>
  <c r="CC23" i="23"/>
  <c r="AL23" i="23"/>
  <c r="AK23" i="23"/>
  <c r="AJ23" i="23"/>
  <c r="AI23" i="23"/>
  <c r="BZ43" i="23"/>
  <c r="BY43" i="23"/>
  <c r="CA43" i="23"/>
  <c r="BU63" i="23"/>
  <c r="BT63" i="23"/>
  <c r="BI80" i="23"/>
  <c r="AI21" i="23"/>
  <c r="AD21" i="23"/>
  <c r="AC21" i="23"/>
  <c r="AB21" i="23"/>
  <c r="AA21" i="23"/>
  <c r="AM21" i="23"/>
  <c r="AL21" i="23"/>
  <c r="AK21" i="23"/>
  <c r="AJ21" i="23"/>
  <c r="CC21" i="23"/>
  <c r="BS10" i="23"/>
  <c r="Y10" i="23"/>
  <c r="BB10" i="23"/>
  <c r="BU48" i="23"/>
  <c r="BT48" i="23"/>
  <c r="BI30" i="23"/>
  <c r="CA44" i="23"/>
  <c r="BZ44" i="23"/>
  <c r="BY44" i="23"/>
  <c r="CC39" i="23"/>
  <c r="AM39" i="23"/>
  <c r="AL39" i="23"/>
  <c r="AC39" i="23"/>
  <c r="AI39" i="23"/>
  <c r="AD39" i="23"/>
  <c r="AK39" i="23"/>
  <c r="AJ39" i="23"/>
  <c r="AB39" i="23"/>
  <c r="AA39" i="23"/>
  <c r="AN65" i="23"/>
  <c r="BV66" i="23"/>
  <c r="BK65" i="23"/>
  <c r="BF65" i="23"/>
  <c r="V65" i="23"/>
  <c r="BP65" i="23"/>
  <c r="BQ65" i="23" s="1"/>
  <c r="Z65" i="23"/>
  <c r="S65" i="23"/>
  <c r="CB65" i="23"/>
  <c r="BM65" i="23"/>
  <c r="AQ65" i="23"/>
  <c r="AP65" i="23"/>
  <c r="AO65" i="23"/>
  <c r="BN65" i="23"/>
  <c r="AS65" i="23"/>
  <c r="BJ65" i="23"/>
  <c r="AY65" i="23"/>
  <c r="T9" i="23"/>
  <c r="BL9" i="23"/>
  <c r="AV9" i="23"/>
  <c r="U9" i="23"/>
  <c r="AW9" i="23"/>
  <c r="AE9" i="23"/>
  <c r="Y63" i="23"/>
  <c r="BS63" i="23"/>
  <c r="BI50" i="23"/>
  <c r="BU14" i="23"/>
  <c r="BT14" i="23"/>
  <c r="BI15" i="23"/>
  <c r="AT78" i="23"/>
  <c r="C78" i="23"/>
  <c r="X78" i="23"/>
  <c r="W78" i="23"/>
  <c r="B78" i="23"/>
  <c r="BO78" i="23" s="1"/>
  <c r="BZ3" i="23"/>
  <c r="BY3" i="23"/>
  <c r="CA3" i="23"/>
  <c r="BT4" i="23" l="1"/>
  <c r="B32" i="39" s="1"/>
  <c r="B34" i="39" s="1"/>
  <c r="D15" i="36" s="1"/>
  <c r="AU54" i="23"/>
  <c r="BO129" i="23"/>
  <c r="F304" i="23"/>
  <c r="AU91" i="23"/>
  <c r="B1" i="39"/>
  <c r="C11" i="39" s="1"/>
  <c r="C14" i="36" s="1"/>
  <c r="B68" i="10" s="1"/>
  <c r="BO26" i="23"/>
  <c r="AU108" i="23"/>
  <c r="BO132" i="23"/>
  <c r="BO140" i="23"/>
  <c r="BH47" i="23"/>
  <c r="BO71" i="23"/>
  <c r="BO55" i="23"/>
  <c r="AU10" i="23"/>
  <c r="AU38" i="23"/>
  <c r="BO120" i="23"/>
  <c r="BO36" i="23"/>
  <c r="AU35" i="23"/>
  <c r="BH146" i="23"/>
  <c r="AU95" i="23"/>
  <c r="BO64" i="23"/>
  <c r="AU39" i="23"/>
  <c r="AU93" i="23"/>
  <c r="BO56" i="23"/>
  <c r="BO128" i="23"/>
  <c r="AU77" i="23"/>
  <c r="BO73" i="23"/>
  <c r="AU68" i="23"/>
  <c r="AU117" i="23"/>
  <c r="AU71" i="23"/>
  <c r="BO24" i="23"/>
  <c r="AU52" i="23"/>
  <c r="BO12" i="23"/>
  <c r="AU17" i="23"/>
  <c r="BO139" i="23"/>
  <c r="BO16" i="23"/>
  <c r="AU126" i="23"/>
  <c r="BO40" i="23"/>
  <c r="AU48" i="23"/>
  <c r="BO60" i="23"/>
  <c r="AU7" i="23"/>
  <c r="AU97" i="23"/>
  <c r="AU59" i="23"/>
  <c r="BO108" i="23"/>
  <c r="BO4" i="23"/>
  <c r="BO81" i="23"/>
  <c r="BH94" i="23"/>
  <c r="AU149" i="23"/>
  <c r="BO121" i="23"/>
  <c r="AU104" i="23"/>
  <c r="BH39" i="23"/>
  <c r="BI4" i="23"/>
  <c r="AU89" i="23"/>
  <c r="BO69" i="23"/>
  <c r="AU78" i="23"/>
  <c r="BH143" i="23"/>
  <c r="AU142" i="23"/>
  <c r="AY4" i="23"/>
  <c r="B102" i="16" s="1"/>
  <c r="BO145" i="23"/>
  <c r="BO103" i="23"/>
  <c r="AU13" i="23"/>
  <c r="BH14" i="23"/>
  <c r="AU5" i="23"/>
  <c r="Z4" i="23"/>
  <c r="B28" i="16" s="1"/>
  <c r="BO59" i="23"/>
  <c r="BO10" i="23"/>
  <c r="BN3" i="23"/>
  <c r="D77" i="23"/>
  <c r="BH57" i="23"/>
  <c r="BH61" i="23"/>
  <c r="AU45" i="23"/>
  <c r="AP3" i="23"/>
  <c r="AP152" i="23" s="1"/>
  <c r="F5" i="26" s="1"/>
  <c r="E5" i="26" s="1"/>
  <c r="C5" i="26" s="1"/>
  <c r="AU49" i="23"/>
  <c r="AU8" i="23"/>
  <c r="AU80" i="23"/>
  <c r="BH19" i="23"/>
  <c r="AU131" i="23"/>
  <c r="D126" i="23"/>
  <c r="AU61" i="23"/>
  <c r="AU92" i="23"/>
  <c r="BO77" i="23"/>
  <c r="AU101" i="23"/>
  <c r="AU32" i="23"/>
  <c r="BH30" i="23"/>
  <c r="BH126" i="23"/>
  <c r="BO65" i="23"/>
  <c r="AU87" i="23"/>
  <c r="BH122" i="23"/>
  <c r="AU140" i="23"/>
  <c r="BO29" i="23"/>
  <c r="AU40" i="23"/>
  <c r="BH7" i="23"/>
  <c r="AU44" i="23"/>
  <c r="BO52" i="23"/>
  <c r="BH41" i="23"/>
  <c r="D59" i="23"/>
  <c r="BO114" i="23"/>
  <c r="BO147" i="23"/>
  <c r="BH123" i="23"/>
  <c r="AU23" i="23"/>
  <c r="BO42" i="23"/>
  <c r="BH5" i="23"/>
  <c r="BO101" i="23"/>
  <c r="BM3" i="23"/>
  <c r="BH25" i="23"/>
  <c r="BH148" i="23"/>
  <c r="AU115" i="23"/>
  <c r="AU82" i="23"/>
  <c r="BO91" i="23"/>
  <c r="BO74" i="23"/>
  <c r="BJ3" i="23"/>
  <c r="S3" i="23"/>
  <c r="V3" i="23" s="1"/>
  <c r="BH124" i="23"/>
  <c r="BK2" i="23"/>
  <c r="AU109" i="23"/>
  <c r="BO68" i="23"/>
  <c r="BH44" i="23"/>
  <c r="AU69" i="23"/>
  <c r="AZ2" i="23"/>
  <c r="BC2" i="23" s="1"/>
  <c r="AU112" i="23"/>
  <c r="D71" i="23"/>
  <c r="AU143" i="23"/>
  <c r="AU55" i="23"/>
  <c r="AU65" i="23"/>
  <c r="BO54" i="23"/>
  <c r="BO6" i="23"/>
  <c r="AU34" i="23"/>
  <c r="BH96" i="23"/>
  <c r="D7" i="23"/>
  <c r="BH135" i="23"/>
  <c r="AU24" i="23"/>
  <c r="BH35" i="23"/>
  <c r="BO136" i="23"/>
  <c r="S2" i="23"/>
  <c r="V2" i="23" s="1"/>
  <c r="AU9" i="23"/>
  <c r="AU60" i="23"/>
  <c r="D91" i="23"/>
  <c r="BO102" i="23"/>
  <c r="BO66" i="23"/>
  <c r="BO33" i="23"/>
  <c r="AU16" i="23"/>
  <c r="BH50" i="23"/>
  <c r="BH104" i="23"/>
  <c r="BH63" i="23"/>
  <c r="BH48" i="23"/>
  <c r="BH72" i="23"/>
  <c r="BO70" i="23"/>
  <c r="BH84" i="23"/>
  <c r="D68" i="23"/>
  <c r="AU94" i="23"/>
  <c r="BO138" i="23"/>
  <c r="AU58" i="23"/>
  <c r="BO89" i="23"/>
  <c r="D115" i="23"/>
  <c r="BO111" i="23"/>
  <c r="BO130" i="23"/>
  <c r="BH15" i="23"/>
  <c r="BO93" i="23"/>
  <c r="BO27" i="23"/>
  <c r="BH125" i="23"/>
  <c r="AU114" i="23"/>
  <c r="AU137" i="23"/>
  <c r="AU51" i="23"/>
  <c r="AU88" i="23"/>
  <c r="D149" i="23"/>
  <c r="BO53" i="23"/>
  <c r="AU100" i="23"/>
  <c r="D108" i="23"/>
  <c r="AU138" i="23"/>
  <c r="AU107" i="23"/>
  <c r="D138" i="23"/>
  <c r="BO31" i="23"/>
  <c r="AU64" i="23"/>
  <c r="BH133" i="23"/>
  <c r="BH62" i="23"/>
  <c r="BH113" i="23"/>
  <c r="B163" i="16"/>
  <c r="C21" i="9" s="1"/>
  <c r="E21" i="9" s="1"/>
  <c r="AU79" i="23"/>
  <c r="AU106" i="23"/>
  <c r="AU42" i="23"/>
  <c r="AU18" i="23"/>
  <c r="BO18" i="23"/>
  <c r="AU25" i="23"/>
  <c r="BH22" i="23"/>
  <c r="BH2" i="23"/>
  <c r="BH28" i="23"/>
  <c r="AU4" i="23"/>
  <c r="AW4" i="23" s="1"/>
  <c r="BH99" i="23"/>
  <c r="D104" i="23"/>
  <c r="BO85" i="23"/>
  <c r="AU26" i="23"/>
  <c r="BO141" i="23"/>
  <c r="CB2" i="23"/>
  <c r="BH34" i="23"/>
  <c r="D117" i="23"/>
  <c r="BW85" i="23"/>
  <c r="BX85" i="23"/>
  <c r="AH85" i="23"/>
  <c r="AG85" i="23"/>
  <c r="AF85" i="23"/>
  <c r="AU105" i="23"/>
  <c r="BH38" i="23"/>
  <c r="BC21" i="23"/>
  <c r="BA21" i="23"/>
  <c r="AU70" i="23"/>
  <c r="BX113" i="23"/>
  <c r="BW113" i="23"/>
  <c r="AG113" i="23"/>
  <c r="AH113" i="23"/>
  <c r="AF113" i="23"/>
  <c r="BO32" i="23"/>
  <c r="BJ4" i="23"/>
  <c r="BX90" i="23"/>
  <c r="BW90" i="23"/>
  <c r="AH90" i="23"/>
  <c r="AG90" i="23"/>
  <c r="AF90" i="23"/>
  <c r="AH127" i="23"/>
  <c r="AG127" i="23"/>
  <c r="BX127" i="23"/>
  <c r="BW127" i="23"/>
  <c r="AF127" i="23"/>
  <c r="BX65" i="23"/>
  <c r="AH65" i="23"/>
  <c r="BW65" i="23"/>
  <c r="AG65" i="23"/>
  <c r="AF65" i="23"/>
  <c r="BX61" i="23"/>
  <c r="AF61" i="23"/>
  <c r="BW61" i="23"/>
  <c r="AH61" i="23"/>
  <c r="AG61" i="23"/>
  <c r="AJ152" i="23"/>
  <c r="B19" i="24" s="1"/>
  <c r="AH76" i="23"/>
  <c r="AF76" i="23"/>
  <c r="AG76" i="23"/>
  <c r="BX76" i="23"/>
  <c r="BW76" i="23"/>
  <c r="B138" i="16"/>
  <c r="B136" i="16"/>
  <c r="B7" i="39" s="1"/>
  <c r="C12" i="36" s="1"/>
  <c r="B135" i="16"/>
  <c r="C135" i="16" s="1"/>
  <c r="BO21" i="23"/>
  <c r="AF98" i="23"/>
  <c r="BX98" i="23"/>
  <c r="AG98" i="23"/>
  <c r="BW98" i="23"/>
  <c r="AH98" i="23"/>
  <c r="BF3" i="23"/>
  <c r="AU83" i="23"/>
  <c r="AH11" i="23"/>
  <c r="AG11" i="23"/>
  <c r="AF11" i="23"/>
  <c r="BE11" i="23"/>
  <c r="BX11" i="23"/>
  <c r="BW11" i="23"/>
  <c r="BX68" i="23"/>
  <c r="BW68" i="23"/>
  <c r="AH68" i="23"/>
  <c r="AG68" i="23"/>
  <c r="AF68" i="23"/>
  <c r="AG124" i="23"/>
  <c r="AF124" i="23"/>
  <c r="AH124" i="23"/>
  <c r="BW124" i="23"/>
  <c r="BX124" i="23"/>
  <c r="BO116" i="23"/>
  <c r="BC9" i="23"/>
  <c r="BA9" i="23"/>
  <c r="D69" i="23"/>
  <c r="BH127" i="23"/>
  <c r="AG111" i="23"/>
  <c r="BW111" i="23"/>
  <c r="BX111" i="23"/>
  <c r="AH111" i="23"/>
  <c r="AF111" i="23"/>
  <c r="AU84" i="23"/>
  <c r="BH83" i="23"/>
  <c r="BX17" i="23"/>
  <c r="BW17" i="23"/>
  <c r="AH17" i="23"/>
  <c r="BE17" i="23"/>
  <c r="AG17" i="23"/>
  <c r="AF17" i="23"/>
  <c r="BW34" i="23"/>
  <c r="BE34" i="23"/>
  <c r="BX34" i="23"/>
  <c r="AF34" i="23"/>
  <c r="AG34" i="23"/>
  <c r="AH78" i="23"/>
  <c r="AG78" i="23"/>
  <c r="AF78" i="23"/>
  <c r="BX78" i="23"/>
  <c r="BW78" i="23"/>
  <c r="AF33" i="23"/>
  <c r="AG33" i="23"/>
  <c r="BX33" i="23"/>
  <c r="BW33" i="23"/>
  <c r="BE33" i="23"/>
  <c r="BC4" i="23"/>
  <c r="BA4" i="23"/>
  <c r="BH51" i="23"/>
  <c r="S4" i="23"/>
  <c r="V4" i="23" s="1"/>
  <c r="AU81" i="23"/>
  <c r="BW9" i="23"/>
  <c r="BX9" i="23"/>
  <c r="AG9" i="23"/>
  <c r="AF9" i="23"/>
  <c r="BE9" i="23"/>
  <c r="AH9" i="23"/>
  <c r="BC38" i="23"/>
  <c r="BA38" i="23"/>
  <c r="AU86" i="23"/>
  <c r="B22" i="16"/>
  <c r="B24" i="16" s="1"/>
  <c r="B38" i="16" s="1"/>
  <c r="D82" i="23"/>
  <c r="AI152" i="23"/>
  <c r="BO131" i="23"/>
  <c r="BW52" i="23"/>
  <c r="AH52" i="23"/>
  <c r="AG52" i="23"/>
  <c r="AF52" i="23"/>
  <c r="BX52" i="23"/>
  <c r="AK152" i="23"/>
  <c r="B22" i="24" s="1"/>
  <c r="BX23" i="23"/>
  <c r="AF23" i="23"/>
  <c r="BE23" i="23"/>
  <c r="BW23" i="23"/>
  <c r="AG23" i="23"/>
  <c r="AH23" i="23"/>
  <c r="BW106" i="23"/>
  <c r="AF106" i="23"/>
  <c r="AH106" i="23"/>
  <c r="AG106" i="23"/>
  <c r="BX106" i="23"/>
  <c r="AG88" i="23"/>
  <c r="AF88" i="23"/>
  <c r="BW88" i="23"/>
  <c r="BX88" i="23"/>
  <c r="AH88" i="23"/>
  <c r="BE48" i="23"/>
  <c r="AG48" i="23"/>
  <c r="BX48" i="23"/>
  <c r="BW48" i="23"/>
  <c r="AH48" i="23"/>
  <c r="AF48" i="23"/>
  <c r="B7" i="40"/>
  <c r="B10" i="40"/>
  <c r="AU63" i="23"/>
  <c r="BH115" i="23"/>
  <c r="AU122" i="23"/>
  <c r="BX55" i="23"/>
  <c r="BW55" i="23"/>
  <c r="AH55" i="23"/>
  <c r="AG55" i="23"/>
  <c r="AF55" i="23"/>
  <c r="AG104" i="23"/>
  <c r="BX104" i="23"/>
  <c r="BW104" i="23"/>
  <c r="AH104" i="23"/>
  <c r="AF104" i="23"/>
  <c r="AH58" i="23"/>
  <c r="AF58" i="23"/>
  <c r="AG58" i="23"/>
  <c r="BX58" i="23"/>
  <c r="BW58" i="23"/>
  <c r="BE20" i="23"/>
  <c r="AH20" i="23"/>
  <c r="AG20" i="23"/>
  <c r="AF20" i="23"/>
  <c r="BX20" i="23"/>
  <c r="BW20" i="23"/>
  <c r="BX64" i="23"/>
  <c r="BW64" i="23"/>
  <c r="AH64" i="23"/>
  <c r="AG64" i="23"/>
  <c r="AF64" i="23"/>
  <c r="D55" i="23"/>
  <c r="AU150" i="23"/>
  <c r="BH58" i="23"/>
  <c r="BH67" i="23"/>
  <c r="AF92" i="23"/>
  <c r="BX92" i="23"/>
  <c r="AG92" i="23"/>
  <c r="AH92" i="23"/>
  <c r="BW92" i="23"/>
  <c r="BX63" i="23"/>
  <c r="BW63" i="23"/>
  <c r="AH63" i="23"/>
  <c r="AG63" i="23"/>
  <c r="AF63" i="23"/>
  <c r="AF86" i="23"/>
  <c r="BW86" i="23"/>
  <c r="AH86" i="23"/>
  <c r="AG86" i="23"/>
  <c r="BX86" i="23"/>
  <c r="D116" i="23"/>
  <c r="D4" i="23"/>
  <c r="CB4" i="23" s="1"/>
  <c r="D109" i="23"/>
  <c r="D5" i="23"/>
  <c r="AF118" i="23"/>
  <c r="AH118" i="23"/>
  <c r="BW118" i="23"/>
  <c r="BX118" i="23"/>
  <c r="AG118" i="23"/>
  <c r="AU36" i="23"/>
  <c r="AM152" i="23"/>
  <c r="AF128" i="23"/>
  <c r="AH128" i="23"/>
  <c r="BX128" i="23"/>
  <c r="BW128" i="23"/>
  <c r="AG128" i="23"/>
  <c r="BA33" i="23"/>
  <c r="BC33" i="23"/>
  <c r="BH37" i="23"/>
  <c r="BO75" i="23"/>
  <c r="BW137" i="23"/>
  <c r="AH137" i="23"/>
  <c r="BX137" i="23"/>
  <c r="AG137" i="23"/>
  <c r="AF137" i="23"/>
  <c r="D87" i="23"/>
  <c r="AF83" i="23"/>
  <c r="AG83" i="23"/>
  <c r="AH83" i="23"/>
  <c r="BX83" i="23"/>
  <c r="BW83" i="23"/>
  <c r="BH92" i="23"/>
  <c r="AU120" i="23"/>
  <c r="D120" i="23"/>
  <c r="BA43" i="23"/>
  <c r="BC43" i="23"/>
  <c r="AH145" i="23"/>
  <c r="AF145" i="23"/>
  <c r="AG145" i="23"/>
  <c r="BW145" i="23"/>
  <c r="BX145" i="23"/>
  <c r="D38" i="23"/>
  <c r="BC13" i="23"/>
  <c r="BA13" i="23"/>
  <c r="AU119" i="23"/>
  <c r="BW132" i="23"/>
  <c r="AH132" i="23"/>
  <c r="AG132" i="23"/>
  <c r="AF132" i="23"/>
  <c r="BX132" i="23"/>
  <c r="BW129" i="23"/>
  <c r="AF129" i="23"/>
  <c r="BX129" i="23"/>
  <c r="AG129" i="23"/>
  <c r="AH129" i="23"/>
  <c r="BC8" i="23"/>
  <c r="BA8" i="23"/>
  <c r="BC45" i="23"/>
  <c r="BA45" i="23"/>
  <c r="AU127" i="23"/>
  <c r="AU21" i="23"/>
  <c r="BX24" i="23"/>
  <c r="BW24" i="23"/>
  <c r="AG24" i="23"/>
  <c r="AF24" i="23"/>
  <c r="BE24" i="23"/>
  <c r="AH24" i="23"/>
  <c r="BW138" i="23"/>
  <c r="BX138" i="23"/>
  <c r="AF138" i="23"/>
  <c r="AH138" i="23"/>
  <c r="AG138" i="23"/>
  <c r="BC6" i="23"/>
  <c r="BA6" i="23"/>
  <c r="BX66" i="23"/>
  <c r="BW66" i="23"/>
  <c r="AG66" i="23"/>
  <c r="AH66" i="23"/>
  <c r="AF66" i="23"/>
  <c r="AU12" i="23"/>
  <c r="D12" i="23"/>
  <c r="AF29" i="23"/>
  <c r="BX29" i="23"/>
  <c r="BW29" i="23"/>
  <c r="AH29" i="23"/>
  <c r="BE29" i="23"/>
  <c r="AG29" i="23"/>
  <c r="AU136" i="23"/>
  <c r="BC7" i="23"/>
  <c r="BA7" i="23"/>
  <c r="D54" i="23"/>
  <c r="AU67" i="23"/>
  <c r="D81" i="23"/>
  <c r="B3" i="39"/>
  <c r="BW69" i="23"/>
  <c r="AH69" i="23"/>
  <c r="AG69" i="23"/>
  <c r="AF69" i="23"/>
  <c r="BX69" i="23"/>
  <c r="AU6" i="23"/>
  <c r="BA40" i="23"/>
  <c r="BC40" i="23"/>
  <c r="BX142" i="23"/>
  <c r="AH142" i="23"/>
  <c r="AF142" i="23"/>
  <c r="AG142" i="23"/>
  <c r="BW142" i="23"/>
  <c r="BW31" i="23"/>
  <c r="BX31" i="23"/>
  <c r="AG31" i="23"/>
  <c r="BE31" i="23"/>
  <c r="AF31" i="23"/>
  <c r="BH82" i="23"/>
  <c r="D13" i="23"/>
  <c r="BX3" i="23"/>
  <c r="BW3" i="23"/>
  <c r="AF3" i="23"/>
  <c r="AH3" i="23"/>
  <c r="AG3" i="23"/>
  <c r="BE3" i="23"/>
  <c r="BC27" i="23"/>
  <c r="BA27" i="23"/>
  <c r="AF146" i="23"/>
  <c r="AH146" i="23"/>
  <c r="AG146" i="23"/>
  <c r="BW146" i="23"/>
  <c r="BX146" i="23"/>
  <c r="BX16" i="23"/>
  <c r="AH16" i="23"/>
  <c r="BE16" i="23"/>
  <c r="BW16" i="23"/>
  <c r="AG16" i="23"/>
  <c r="AF16" i="23"/>
  <c r="AG95" i="23"/>
  <c r="AH95" i="23"/>
  <c r="AF95" i="23"/>
  <c r="BX95" i="23"/>
  <c r="BW95" i="23"/>
  <c r="D142" i="23"/>
  <c r="C22" i="16"/>
  <c r="C24" i="16" s="1"/>
  <c r="B39" i="16" s="1"/>
  <c r="B17" i="24" s="1"/>
  <c r="AU139" i="23"/>
  <c r="D78" i="23"/>
  <c r="BE13" i="23"/>
  <c r="AH13" i="23"/>
  <c r="BX13" i="23"/>
  <c r="BW13" i="23"/>
  <c r="AG13" i="23"/>
  <c r="AF13" i="23"/>
  <c r="BH78" i="23"/>
  <c r="D136" i="23"/>
  <c r="BC47" i="23"/>
  <c r="BA47" i="23"/>
  <c r="AU3" i="23"/>
  <c r="AH116" i="23"/>
  <c r="BX116" i="23"/>
  <c r="AG116" i="23"/>
  <c r="AF116" i="23"/>
  <c r="BW116" i="23"/>
  <c r="BE37" i="23"/>
  <c r="BX37" i="23"/>
  <c r="BW37" i="23"/>
  <c r="AH37" i="23"/>
  <c r="AG37" i="23"/>
  <c r="AF37" i="23"/>
  <c r="AF84" i="23"/>
  <c r="BX84" i="23"/>
  <c r="BW84" i="23"/>
  <c r="AG84" i="23"/>
  <c r="AH84" i="23"/>
  <c r="BC29" i="23"/>
  <c r="BA29" i="23"/>
  <c r="AG102" i="23"/>
  <c r="AF102" i="23"/>
  <c r="BX102" i="23"/>
  <c r="BW102" i="23"/>
  <c r="AH102" i="23"/>
  <c r="BC23" i="23"/>
  <c r="BA23" i="23"/>
  <c r="AG87" i="23"/>
  <c r="AF87" i="23"/>
  <c r="BX87" i="23"/>
  <c r="BW87" i="23"/>
  <c r="AH87" i="23"/>
  <c r="BX10" i="23"/>
  <c r="BW10" i="23"/>
  <c r="BE10" i="23"/>
  <c r="AH10" i="23"/>
  <c r="AG10" i="23"/>
  <c r="AF10" i="23"/>
  <c r="BE41" i="23"/>
  <c r="BX41" i="23"/>
  <c r="AH41" i="23"/>
  <c r="AG41" i="23"/>
  <c r="AF41" i="23"/>
  <c r="BW41" i="23"/>
  <c r="AU43" i="23"/>
  <c r="BA25" i="23"/>
  <c r="BC25" i="23"/>
  <c r="BO49" i="23"/>
  <c r="BO76" i="23"/>
  <c r="BC34" i="23"/>
  <c r="BA34" i="23"/>
  <c r="D119" i="23"/>
  <c r="BC32" i="23"/>
  <c r="BA32" i="23"/>
  <c r="AH39" i="23"/>
  <c r="BX39" i="23"/>
  <c r="AG39" i="23"/>
  <c r="BE39" i="23"/>
  <c r="BW39" i="23"/>
  <c r="AF39" i="23"/>
  <c r="D107" i="23"/>
  <c r="AU96" i="23"/>
  <c r="AU72" i="23"/>
  <c r="D89" i="23"/>
  <c r="BC36" i="23"/>
  <c r="BA36" i="23"/>
  <c r="CC152" i="23"/>
  <c r="B135" i="10" s="1"/>
  <c r="AG81" i="23"/>
  <c r="AF81" i="23"/>
  <c r="BX81" i="23"/>
  <c r="AH81" i="23"/>
  <c r="BW81" i="23"/>
  <c r="BH107" i="23"/>
  <c r="BX148" i="23"/>
  <c r="AH148" i="23"/>
  <c r="BW148" i="23"/>
  <c r="AG148" i="23"/>
  <c r="AF148" i="23"/>
  <c r="BO80" i="23"/>
  <c r="AU99" i="23"/>
  <c r="AH109" i="23"/>
  <c r="BX109" i="23"/>
  <c r="AF109" i="23"/>
  <c r="BW109" i="23"/>
  <c r="AG109" i="23"/>
  <c r="BO43" i="23"/>
  <c r="AG46" i="23"/>
  <c r="BW46" i="23"/>
  <c r="BE46" i="23"/>
  <c r="AH46" i="23"/>
  <c r="AF46" i="23"/>
  <c r="BX46" i="23"/>
  <c r="AU53" i="23"/>
  <c r="BH119" i="23"/>
  <c r="AU62" i="23"/>
  <c r="AU20" i="23"/>
  <c r="AH93" i="23"/>
  <c r="AG93" i="23"/>
  <c r="BW93" i="23"/>
  <c r="BX93" i="23"/>
  <c r="AF93" i="23"/>
  <c r="D67" i="23"/>
  <c r="D48" i="23"/>
  <c r="BH86" i="23"/>
  <c r="D10" i="23"/>
  <c r="AU121" i="23"/>
  <c r="AF44" i="23"/>
  <c r="AH44" i="23"/>
  <c r="AG44" i="23"/>
  <c r="BX44" i="23"/>
  <c r="BW44" i="23"/>
  <c r="BE44" i="23"/>
  <c r="BC41" i="23"/>
  <c r="BA41" i="23"/>
  <c r="AH19" i="23"/>
  <c r="AG19" i="23"/>
  <c r="AF19" i="23"/>
  <c r="BX19" i="23"/>
  <c r="BE19" i="23"/>
  <c r="BW19" i="23"/>
  <c r="BO110" i="23"/>
  <c r="AU57" i="23"/>
  <c r="BX117" i="23"/>
  <c r="BW117" i="23"/>
  <c r="AH117" i="23"/>
  <c r="AG117" i="23"/>
  <c r="AF117" i="23"/>
  <c r="AU90" i="23"/>
  <c r="BX74" i="23"/>
  <c r="BW74" i="23"/>
  <c r="AG74" i="23"/>
  <c r="AF74" i="23"/>
  <c r="AH74" i="23"/>
  <c r="BC22" i="23"/>
  <c r="BA22" i="23"/>
  <c r="BC12" i="23"/>
  <c r="BA12" i="23"/>
  <c r="BA18" i="23"/>
  <c r="BC18" i="23"/>
  <c r="AU146" i="23"/>
  <c r="BO100" i="23"/>
  <c r="D58" i="23"/>
  <c r="BC28" i="23"/>
  <c r="BA28" i="23"/>
  <c r="BO106" i="23"/>
  <c r="BA39" i="23"/>
  <c r="BC39" i="23"/>
  <c r="AH72" i="23"/>
  <c r="AG72" i="23"/>
  <c r="BX72" i="23"/>
  <c r="BW72" i="23"/>
  <c r="AF72" i="23"/>
  <c r="BW121" i="23"/>
  <c r="AF121" i="23"/>
  <c r="AG121" i="23"/>
  <c r="BX121" i="23"/>
  <c r="AH121" i="23"/>
  <c r="BC20" i="23"/>
  <c r="BA20" i="23"/>
  <c r="AG112" i="23"/>
  <c r="AF112" i="23"/>
  <c r="BX112" i="23"/>
  <c r="BW112" i="23"/>
  <c r="AH112" i="23"/>
  <c r="BX71" i="23"/>
  <c r="BW71" i="23"/>
  <c r="AH71" i="23"/>
  <c r="AG71" i="23"/>
  <c r="AF71" i="23"/>
  <c r="BW96" i="23"/>
  <c r="BX96" i="23"/>
  <c r="AF96" i="23"/>
  <c r="AH96" i="23"/>
  <c r="AG96" i="23"/>
  <c r="AF40" i="23"/>
  <c r="BE40" i="23"/>
  <c r="BX40" i="23"/>
  <c r="AG40" i="23"/>
  <c r="AH40" i="23"/>
  <c r="BW40" i="23"/>
  <c r="AU102" i="23"/>
  <c r="D92" i="23"/>
  <c r="BC16" i="23"/>
  <c r="BA16" i="23"/>
  <c r="AH80" i="23"/>
  <c r="BX80" i="23"/>
  <c r="BW80" i="23"/>
  <c r="AG80" i="23"/>
  <c r="AF80" i="23"/>
  <c r="BH90" i="23"/>
  <c r="AU41" i="23"/>
  <c r="AU66" i="23"/>
  <c r="AU47" i="23"/>
  <c r="D80" i="23"/>
  <c r="BO150" i="23"/>
  <c r="AU110" i="23"/>
  <c r="AU125" i="23"/>
  <c r="AU50" i="23"/>
  <c r="AQ152" i="23"/>
  <c r="B11" i="24" s="1"/>
  <c r="BW91" i="23"/>
  <c r="AH91" i="23"/>
  <c r="AG91" i="23"/>
  <c r="AF91" i="23"/>
  <c r="BX91" i="23"/>
  <c r="BX150" i="23"/>
  <c r="BW150" i="23"/>
  <c r="AF150" i="23"/>
  <c r="AG150" i="23"/>
  <c r="AH150" i="23"/>
  <c r="BH117" i="23"/>
  <c r="BA48" i="23"/>
  <c r="BC48" i="23"/>
  <c r="D35" i="23"/>
  <c r="BW22" i="23"/>
  <c r="BE22" i="23"/>
  <c r="BX22" i="23"/>
  <c r="AH22" i="23"/>
  <c r="AG22" i="23"/>
  <c r="AF22" i="23"/>
  <c r="AU33" i="23"/>
  <c r="AU73" i="23"/>
  <c r="D23" i="23"/>
  <c r="BO109" i="23"/>
  <c r="BH112" i="23"/>
  <c r="BX114" i="23"/>
  <c r="BW114" i="23"/>
  <c r="AH114" i="23"/>
  <c r="AG114" i="23"/>
  <c r="AF114" i="23"/>
  <c r="D100" i="23"/>
  <c r="BW59" i="23"/>
  <c r="AF59" i="23"/>
  <c r="AG59" i="23"/>
  <c r="AH59" i="23"/>
  <c r="BX59" i="23"/>
  <c r="BH8" i="23"/>
  <c r="BO97" i="23"/>
  <c r="BX77" i="23"/>
  <c r="AH77" i="23"/>
  <c r="AG77" i="23"/>
  <c r="BW77" i="23"/>
  <c r="AF77" i="23"/>
  <c r="AH30" i="23"/>
  <c r="AG30" i="23"/>
  <c r="AF30" i="23"/>
  <c r="BW30" i="23"/>
  <c r="BX30" i="23"/>
  <c r="BE30" i="23"/>
  <c r="D44" i="23"/>
  <c r="AU27" i="23"/>
  <c r="AU148" i="23"/>
  <c r="AU15" i="23"/>
  <c r="AU28" i="23"/>
  <c r="BE4" i="23"/>
  <c r="BX4" i="23"/>
  <c r="BW4" i="23"/>
  <c r="AG4" i="23"/>
  <c r="AH4" i="23"/>
  <c r="AF4" i="23"/>
  <c r="AF122" i="23"/>
  <c r="AG122" i="23"/>
  <c r="BX122" i="23"/>
  <c r="BW122" i="23"/>
  <c r="AH122" i="23"/>
  <c r="BH87" i="23"/>
  <c r="D18" i="23"/>
  <c r="CB3" i="23"/>
  <c r="BH105" i="23"/>
  <c r="AG103" i="23"/>
  <c r="BX103" i="23"/>
  <c r="BW103" i="23"/>
  <c r="AH103" i="23"/>
  <c r="AF103" i="23"/>
  <c r="BO46" i="23"/>
  <c r="BO144" i="23"/>
  <c r="D16" i="23"/>
  <c r="BA3" i="23"/>
  <c r="BC3" i="23"/>
  <c r="D17" i="23"/>
  <c r="BX15" i="23"/>
  <c r="BW15" i="23"/>
  <c r="AG15" i="23"/>
  <c r="BE15" i="23"/>
  <c r="AF15" i="23"/>
  <c r="AH15" i="23"/>
  <c r="D60" i="23"/>
  <c r="D127" i="23"/>
  <c r="BC44" i="23"/>
  <c r="BA44" i="23"/>
  <c r="AF97" i="23"/>
  <c r="BX97" i="23"/>
  <c r="AH97" i="23"/>
  <c r="AG97" i="23"/>
  <c r="BW97" i="23"/>
  <c r="BC46" i="23"/>
  <c r="BA46" i="23"/>
  <c r="AF131" i="23"/>
  <c r="BX131" i="23"/>
  <c r="AG131" i="23"/>
  <c r="BW131" i="23"/>
  <c r="AH131" i="23"/>
  <c r="AG149" i="23"/>
  <c r="BX149" i="23"/>
  <c r="BW149" i="23"/>
  <c r="AH149" i="23"/>
  <c r="AF149" i="23"/>
  <c r="B129" i="10"/>
  <c r="F129" i="10" s="1"/>
  <c r="B125" i="10"/>
  <c r="AU2" i="23"/>
  <c r="D8" i="23"/>
  <c r="AU147" i="23"/>
  <c r="AH100" i="23"/>
  <c r="BW100" i="23"/>
  <c r="AF100" i="23"/>
  <c r="BX100" i="23"/>
  <c r="AG100" i="23"/>
  <c r="BC50" i="23"/>
  <c r="BA50" i="23"/>
  <c r="AF107" i="23"/>
  <c r="AH107" i="23"/>
  <c r="BX107" i="23"/>
  <c r="AG107" i="23"/>
  <c r="BW107" i="23"/>
  <c r="AU56" i="23"/>
  <c r="AH94" i="23"/>
  <c r="BX94" i="23"/>
  <c r="AG94" i="23"/>
  <c r="BW94" i="23"/>
  <c r="AF94" i="23"/>
  <c r="AU124" i="23"/>
  <c r="AH26" i="23"/>
  <c r="AG26" i="23"/>
  <c r="BE26" i="23"/>
  <c r="AF26" i="23"/>
  <c r="BX26" i="23"/>
  <c r="BW26" i="23"/>
  <c r="D94" i="23"/>
  <c r="D93" i="23"/>
  <c r="AG67" i="23"/>
  <c r="AF67" i="23"/>
  <c r="BX67" i="23"/>
  <c r="BW67" i="23"/>
  <c r="AH67" i="23"/>
  <c r="AU113" i="23"/>
  <c r="BH137" i="23"/>
  <c r="BO45" i="23"/>
  <c r="BA35" i="23"/>
  <c r="BC35" i="23"/>
  <c r="BC11" i="23"/>
  <c r="BA11" i="23"/>
  <c r="AU14" i="23"/>
  <c r="BH11" i="23"/>
  <c r="BH9" i="23"/>
  <c r="D122" i="23"/>
  <c r="BH79" i="23"/>
  <c r="AG141" i="23"/>
  <c r="AF141" i="23"/>
  <c r="BX141" i="23"/>
  <c r="BW141" i="23"/>
  <c r="AH141" i="23"/>
  <c r="AU145" i="23"/>
  <c r="BO88" i="23"/>
  <c r="AU19" i="23"/>
  <c r="AU103" i="23"/>
  <c r="CD152" i="23"/>
  <c r="B94" i="10" s="1"/>
  <c r="F94" i="10" s="1"/>
  <c r="AU129" i="23"/>
  <c r="N3" i="5"/>
  <c r="N31" i="5" s="1"/>
  <c r="A4" i="19"/>
  <c r="B4" i="19"/>
  <c r="C4" i="19" s="1"/>
  <c r="BH13" i="23"/>
  <c r="Y4" i="23"/>
  <c r="B26" i="16" s="1"/>
  <c r="B27" i="16" s="1"/>
  <c r="AF38" i="23"/>
  <c r="BX38" i="23"/>
  <c r="AH38" i="23"/>
  <c r="AG38" i="23"/>
  <c r="BW38" i="23"/>
  <c r="BE38" i="23"/>
  <c r="D40" i="23"/>
  <c r="BA14" i="23"/>
  <c r="BC14" i="23"/>
  <c r="AH21" i="23"/>
  <c r="AG21" i="23"/>
  <c r="AF21" i="23"/>
  <c r="BE21" i="23"/>
  <c r="BW21" i="23"/>
  <c r="BX21" i="23"/>
  <c r="AU133" i="23"/>
  <c r="AG134" i="23"/>
  <c r="AF134" i="23"/>
  <c r="BX134" i="23"/>
  <c r="AH134" i="23"/>
  <c r="BW134" i="23"/>
  <c r="AU111" i="23"/>
  <c r="BC19" i="23"/>
  <c r="BA19" i="23"/>
  <c r="D131" i="23"/>
  <c r="D25" i="23"/>
  <c r="BC30" i="23"/>
  <c r="BA30" i="23"/>
  <c r="BE8" i="23"/>
  <c r="BX8" i="23"/>
  <c r="BW8" i="23"/>
  <c r="AH8" i="23"/>
  <c r="AG8" i="23"/>
  <c r="AF8" i="23"/>
  <c r="AU141" i="23"/>
  <c r="M3" i="5"/>
  <c r="M31" i="5" s="1"/>
  <c r="B3" i="19"/>
  <c r="C3" i="19" s="1"/>
  <c r="A3" i="19"/>
  <c r="BW139" i="23"/>
  <c r="AH139" i="23"/>
  <c r="AG139" i="23"/>
  <c r="AF139" i="23"/>
  <c r="BX139" i="23"/>
  <c r="D140" i="23"/>
  <c r="BX35" i="23"/>
  <c r="AH35" i="23"/>
  <c r="BW35" i="23"/>
  <c r="AG35" i="23"/>
  <c r="AF35" i="23"/>
  <c r="BE35" i="23"/>
  <c r="BO134" i="23"/>
  <c r="BW14" i="23"/>
  <c r="AF14" i="23"/>
  <c r="AH14" i="23"/>
  <c r="BX14" i="23"/>
  <c r="AG14" i="23"/>
  <c r="BE14" i="23"/>
  <c r="BH98" i="23"/>
  <c r="AH126" i="23"/>
  <c r="AG126" i="23"/>
  <c r="BX126" i="23"/>
  <c r="BW126" i="23"/>
  <c r="AF126" i="23"/>
  <c r="AU130" i="23"/>
  <c r="AU135" i="23"/>
  <c r="BX43" i="23"/>
  <c r="BE43" i="23"/>
  <c r="AF43" i="23"/>
  <c r="BW43" i="23"/>
  <c r="AH43" i="23"/>
  <c r="AG43" i="23"/>
  <c r="AU123" i="23"/>
  <c r="AU132" i="23"/>
  <c r="D53" i="23"/>
  <c r="AU74" i="23"/>
  <c r="AG136" i="23"/>
  <c r="AF136" i="23"/>
  <c r="BX136" i="23"/>
  <c r="BW136" i="23"/>
  <c r="AH136" i="23"/>
  <c r="BH95" i="23"/>
  <c r="B6" i="19"/>
  <c r="C6" i="19" s="1"/>
  <c r="A6" i="19"/>
  <c r="P3" i="5"/>
  <c r="P31" i="5" s="1"/>
  <c r="B138" i="10"/>
  <c r="B143" i="10"/>
  <c r="F143" i="10" s="1"/>
  <c r="BW99" i="23"/>
  <c r="AG99" i="23"/>
  <c r="AF99" i="23"/>
  <c r="BX99" i="23"/>
  <c r="AH99" i="23"/>
  <c r="BX108" i="23"/>
  <c r="AH108" i="23"/>
  <c r="AG108" i="23"/>
  <c r="AF108" i="23"/>
  <c r="BW108" i="23"/>
  <c r="BW115" i="23"/>
  <c r="AH115" i="23"/>
  <c r="AG115" i="23"/>
  <c r="AF115" i="23"/>
  <c r="BX115" i="23"/>
  <c r="AF120" i="23"/>
  <c r="AH120" i="23"/>
  <c r="BW120" i="23"/>
  <c r="BX120" i="23"/>
  <c r="AG120" i="23"/>
  <c r="BC49" i="23"/>
  <c r="BA49" i="23"/>
  <c r="C19" i="9"/>
  <c r="E19" i="9" s="1"/>
  <c r="B19" i="9"/>
  <c r="BW51" i="23"/>
  <c r="BX51" i="23"/>
  <c r="AH51" i="23"/>
  <c r="AG51" i="23"/>
  <c r="AF51" i="23"/>
  <c r="BX12" i="23"/>
  <c r="AF12" i="23"/>
  <c r="BW12" i="23"/>
  <c r="AH12" i="23"/>
  <c r="AG12" i="23"/>
  <c r="BE12" i="23"/>
  <c r="AU118" i="23"/>
  <c r="B57" i="24"/>
  <c r="B61" i="24" s="1"/>
  <c r="B145" i="10" s="1"/>
  <c r="F145" i="10" s="1"/>
  <c r="B49" i="24"/>
  <c r="B58" i="24"/>
  <c r="B71" i="24"/>
  <c r="AG101" i="23"/>
  <c r="AF101" i="23"/>
  <c r="AH101" i="23"/>
  <c r="BX101" i="23"/>
  <c r="BW101" i="23"/>
  <c r="BX133" i="23"/>
  <c r="BW133" i="23"/>
  <c r="AG133" i="23"/>
  <c r="AH133" i="23"/>
  <c r="AF133" i="23"/>
  <c r="BX147" i="23"/>
  <c r="BW147" i="23"/>
  <c r="AF147" i="23"/>
  <c r="AH147" i="23"/>
  <c r="AG147" i="23"/>
  <c r="BE32" i="23"/>
  <c r="AG32" i="23"/>
  <c r="AF32" i="23"/>
  <c r="BX32" i="23"/>
  <c r="BW32" i="23"/>
  <c r="AG56" i="23"/>
  <c r="BX56" i="23"/>
  <c r="BW56" i="23"/>
  <c r="AH56" i="23"/>
  <c r="AF56" i="23"/>
  <c r="BW27" i="23"/>
  <c r="BE27" i="23"/>
  <c r="AH27" i="23"/>
  <c r="AG27" i="23"/>
  <c r="AF27" i="23"/>
  <c r="BX27" i="23"/>
  <c r="BX119" i="23"/>
  <c r="AG119" i="23"/>
  <c r="BW119" i="23"/>
  <c r="AH119" i="23"/>
  <c r="AF119" i="23"/>
  <c r="BC24" i="23"/>
  <c r="BA24" i="23"/>
  <c r="BW54" i="23"/>
  <c r="AH54" i="23"/>
  <c r="AG54" i="23"/>
  <c r="BX54" i="23"/>
  <c r="AF54" i="23"/>
  <c r="BX42" i="23"/>
  <c r="BE42" i="23"/>
  <c r="AG42" i="23"/>
  <c r="BW42" i="23"/>
  <c r="AH42" i="23"/>
  <c r="AF42" i="23"/>
  <c r="AU75" i="23"/>
  <c r="BH4" i="23"/>
  <c r="AH143" i="23"/>
  <c r="AG143" i="23"/>
  <c r="BW143" i="23"/>
  <c r="BX143" i="23"/>
  <c r="AF143" i="23"/>
  <c r="BX18" i="23"/>
  <c r="BE18" i="23"/>
  <c r="BW18" i="23"/>
  <c r="AH18" i="23"/>
  <c r="AG18" i="23"/>
  <c r="AF18" i="23"/>
  <c r="D34" i="23"/>
  <c r="B18" i="10"/>
  <c r="F18" i="10" s="1"/>
  <c r="F19" i="10"/>
  <c r="AH75" i="23"/>
  <c r="AG75" i="23"/>
  <c r="AF75" i="23"/>
  <c r="BW75" i="23"/>
  <c r="BX75" i="23"/>
  <c r="AG123" i="23"/>
  <c r="AF123" i="23"/>
  <c r="BX123" i="23"/>
  <c r="AH123" i="23"/>
  <c r="BW123" i="23"/>
  <c r="BW60" i="23"/>
  <c r="AF60" i="23"/>
  <c r="AH60" i="23"/>
  <c r="AG60" i="23"/>
  <c r="BX60" i="23"/>
  <c r="AU128" i="23"/>
  <c r="AU134" i="23"/>
  <c r="BO17" i="23"/>
  <c r="AE152" i="23"/>
  <c r="B15" i="12"/>
  <c r="BX2" i="23"/>
  <c r="BW2" i="23"/>
  <c r="B8" i="16"/>
  <c r="A2" i="27" s="1"/>
  <c r="B7" i="16"/>
  <c r="AG2" i="23"/>
  <c r="BE2" i="23"/>
  <c r="AF2" i="23"/>
  <c r="AU98" i="23"/>
  <c r="C7" i="36"/>
  <c r="D7" i="36" s="1"/>
  <c r="B57" i="10"/>
  <c r="F57" i="10" s="1"/>
  <c r="BA37" i="23"/>
  <c r="BC37" i="23"/>
  <c r="BF4" i="23"/>
  <c r="BC15" i="23"/>
  <c r="BA15" i="23"/>
  <c r="BH149" i="23"/>
  <c r="X152" i="23"/>
  <c r="B10" i="24" s="1"/>
  <c r="AG82" i="23"/>
  <c r="BW82" i="23"/>
  <c r="BX82" i="23"/>
  <c r="AH82" i="23"/>
  <c r="AF82" i="23"/>
  <c r="AG89" i="23"/>
  <c r="AF89" i="23"/>
  <c r="AH89" i="23"/>
  <c r="BX89" i="23"/>
  <c r="BW89" i="23"/>
  <c r="BC31" i="23"/>
  <c r="BA31" i="23"/>
  <c r="D95" i="23"/>
  <c r="BH23" i="23"/>
  <c r="T2" i="23"/>
  <c r="T152" i="23" s="1"/>
  <c r="B147" i="10" s="1"/>
  <c r="B89" i="16"/>
  <c r="BG2" i="23"/>
  <c r="B21" i="16"/>
  <c r="B107" i="16"/>
  <c r="BC5" i="23"/>
  <c r="BA5" i="23"/>
  <c r="D45" i="23"/>
  <c r="AU85" i="23"/>
  <c r="BH142" i="23"/>
  <c r="AG73" i="23"/>
  <c r="AF73" i="23"/>
  <c r="BX73" i="23"/>
  <c r="BW73" i="23"/>
  <c r="AH73" i="23"/>
  <c r="D112" i="23"/>
  <c r="AU37" i="23"/>
  <c r="AH5" i="23"/>
  <c r="AG5" i="23"/>
  <c r="BX5" i="23"/>
  <c r="BW5" i="23"/>
  <c r="AF5" i="23"/>
  <c r="BE5" i="23"/>
  <c r="BE25" i="23"/>
  <c r="AG25" i="23"/>
  <c r="AF25" i="23"/>
  <c r="AH25" i="23"/>
  <c r="BX25" i="23"/>
  <c r="BW25" i="23"/>
  <c r="D86" i="23"/>
  <c r="AU31" i="23"/>
  <c r="D19" i="23"/>
  <c r="AG45" i="23"/>
  <c r="BE45" i="23"/>
  <c r="BX45" i="23"/>
  <c r="BW45" i="23"/>
  <c r="AH45" i="23"/>
  <c r="AF45" i="23"/>
  <c r="B6" i="39"/>
  <c r="AG110" i="23"/>
  <c r="AF110" i="23"/>
  <c r="BW110" i="23"/>
  <c r="BX110" i="23"/>
  <c r="AH110" i="23"/>
  <c r="D97" i="23"/>
  <c r="D124" i="23"/>
  <c r="AU144" i="23"/>
  <c r="BO20" i="23"/>
  <c r="BC26" i="23"/>
  <c r="BA26" i="23"/>
  <c r="D42" i="23"/>
  <c r="AU30" i="23"/>
  <c r="BO118" i="23"/>
  <c r="O3" i="5"/>
  <c r="O31" i="5" s="1"/>
  <c r="B5" i="19"/>
  <c r="C5" i="19" s="1"/>
  <c r="A5" i="19"/>
  <c r="BW125" i="23"/>
  <c r="AF125" i="23"/>
  <c r="BX125" i="23"/>
  <c r="AG125" i="23"/>
  <c r="AH125" i="23"/>
  <c r="D101" i="23"/>
  <c r="BA10" i="23"/>
  <c r="BC10" i="23"/>
  <c r="BX53" i="23"/>
  <c r="AH53" i="23"/>
  <c r="AG53" i="23"/>
  <c r="AF53" i="23"/>
  <c r="BW53" i="23"/>
  <c r="BW79" i="23"/>
  <c r="AH79" i="23"/>
  <c r="BX79" i="23"/>
  <c r="AG79" i="23"/>
  <c r="AF79" i="23"/>
  <c r="BX6" i="23"/>
  <c r="BW6" i="23"/>
  <c r="AH6" i="23"/>
  <c r="AG6" i="23"/>
  <c r="AF6" i="23"/>
  <c r="BE6" i="23"/>
  <c r="D49" i="23"/>
  <c r="D43" i="23"/>
  <c r="BA17" i="23"/>
  <c r="BC17" i="23"/>
  <c r="AF47" i="23"/>
  <c r="BE47" i="23"/>
  <c r="AH47" i="23"/>
  <c r="AG47" i="23"/>
  <c r="BX47" i="23"/>
  <c r="BW47" i="23"/>
  <c r="BK4" i="23"/>
  <c r="BX105" i="23"/>
  <c r="AH105" i="23"/>
  <c r="AG105" i="23"/>
  <c r="BW105" i="23"/>
  <c r="AF105" i="23"/>
  <c r="AF49" i="23"/>
  <c r="BX49" i="23"/>
  <c r="AH49" i="23"/>
  <c r="BW49" i="23"/>
  <c r="BE49" i="23"/>
  <c r="AG49" i="23"/>
  <c r="BE28" i="23"/>
  <c r="AF28" i="23"/>
  <c r="BW28" i="23"/>
  <c r="BX28" i="23"/>
  <c r="AH28" i="23"/>
  <c r="AG28" i="23"/>
  <c r="AG135" i="23"/>
  <c r="AF135" i="23"/>
  <c r="AH135" i="23"/>
  <c r="BW135" i="23"/>
  <c r="BX135" i="23"/>
  <c r="B40" i="10"/>
  <c r="F40" i="10" s="1"/>
  <c r="F39" i="10"/>
  <c r="AG140" i="23"/>
  <c r="BW140" i="23"/>
  <c r="BX140" i="23"/>
  <c r="AH140" i="23"/>
  <c r="AF140" i="23"/>
  <c r="W152" i="23"/>
  <c r="AU22" i="23"/>
  <c r="B155" i="16"/>
  <c r="B152" i="23"/>
  <c r="B14" i="16"/>
  <c r="BF2" i="23"/>
  <c r="AU46" i="23"/>
  <c r="BC42" i="23"/>
  <c r="BA42" i="23"/>
  <c r="BJ2" i="23"/>
  <c r="BI2" i="23"/>
  <c r="D65" i="23"/>
  <c r="B3" i="42"/>
  <c r="C17" i="36"/>
  <c r="B3" i="24"/>
  <c r="B130" i="16"/>
  <c r="C129" i="16"/>
  <c r="C23" i="11"/>
  <c r="B54" i="10" s="1"/>
  <c r="F54" i="10" s="1"/>
  <c r="BE50" i="23"/>
  <c r="AG50" i="23"/>
  <c r="AH50" i="23"/>
  <c r="AF50" i="23"/>
  <c r="BX50" i="23"/>
  <c r="BW50" i="23"/>
  <c r="U2" i="23"/>
  <c r="U152" i="23" s="1"/>
  <c r="B148" i="10" s="1"/>
  <c r="BW57" i="23"/>
  <c r="AF57" i="23"/>
  <c r="AH57" i="23"/>
  <c r="AG57" i="23"/>
  <c r="BX57" i="23"/>
  <c r="D27" i="23"/>
  <c r="AU76" i="23"/>
  <c r="BO2" i="23"/>
  <c r="BM2" i="23" s="1"/>
  <c r="D50" i="23"/>
  <c r="AH130" i="23"/>
  <c r="AG130" i="23"/>
  <c r="AF130" i="23"/>
  <c r="BX130" i="23"/>
  <c r="BW130" i="23"/>
  <c r="D52" i="23"/>
  <c r="BX62" i="23"/>
  <c r="BW62" i="23"/>
  <c r="AH62" i="23"/>
  <c r="AG62" i="23"/>
  <c r="AF62" i="23"/>
  <c r="AU11" i="23"/>
  <c r="AG36" i="23"/>
  <c r="AF36" i="23"/>
  <c r="BX36" i="23"/>
  <c r="BW36" i="23"/>
  <c r="BE36" i="23"/>
  <c r="AH36" i="23"/>
  <c r="AU29" i="23"/>
  <c r="D32" i="23"/>
  <c r="AH70" i="23"/>
  <c r="BW70" i="23"/>
  <c r="AG70" i="23"/>
  <c r="AF70" i="23"/>
  <c r="BX70" i="23"/>
  <c r="AF7" i="23"/>
  <c r="BX7" i="23"/>
  <c r="BW7" i="23"/>
  <c r="AH7" i="23"/>
  <c r="AG7" i="23"/>
  <c r="BE7" i="23"/>
  <c r="BX144" i="23"/>
  <c r="BW144" i="23"/>
  <c r="AF144" i="23"/>
  <c r="AH144" i="23"/>
  <c r="AG144" i="23"/>
  <c r="B24" i="35"/>
  <c r="L3" i="5"/>
  <c r="L31" i="5" s="1"/>
  <c r="A2" i="19"/>
  <c r="B2" i="19"/>
  <c r="B95" i="10"/>
  <c r="F95" i="10" s="1"/>
  <c r="B2" i="39" l="1"/>
  <c r="C9" i="39" s="1"/>
  <c r="D13" i="36" s="1"/>
  <c r="J2" i="34"/>
  <c r="J6" i="34"/>
  <c r="C28" i="11" s="1"/>
  <c r="B63" i="10" s="1"/>
  <c r="F63" i="10" s="1"/>
  <c r="B24" i="20"/>
  <c r="B131" i="16" s="1"/>
  <c r="B20" i="20"/>
  <c r="B9" i="39"/>
  <c r="B25" i="10"/>
  <c r="B101" i="16"/>
  <c r="BN4" i="23"/>
  <c r="B30" i="24"/>
  <c r="B19" i="16"/>
  <c r="C29" i="16" s="1"/>
  <c r="B81" i="16"/>
  <c r="B82" i="16" s="1"/>
  <c r="B16" i="16"/>
  <c r="B17" i="16" s="1"/>
  <c r="C18" i="11" s="1"/>
  <c r="AH2" i="23"/>
  <c r="B55" i="16" s="1"/>
  <c r="S152" i="23"/>
  <c r="B17" i="12" s="1"/>
  <c r="B109" i="16"/>
  <c r="C110" i="16" s="1"/>
  <c r="BA2" i="23"/>
  <c r="B16" i="12" s="1"/>
  <c r="B14" i="12" s="1"/>
  <c r="BM4" i="23"/>
  <c r="B100" i="16" s="1"/>
  <c r="F2" i="19" s="1"/>
  <c r="L5" i="19"/>
  <c r="A55" i="19"/>
  <c r="B48" i="24"/>
  <c r="B50" i="24" s="1"/>
  <c r="B140" i="10" s="1"/>
  <c r="B41" i="24"/>
  <c r="B40" i="24"/>
  <c r="B39" i="24"/>
  <c r="C9" i="9"/>
  <c r="E9" i="9" s="1"/>
  <c r="B120" i="16"/>
  <c r="B37" i="24"/>
  <c r="B137" i="10" s="1"/>
  <c r="F137" i="10" s="1"/>
  <c r="B86" i="16"/>
  <c r="A40" i="19"/>
  <c r="L4" i="19"/>
  <c r="B59" i="24"/>
  <c r="B23" i="24"/>
  <c r="L6" i="19"/>
  <c r="A70" i="19"/>
  <c r="C70" i="19" s="1"/>
  <c r="B33" i="16"/>
  <c r="B58" i="16" s="1"/>
  <c r="B9" i="24"/>
  <c r="B13" i="24" s="1"/>
  <c r="C58" i="16"/>
  <c r="F147" i="10"/>
  <c r="B118" i="16"/>
  <c r="B80" i="16"/>
  <c r="B5" i="26" s="1"/>
  <c r="AW2" i="23"/>
  <c r="AW152" i="23" s="1"/>
  <c r="B18" i="24"/>
  <c r="B31" i="24"/>
  <c r="L3" i="19"/>
  <c r="A25" i="19"/>
  <c r="B69" i="10"/>
  <c r="F69" i="10" s="1"/>
  <c r="F68" i="10"/>
  <c r="J3" i="34"/>
  <c r="C27" i="11" s="1"/>
  <c r="B62" i="10" s="1"/>
  <c r="F62" i="10" s="1"/>
  <c r="J5" i="34"/>
  <c r="C30" i="11" s="1"/>
  <c r="B9" i="16"/>
  <c r="C8" i="9"/>
  <c r="E8" i="9" s="1"/>
  <c r="J10" i="34"/>
  <c r="C2" i="19"/>
  <c r="D2" i="19" s="1"/>
  <c r="H8" i="19"/>
  <c r="L2" i="19"/>
  <c r="A10" i="19"/>
  <c r="B108" i="16"/>
  <c r="B3" i="35"/>
  <c r="B4" i="35" s="1"/>
  <c r="B109" i="10" s="1"/>
  <c r="B123" i="16"/>
  <c r="B2" i="20" s="1"/>
  <c r="B172" i="16"/>
  <c r="B29" i="39" s="1"/>
  <c r="D115" i="16"/>
  <c r="BN2" i="23"/>
  <c r="B61" i="16"/>
  <c r="B60" i="16"/>
  <c r="C7" i="16"/>
  <c r="B141" i="10"/>
  <c r="F141" i="10" s="1"/>
  <c r="F135" i="10"/>
  <c r="D11" i="39" l="1"/>
  <c r="D14" i="36" s="1"/>
  <c r="B48" i="10"/>
  <c r="F48" i="10" s="1"/>
  <c r="B5" i="40"/>
  <c r="C26" i="11"/>
  <c r="B61" i="10" s="1"/>
  <c r="F61" i="10" s="1"/>
  <c r="B14" i="20"/>
  <c r="B126" i="16" s="1"/>
  <c r="B124" i="16" s="1"/>
  <c r="B144" i="10"/>
  <c r="C13" i="36"/>
  <c r="B66" i="10" s="1"/>
  <c r="B32" i="24"/>
  <c r="B132" i="10" s="1"/>
  <c r="F132" i="10" s="1"/>
  <c r="B54" i="16"/>
  <c r="A6" i="26" s="1"/>
  <c r="C20" i="11" s="1"/>
  <c r="B56" i="16"/>
  <c r="B8" i="40" s="1"/>
  <c r="B29" i="16"/>
  <c r="B59" i="16" s="1"/>
  <c r="B11" i="39" s="1"/>
  <c r="F25" i="10"/>
  <c r="B26" i="10"/>
  <c r="F26" i="10" s="1"/>
  <c r="B27" i="10"/>
  <c r="F27" i="10" s="1"/>
  <c r="B103" i="16"/>
  <c r="B104" i="16" s="1"/>
  <c r="B53" i="16"/>
  <c r="B110" i="16"/>
  <c r="E183" i="9"/>
  <c r="B159" i="16" s="1"/>
  <c r="B10" i="11" s="1"/>
  <c r="B24" i="24"/>
  <c r="B127" i="10" s="1"/>
  <c r="F127" i="10" s="1"/>
  <c r="B60" i="24"/>
  <c r="B155" i="10" s="1"/>
  <c r="F155" i="10" s="1"/>
  <c r="A2" i="21"/>
  <c r="C17" i="11" s="1"/>
  <c r="B4" i="40" s="1"/>
  <c r="E2" i="19"/>
  <c r="G8" i="19" s="1"/>
  <c r="B46" i="24"/>
  <c r="B44" i="24" s="1"/>
  <c r="B139" i="10" s="1"/>
  <c r="B63" i="24"/>
  <c r="B126" i="10"/>
  <c r="F126" i="10" s="1"/>
  <c r="C34" i="11"/>
  <c r="B5" i="20" l="1"/>
  <c r="E11" i="39"/>
  <c r="A25" i="8"/>
  <c r="B25" i="8" s="1"/>
  <c r="A1" i="31"/>
  <c r="A8" i="26"/>
  <c r="B7" i="30" s="1"/>
  <c r="B52" i="10" s="1"/>
  <c r="B8" i="26"/>
  <c r="B11" i="30" s="1"/>
  <c r="B27" i="24" s="1"/>
  <c r="B133" i="10" s="1"/>
  <c r="F133" i="10" s="1"/>
  <c r="F144" i="10"/>
  <c r="B149" i="10"/>
  <c r="C16" i="36"/>
  <c r="B56" i="10"/>
  <c r="F56" i="10" s="1"/>
  <c r="B67" i="10"/>
  <c r="F67" i="10" s="1"/>
  <c r="F66" i="10"/>
  <c r="A5" i="26"/>
  <c r="C19" i="11" s="1"/>
  <c r="B6" i="40" s="1"/>
  <c r="B28" i="10"/>
  <c r="F28" i="10" s="1"/>
  <c r="B115" i="16"/>
  <c r="A2" i="26"/>
  <c r="C35" i="11"/>
  <c r="B153" i="10"/>
  <c r="F153" i="10" s="1"/>
  <c r="B45" i="10"/>
  <c r="F45" i="10" s="1"/>
  <c r="C5" i="20"/>
  <c r="B146" i="10"/>
  <c r="F146" i="10" s="1"/>
  <c r="B154" i="10"/>
  <c r="F154" i="10" s="1"/>
  <c r="B3" i="38"/>
  <c r="C10" i="36"/>
  <c r="B46" i="10" s="1"/>
  <c r="F46" i="10" s="1"/>
  <c r="B116" i="16" l="1"/>
  <c r="B8" i="20"/>
  <c r="F149" i="10"/>
  <c r="F158" i="10"/>
  <c r="C22" i="11"/>
  <c r="F52" i="10"/>
  <c r="B49" i="10"/>
  <c r="B50" i="10" s="1"/>
  <c r="F50" i="10" s="1"/>
  <c r="C115" i="16"/>
  <c r="B12" i="20" s="1"/>
  <c r="B33" i="39"/>
  <c r="C15" i="36" s="1"/>
  <c r="B70" i="10" s="1"/>
  <c r="F303" i="23"/>
  <c r="C1" i="39"/>
  <c r="C2" i="17" l="1"/>
  <c r="D2" i="17"/>
  <c r="B103" i="10"/>
  <c r="F103" i="10" s="1"/>
  <c r="B2" i="17"/>
  <c r="A2" i="17"/>
  <c r="F49" i="10"/>
  <c r="F70" i="10"/>
  <c r="B71" i="10"/>
  <c r="F71" i="10" s="1"/>
  <c r="D16" i="11" l="1"/>
  <c r="C16" i="11"/>
  <c r="B44" i="10" s="1"/>
  <c r="F44" i="10" s="1"/>
  <c r="G2" i="10" s="1"/>
  <c r="G1" i="10" s="1"/>
  <c r="B116" i="10" s="1"/>
</calcChain>
</file>

<file path=xl/sharedStrings.xml><?xml version="1.0" encoding="utf-8"?>
<sst xmlns="http://schemas.openxmlformats.org/spreadsheetml/2006/main" count="1052" uniqueCount="912">
  <si>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</si>
  <si>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</si>
  <si>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</si>
  <si>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</si>
  <si>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</si>
  <si>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</si>
  <si>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</si>
  <si>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</si>
  <si>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</si>
  <si>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</si>
  <si>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</si>
  <si>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</si>
  <si>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</si>
  <si>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</si>
  <si>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</si>
  <si>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</si>
  <si>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</si>
  <si>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</si>
  <si>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</si>
  <si>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</si>
  <si>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</si>
  <si>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</si>
  <si>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</si>
  <si>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</si>
  <si>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</si>
  <si>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</si>
  <si>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</si>
  <si>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</si>
  <si>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</si>
  <si>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</si>
  <si>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</si>
  <si>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</si>
  <si>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</si>
  <si>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</si>
  <si>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</si>
  <si>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</si>
  <si>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</si>
  <si>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</si>
  <si>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</si>
  <si>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</si>
  <si>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read_out_date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</si>
  <si>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</si>
  <si>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</si>
  <si>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timestamp</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</si>
  <si>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</si>
  <si>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</si>
  <si>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</si>
  <si>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</si>
  <si>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</si>
  <si>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</si>
  <si>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</si>
  <si>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</si>
  <si>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</si>
  <si>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</si>
  <si>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</si>
  <si>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</si>
  <si>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</si>
  <si>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factVCSSLast90</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</si>
  <si>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</si>
  <si>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</si>
  <si>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</si>
  <si>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</si>
  <si>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</si>
  <si>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</si>
  <si>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</si>
  <si>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</si>
  <si>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</si>
  <si>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</si>
  <si>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</si>
  <si>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</si>
  <si>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</si>
  <si>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</si>
  <si>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</si>
  <si>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</si>
  <si>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</si>
  <si>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</si>
  <si>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</si>
  <si>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</si>
  <si>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</si>
  <si>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</si>
  <si>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</si>
  <si>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</si>
  <si>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</si>
  <si>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</si>
  <si>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</si>
  <si>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</si>
  <si>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</si>
  <si>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</si>
  <si>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</si>
  <si>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</si>
  <si>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</si>
  <si>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</si>
  <si>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</si>
  <si>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</si>
  <si>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</si>
  <si>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</si>
  <si>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</si>
  <si>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</si>
  <si>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</si>
  <si>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</si>
  <si>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</si>
  <si>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</si>
  <si>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</si>
  <si>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</si>
  <si>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</si>
  <si>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</si>
  <si>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</si>
  <si>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</si>
  <si>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</si>
  <si>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</si>
  <si>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</si>
  <si>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</si>
  <si>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</si>
  <si>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</si>
  <si>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</si>
  <si>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</si>
  <si>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</si>
  <si>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</si>
  <si>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</si>
  <si>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</si>
  <si>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</si>
  <si>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</si>
  <si>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</si>
  <si>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</si>
  <si>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</si>
  <si>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</si>
  <si>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</si>
  <si>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</si>
  <si>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</si>
  <si>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</si>
  <si>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</si>
  <si>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</si>
  <si>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</si>
  <si>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</si>
  <si>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</si>
  <si>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</si>
  <si>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</si>
  <si>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</si>
  <si>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</si>
  <si>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</si>
  <si>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</si>
  <si>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</si>
  <si>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</si>
  <si>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</si>
  <si>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</si>
  <si>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</si>
  <si>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</si>
  <si>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</si>
  <si>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</si>
  <si>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</si>
  <si>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</si>
  <si>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</si>
  <si>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</si>
  <si>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</si>
  <si>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</si>
  <si>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</si>
  <si>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has_communicated_last_90_days</t>
  </si>
  <si>
    <t>lake_arrival_date</t>
  </si>
  <si>
    <t>string</t>
  </si>
  <si>
    <t>2023-11-01</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</si>
  <si>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</si>
  <si>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</si>
  <si>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</si>
  <si>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</si>
  <si>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</si>
  <si>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</si>
  <si>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</si>
  <si>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</si>
  <si>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</si>
  <si>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</si>
  <si>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</si>
  <si>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</si>
  <si>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</si>
  <si>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</si>
  <si>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</si>
  <si>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</si>
  <si>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</si>
  <si>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</si>
  <si>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</si>
  <si>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A fact table containing all vehicles and an idication if the vehicle has comminicated (vcss) the last 90 days or not. 1 menas that the vehicle has communicated and 0 means that it has not.
One full partition per calender day.</t>
  </si>
  <si>
    <t>Source View Description</t>
  </si>
  <si>
    <t>Custom source view</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</si>
  <si>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</si>
  <si>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</si>
  <si>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</si>
  <si>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</si>
  <si>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</si>
  <si>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</si>
  <si>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</si>
  <si>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</si>
  <si>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</si>
  <si>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</si>
  <si>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</si>
  <si>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</si>
  <si>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</si>
  <si>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</si>
  <si>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</si>
  <si>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</si>
  <si>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</si>
  <si>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</si>
  <si>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</si>
  <si>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</si>
  <si>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</si>
  <si>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</si>
  <si>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</si>
  <si>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</si>
  <si>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</si>
  <si>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</si>
  <si>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</si>
  <si>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</si>
  <si>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</si>
  <si>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</si>
  <si>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</si>
  <si>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</si>
  <si>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</si>
  <si>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</si>
  <si>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</si>
  <si>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</si>
  <si>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</si>
  <si>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</si>
  <si>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</si>
  <si>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</si>
  <si>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</si>
  <si>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</si>
  <si>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</si>
  <si>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</si>
  <si>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</si>
  <si>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</si>
  <si>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</si>
  <si>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</si>
  <si>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</si>
  <si>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</si>
  <si>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</si>
  <si>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</si>
  <si>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</si>
  <si>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</si>
  <si>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</si>
  <si>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</si>
  <si>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</si>
  <si>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</si>
  <si>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</si>
  <si>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</si>
  <si>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</si>
  <si>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</si>
  <si>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</si>
  <si>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</si>
  <si>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</si>
  <si>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</si>
  <si>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</si>
  <si>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</si>
  <si>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</si>
  <si>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</si>
  <si>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</si>
  <si>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</si>
  <si>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</si>
  <si>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</si>
  <si>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</si>
  <si>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</si>
  <si>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</si>
  <si>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</si>
  <si>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</si>
  <si>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</si>
  <si>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</si>
  <si>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</si>
  <si>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</si>
  <si>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</si>
  <si>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</si>
  <si>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</si>
  <si>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</si>
  <si>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</si>
  <si>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</si>
  <si>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</si>
  <si>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</si>
  <si>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</si>
  <si>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</si>
  <si>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</si>
  <si>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</si>
  <si>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</si>
  <si>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</si>
  <si>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</si>
  <si>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</si>
  <si>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</si>
  <si>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</si>
  <si>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</si>
  <si>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</si>
  <si>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</si>
  <si>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</si>
  <si>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</si>
  <si>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</si>
  <si>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</si>
  <si>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</si>
  <si>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</si>
  <si>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</si>
  <si>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</si>
  <si>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</si>
  <si>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</si>
  <si>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</si>
  <si>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</si>
  <si>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</si>
  <si>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</si>
  <si>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</si>
  <si>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</si>
  <si>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</si>
  <si>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</si>
  <si>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</si>
  <si>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</si>
  <si>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</si>
  <si>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</si>
  <si>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</si>
  <si>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</si>
  <si>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</si>
  <si>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</si>
  <si>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</si>
  <si>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</si>
  <si>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</si>
  <si>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</si>
  <si>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</si>
  <si>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</si>
  <si>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</si>
  <si>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</si>
  <si>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</si>
  <si>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</si>
  <si>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</si>
  <si>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</si>
  <si>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</si>
  <si>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</si>
  <si>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</si>
  <si>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</si>
  <si>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</si>
  <si>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</si>
  <si>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</si>
  <si>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</si>
  <si>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</si>
  <si>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</si>
  <si>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</si>
  <si>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</si>
  <si>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</si>
  <si>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</si>
  <si>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</si>
  <si>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</si>
  <si>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</si>
  <si>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</si>
  <si>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</si>
  <si>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</si>
  <si>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</si>
  <si>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</si>
  <si>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</si>
  <si>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</si>
  <si>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</si>
  <si>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</si>
  <si>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</si>
  <si>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</si>
  <si>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</si>
  <si>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</si>
  <si>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</si>
  <si>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</si>
  <si>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</si>
  <si>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</si>
  <si>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</si>
  <si>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</si>
  <si>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</si>
  <si>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</si>
  <si>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</si>
  <si>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</si>
  <si>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</si>
  <si>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</si>
  <si>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</si>
  <si>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</si>
  <si>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</si>
  <si>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</si>
  <si>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</si>
  <si>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</si>
  <si>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</si>
  <si>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</si>
  <si>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</si>
  <si>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</si>
  <si>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</si>
  <si>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</si>
  <si>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</si>
  <si>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</si>
  <si>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</si>
  <si>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</si>
  <si>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</si>
  <si>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</si>
  <si>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</si>
  <si>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</si>
  <si>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</si>
  <si>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</si>
  <si>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</si>
  <si>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</si>
  <si>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</si>
  <si>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</si>
  <si>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</si>
  <si>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</si>
  <si>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</si>
  <si>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</si>
  <si>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</si>
  <si>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</si>
  <si>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</si>
  <si>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</si>
  <si>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</si>
  <si>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</si>
  <si>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</si>
  <si>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</si>
  <si>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</si>
  <si>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</si>
  <si>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</si>
  <si>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</si>
  <si>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</si>
  <si>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</si>
  <si>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</si>
  <si>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</si>
  <si>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</si>
  <si>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</si>
  <si>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</si>
  <si>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</si>
  <si>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</si>
  <si>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</si>
  <si>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</si>
  <si>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</si>
  <si>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</si>
  <si>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</si>
  <si>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</si>
  <si>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</si>
  <si>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</si>
  <si>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</si>
  <si>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</si>
  <si>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</si>
  <si>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</si>
  <si>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</si>
  <si>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</si>
  <si>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</si>
  <si>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</si>
  <si>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</si>
  <si>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</si>
  <si>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</si>
  <si>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</si>
  <si>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</si>
  <si>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</si>
  <si>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</si>
  <si>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</si>
  <si>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</si>
  <si>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</si>
  <si>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</si>
  <si>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</si>
  <si>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</si>
  <si>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</si>
  <si>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</si>
  <si>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</si>
  <si>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</si>
  <si>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</si>
  <si>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</si>
  <si>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</si>
  <si>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</si>
  <si>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</si>
  <si>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</si>
  <si>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</si>
  <si>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</si>
  <si>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</si>
  <si>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</si>
  <si>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</si>
  <si>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</si>
  <si>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</si>
  <si>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</si>
  <si>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</si>
  <si>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</si>
  <si>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</si>
  <si>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</si>
  <si>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</si>
  <si>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</si>
  <si>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</si>
  <si>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</si>
  <si>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</si>
  <si>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</si>
  <si>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</si>
  <si>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</si>
  <si>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</si>
  <si>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</si>
  <si>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</si>
  <si>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</si>
  <si>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</si>
  <si>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</si>
  <si>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</si>
  <si>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</si>
  <si>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</si>
  <si>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</si>
  <si>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</si>
  <si>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</si>
  <si>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</si>
  <si>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</si>
  <si>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</si>
  <si>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</si>
  <si>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</si>
  <si>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</si>
  <si>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</si>
  <si>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</si>
  <si>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</si>
  <si>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</si>
  <si>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</si>
  <si>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</si>
  <si>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</si>
  <si>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</si>
  <si>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</si>
  <si>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</si>
  <si>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</si>
  <si>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</si>
  <si>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</si>
  <si>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</si>
  <si>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</si>
  <si>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</si>
  <si>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</si>
  <si>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</si>
  <si>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</si>
  <si>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</si>
  <si>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</si>
  <si>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</si>
  <si>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</si>
  <si>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</si>
  <si>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</si>
  <si>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</si>
  <si>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</si>
  <si>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</si>
  <si>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</si>
  <si>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</si>
  <si>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</si>
  <si>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</si>
  <si>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</si>
  <si>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</si>
  <si>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</si>
  <si>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</si>
  <si>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</si>
  <si>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</si>
  <si>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</si>
  <si>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</si>
  <si>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</si>
  <si>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</si>
  <si>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</si>
  <si>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</si>
  <si>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</si>
  <si>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</si>
  <si>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</si>
  <si>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</si>
  <si>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</si>
  <si>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</si>
  <si>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</si>
  <si>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</si>
  <si>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</si>
  <si>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</si>
  <si>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</si>
  <si>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</si>
  <si>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</si>
  <si>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</si>
  <si>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</si>
  <si>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</si>
  <si>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</si>
  <si>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</si>
  <si>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</si>
  <si>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</si>
  <si>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</si>
  <si>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</si>
  <si>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</si>
  <si>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</si>
  <si>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</si>
  <si>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</si>
  <si>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</si>
  <si>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</si>
  <si>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</si>
  <si>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</si>
  <si>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</si>
  <si>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</si>
  <si>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</si>
  <si>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</si>
  <si>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</si>
  <si>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</si>
  <si>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</si>
  <si>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</si>
  <si>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</si>
  <si>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</si>
  <si>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</si>
  <si>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</si>
  <si>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</si>
  <si>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</si>
  <si>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</si>
  <si>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</si>
  <si>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</si>
  <si>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</si>
  <si>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</si>
  <si>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</si>
  <si>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</si>
  <si>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</si>
  <si>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</si>
  <si>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</si>
  <si>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</si>
  <si>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</si>
  <si>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</si>
  <si>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</si>
  <si>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</si>
  <si>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</si>
  <si>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</si>
  <si>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</si>
  <si>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</si>
  <si>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</si>
  <si>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</si>
  <si>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</si>
  <si>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</si>
  <si>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</si>
  <si>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</si>
  <si>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</si>
  <si>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</si>
  <si>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</si>
  <si>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</si>
  <si>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</si>
  <si>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</si>
  <si>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</si>
  <si>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</si>
  <si>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</si>
  <si>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</si>
  <si>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</si>
  <si>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</si>
  <si>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</si>
  <si>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</si>
  <si>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</si>
  <si>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</si>
  <si>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</si>
  <si>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</si>
  <si>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</si>
  <si>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</si>
  <si>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</si>
  <si>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</si>
  <si>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</si>
  <si>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</si>
  <si>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</si>
  <si>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</si>
  <si>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</si>
  <si>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</si>
  <si>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</si>
  <si>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</si>
  <si>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</si>
  <si>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</si>
  <si>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</si>
  <si>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</si>
  <si>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</si>
  <si>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</si>
  <si>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</si>
  <si>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</si>
  <si>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</si>
  <si>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</si>
  <si>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</si>
  <si>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</si>
  <si>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</si>
  <si>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</si>
  <si>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</si>
  <si>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</si>
  <si>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</si>
  <si>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</si>
  <si>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</si>
  <si>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</si>
  <si>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</si>
  <si>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</si>
  <si>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</si>
  <si>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</si>
  <si>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</si>
  <si>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</si>
  <si>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</si>
  <si>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</si>
  <si>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</si>
  <si>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</si>
  <si>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</si>
  <si>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</si>
  <si>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</si>
  <si>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</si>
  <si>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</si>
  <si>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</si>
  <si>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</si>
  <si>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</si>
  <si>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</si>
  <si>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</si>
  <si>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</si>
  <si>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</si>
  <si>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</si>
  <si>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</si>
  <si>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</si>
  <si>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</si>
  <si>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</si>
  <si>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</si>
  <si>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</si>
  <si>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</si>
  <si>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</si>
  <si>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</si>
  <si>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</si>
  <si>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</si>
  <si>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</si>
  <si>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</si>
  <si>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</si>
  <si>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</si>
  <si>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</si>
  <si>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</si>
  <si>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</si>
  <si>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</si>
  <si>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</si>
  <si>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</si>
  <si>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</si>
  <si>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</si>
  <si>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</si>
  <si>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</si>
  <si>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</si>
  <si>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</si>
  <si>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</si>
  <si>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</si>
  <si>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</si>
  <si>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</si>
  <si>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</si>
  <si>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</si>
  <si>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</si>
  <si>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</si>
  <si>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</si>
  <si>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</si>
  <si>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</si>
  <si>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</si>
  <si>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</si>
  <si>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</si>
  <si>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</si>
  <si>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</si>
  <si>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</si>
  <si>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</si>
  <si>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</si>
  <si>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</si>
  <si>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</si>
  <si>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</si>
  <si>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</si>
  <si>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</si>
  <si>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</si>
  <si>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</si>
  <si>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</si>
  <si>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</si>
  <si>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</si>
  <si>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</si>
  <si>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</si>
  <si>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</si>
  <si>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</si>
  <si>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</si>
  <si>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</si>
  <si>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</si>
  <si>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</si>
  <si>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</si>
  <si>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</si>
  <si>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</si>
  <si>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</si>
  <si>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</si>
  <si>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</si>
  <si>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</si>
  <si>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</si>
  <si>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</si>
  <si>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</si>
  <si>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</si>
  <si>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</si>
  <si>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</si>
  <si>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</si>
  <si>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</si>
  <si>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</si>
  <si>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</si>
  <si>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</si>
  <si>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</si>
  <si>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</si>
  <si>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</si>
  <si>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</si>
  <si>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</si>
  <si>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</si>
  <si>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</si>
  <si>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</si>
  <si>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</si>
  <si>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</si>
  <si>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</si>
  <si>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</si>
  <si>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</si>
  <si>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</si>
  <si>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</si>
  <si>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</si>
  <si>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</si>
  <si>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</si>
  <si>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</si>
  <si>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</si>
  <si>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</si>
  <si>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</si>
  <si>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</si>
  <si>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</si>
  <si>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</si>
  <si>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</si>
  <si>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</si>
  <si>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</si>
  <si>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</si>
  <si>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</si>
  <si>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</si>
  <si>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</si>
  <si>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</si>
  <si>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</si>
  <si>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</si>
  <si>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</si>
  <si>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</si>
  <si>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</si>
  <si>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</si>
  <si>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</si>
  <si>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</si>
  <si>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</si>
  <si>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</si>
  <si>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</si>
  <si>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</si>
  <si>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</si>
  <si>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</si>
  <si>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</si>
  <si>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</si>
  <si>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</si>
  <si>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</si>
  <si>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</si>
  <si>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</si>
  <si>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</si>
  <si>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</si>
  <si>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</si>
  <si>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</si>
  <si>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</si>
  <si>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</si>
  <si>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</si>
  <si>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</si>
  <si>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</si>
  <si>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</si>
  <si>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</si>
  <si>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</si>
  <si>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</si>
  <si>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</si>
  <si>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</si>
  <si>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</si>
  <si>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</si>
  <si>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</si>
  <si>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</si>
  <si>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</si>
  <si>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</si>
  <si>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</si>
  <si>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</si>
  <si>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</si>
  <si>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</si>
  <si>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</si>
  <si>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</si>
  <si>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</si>
  <si>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</si>
  <si>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</si>
  <si>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</si>
  <si>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</si>
  <si>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</si>
  <si>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</si>
  <si>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</si>
  <si>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</si>
  <si>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</si>
  <si>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</si>
  <si>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</si>
  <si>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</si>
  <si>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</si>
  <si>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</si>
  <si>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</si>
  <si>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</si>
  <si>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</si>
  <si>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</si>
  <si>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</si>
  <si>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</si>
  <si>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</si>
  <si>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</si>
  <si>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</si>
  <si>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</si>
  <si>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</si>
  <si>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</si>
  <si>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</si>
  <si>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</si>
  <si>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</si>
  <si>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</si>
  <si>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</si>
  <si>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</si>
  <si>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</si>
  <si>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</si>
  <si>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</si>
  <si>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</si>
  <si>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</si>
  <si>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</si>
  <si>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</si>
  <si>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</si>
  <si>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</si>
  <si>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</si>
  <si>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</si>
  <si>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</si>
  <si>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</si>
  <si>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</si>
  <si>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</si>
  <si>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</si>
  <si>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</si>
  <si>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</si>
  <si>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</si>
  <si>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</si>
  <si>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</si>
  <si>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</si>
  <si>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</si>
  <si>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</si>
  <si>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</si>
  <si>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</si>
  <si>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</si>
  <si>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</si>
  <si>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</si>
  <si>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</si>
  <si>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</si>
  <si>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</si>
  <si>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</si>
  <si>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$eq'[:date_yyyy_mm_dd]'</t>
  </si>
  <si>
    <t>staged</t>
  </si>
  <si>
    <t>conrepo_activationdtp_p</t>
  </si>
  <si>
    <t>[:REPLACE_SELECT_STAR_FROM_SOURCE_TABLE]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</si>
</sst>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7">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0" borderId="0" xfId="0"/>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tabSelected="1" workbookViewId="0">
      <selection activeCell="B24" sqref="B24"/>
    </sheetView>
  </sheetViews>
  <sheetFormatPr defaultRowHeight="15"/>
  <cols>
    <col min="2" max="2" width="31.5703125" style="283" bestFit="1" customWidth="1"/>
    <col min="3" max="3" width="157.85546875" style="283" customWidth="1"/>
  </cols>
  <sheetData>
    <row r="1" spans="1:5" s="284" customFormat="1" ht="36.75" customHeight="1">
      <c r="A1" s="299" t="str">
        <f>"VCGS Team ODL - Data Pipeline - Version " &amp;Version!B1 &amp; "  " &amp; Version!B2 &amp; " - " &amp; Options!B25</f>
        <v>VCGS Team ODL - Data Pipeline - Version 118  Skidbladner - factVCSSLast90</v>
      </c>
      <c r="B1" s="298"/>
      <c r="C1" s="298"/>
      <c r="D1" s="298"/>
      <c r="E1" s="298"/>
    </row>
    <row r="4" spans="1:5" s="284" customFormat="1">
      <c r="A4" s="46" t="s">
        <v>0</v>
      </c>
      <c r="B4" s="45" t="s">
        <v>1</v>
      </c>
      <c r="C4" s="297" t="s">
        <v>2</v>
      </c>
      <c r="D4" s="298"/>
      <c r="E4" s="298"/>
    </row>
    <row r="5" spans="1:5" ht="60.75" customHeight="1">
      <c r="A5" s="273">
        <v>1</v>
      </c>
      <c r="B5" s="282" t="s">
        <v>3</v>
      </c>
      <c r="C5" s="291" t="s">
        <v>4</v>
      </c>
      <c r="D5" s="292"/>
      <c r="E5" s="293"/>
    </row>
    <row r="6" spans="1:5" ht="22.5" customHeight="1">
      <c r="A6" s="273">
        <v>2</v>
      </c>
      <c r="B6" s="282" t="s">
        <v>5</v>
      </c>
      <c r="C6" s="294" t="s">
        <v>6</v>
      </c>
      <c r="D6" s="292"/>
      <c r="E6" s="293"/>
    </row>
    <row r="7" spans="1:5" ht="24" customHeight="1">
      <c r="A7" s="273">
        <v>3</v>
      </c>
      <c r="B7" s="282" t="s">
        <v>7</v>
      </c>
      <c r="C7" s="294" t="s">
        <v>8</v>
      </c>
      <c r="D7" s="292"/>
      <c r="E7" s="293"/>
    </row>
    <row r="8" spans="1:5" ht="18" customHeight="1">
      <c r="A8" s="273">
        <f>IF(Options!B31=1,"",4)</f>
        <v>4</v>
      </c>
      <c r="B8" s="282" t="str">
        <f>IF(Options!B31=1,"", "Describe the relations to used dimensions")</f>
        <v>Describe the relations to used dimensions</v>
      </c>
      <c r="C8" s="294" t="str">
        <f>IF(Options!B31=1,"", "Fill in columns to use when doing a lookup in a used dimensional table.")</f>
        <v>Fill in columns to use when doing a lookup in a used dimensional table.</v>
      </c>
      <c r="D8" s="292"/>
      <c r="E8" s="293"/>
    </row>
    <row r="9" spans="1:5" ht="137.25" customHeight="1">
      <c r="A9" s="273">
        <f>IF(Options!B31=1,4,5)</f>
        <v>5</v>
      </c>
      <c r="B9" s="273" t="s">
        <v>9</v>
      </c>
      <c r="C9" s="295" t="s">
        <v>10</v>
      </c>
      <c r="D9" s="296"/>
      <c r="E9" s="296"/>
    </row>
    <row r="11" spans="1:5">
      <c r="C11" t="s">
        <v>11</v>
      </c>
    </row>
    <row r="12" spans="1:5">
      <c r="C12" s="134" t="s">
        <v>12</v>
      </c>
    </row>
    <row r="13" spans="1:5">
      <c r="C13" s="134" t="s">
        <v>13</v>
      </c>
    </row>
    <row r="14" spans="1:5">
      <c r="C14" s="234" t="s">
        <v>14</v>
      </c>
    </row>
    <row r="15" spans="1:5">
      <c r="C15" s="233" t="s">
        <v>15</v>
      </c>
    </row>
    <row r="16" spans="1:5">
      <c r="C16" s="233" t="s">
        <v>16</v>
      </c>
    </row>
    <row r="17" spans="3:3">
      <c r="C17" s="235"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8" sqref="B8"/>
    </sheetView>
  </sheetViews>
  <sheetFormatPr defaultRowHeight="15"/>
  <cols>
    <col min="1" max="1" width="39.5703125" style="283" bestFit="1" customWidth="1"/>
    <col min="2" max="2" width="39.5703125" style="283" customWidth="1"/>
    <col min="3" max="3" width="73" style="283" customWidth="1"/>
    <col min="4" max="4" width="48.7109375" style="283" customWidth="1"/>
    <col min="5" max="5" width="79.7109375" style="283" customWidth="1"/>
  </cols>
  <sheetData>
    <row r="1" spans="1:6" ht="39.75" customHeight="1">
      <c r="A1" s="3" t="str">
        <f>B25</f>
        <v>factVCSSLast90</v>
      </c>
      <c r="B1" s="145" t="s">
        <v>18</v>
      </c>
      <c r="C1" s="124" t="s">
        <v>19</v>
      </c>
      <c r="D1" s="124" t="s">
        <v>20</v>
      </c>
      <c r="E1" s="124" t="s">
        <v>21</v>
      </c>
    </row>
    <row r="2" spans="1:6" s="280" customFormat="1" ht="16.5" customHeight="1">
      <c r="A2" s="96" t="s">
        <v>22</v>
      </c>
      <c r="B2" s="159" t="str">
        <f>D2</f>
        <v>uc0039</v>
      </c>
      <c r="C2" s="146"/>
      <c r="D2" s="280" t="s">
        <v>23</v>
      </c>
      <c r="E2" s="280" t="s">
        <v>24</v>
      </c>
    </row>
    <row r="3" spans="1:6" s="280" customFormat="1" ht="27.75" customHeight="1">
      <c r="A3" s="96" t="s">
        <v>25</v>
      </c>
      <c r="B3" s="158">
        <v>1</v>
      </c>
      <c r="C3" s="146"/>
      <c r="E3" s="146" t="s">
        <v>26</v>
      </c>
    </row>
    <row r="4" spans="1:6">
      <c r="A4" t="s">
        <v>27</v>
      </c>
      <c r="B4" s="85" t="str">
        <f>D4</f>
        <v>uc0039</v>
      </c>
      <c r="C4" s="285" t="s">
        <v>28</v>
      </c>
      <c r="D4" t="s">
        <v>23</v>
      </c>
      <c r="E4" s="130" t="s">
        <v>24</v>
      </c>
      <c r="F4" t="s">
        <v>29</v>
      </c>
    </row>
    <row r="5" spans="1:6">
      <c r="A5" t="s">
        <v>30</v>
      </c>
      <c r="B5" s="47" t="str">
        <f>"stage_" &amp; B25&amp; "_v"</f>
        <v>stage_factVCSSLast90_v</v>
      </c>
      <c r="C5" s="285" t="s">
        <v>31</v>
      </c>
      <c r="D5" t="str">
        <f>"stage_" &amp; B25&amp; "_v"</f>
        <v>stage_factVCSSLast90_v</v>
      </c>
    </row>
    <row r="6" spans="1:6">
      <c r="B6" s="125"/>
      <c r="C6" s="285"/>
    </row>
    <row r="7" spans="1:6" s="285" customFormat="1" ht="43.5" customHeight="1">
      <c r="A7" s="126" t="s">
        <v>32</v>
      </c>
      <c r="B7" s="127">
        <v>33</v>
      </c>
      <c r="C7" s="285" t="s">
        <v>33</v>
      </c>
      <c r="D7" s="285">
        <v>1</v>
      </c>
      <c r="E7" s="285" t="str">
        <f>IF(B7=1,"dim",IF(OR(B7=2,B7=3),"fact",""))</f>
        <v/>
      </c>
      <c r="F7" s="202">
        <f>B7</f>
        <v>33</v>
      </c>
    </row>
    <row r="8" spans="1:6">
      <c r="C8" s="285"/>
      <c r="E8" t="str">
        <f>IF(B7=10,"_h","")</f>
        <v/>
      </c>
    </row>
    <row r="9" spans="1:6">
      <c r="A9" s="130" t="s">
        <v>34</v>
      </c>
      <c r="C9" s="285"/>
    </row>
    <row r="10" spans="1:6" ht="30" customHeight="1">
      <c r="A10" s="134" t="s">
        <v>35</v>
      </c>
      <c r="B10" s="40" t="s">
        <v>909</v>
      </c>
      <c r="C10" s="285" t="s">
        <v>36</v>
      </c>
    </row>
    <row r="11" spans="1:6" ht="45" customHeight="1">
      <c r="A11" s="134" t="s">
        <v>37</v>
      </c>
      <c r="B11" s="38" t="s">
        <v>910</v>
      </c>
      <c r="C11" s="285" t="s">
        <v>38</v>
      </c>
    </row>
    <row r="12" spans="1:6">
      <c r="A12" s="134"/>
      <c r="B12" s="133"/>
      <c r="C12" s="285"/>
    </row>
    <row r="13" spans="1:6" ht="60" customHeight="1">
      <c r="A13" s="179" t="s">
        <v>39</v>
      </c>
      <c r="B13" s="267" t="s">
        <v>40</v>
      </c>
      <c r="C13" s="181" t="s">
        <v>41</v>
      </c>
    </row>
    <row r="14" spans="1:6" ht="45" customHeight="1">
      <c r="A14" s="180" t="s">
        <v>42</v>
      </c>
      <c r="B14" s="268" t="s">
        <v>43</v>
      </c>
      <c r="C14" s="285" t="s">
        <v>44</v>
      </c>
    </row>
    <row r="15" spans="1:6" ht="30" customHeight="1">
      <c r="A15" s="180" t="s">
        <v>45</v>
      </c>
      <c r="B15" s="204" t="s">
        <v>43</v>
      </c>
      <c r="C15" s="285" t="s">
        <v>46</v>
      </c>
      <c r="D15" t="s">
        <v>43</v>
      </c>
    </row>
    <row r="16" spans="1:6">
      <c r="A16" s="110"/>
      <c r="B16" s="132"/>
      <c r="C16" s="285"/>
    </row>
    <row r="17" spans="1:5">
      <c r="A17" s="135" t="s">
        <v>47</v>
      </c>
      <c r="B17" s="89">
        <v>1</v>
      </c>
      <c r="C17" s="285" t="s">
        <v>48</v>
      </c>
      <c r="D17">
        <v>0</v>
      </c>
    </row>
    <row r="18" spans="1:5">
      <c r="A18" s="141" t="s">
        <v>49</v>
      </c>
      <c r="B18" s="139"/>
      <c r="C18" s="285"/>
    </row>
    <row r="19" spans="1:5" ht="30" customHeight="1">
      <c r="A19" s="142" t="s">
        <v>50</v>
      </c>
      <c r="B19" s="90">
        <v>0</v>
      </c>
      <c r="C19" s="285" t="s">
        <v>51</v>
      </c>
      <c r="D19">
        <v>0</v>
      </c>
    </row>
    <row r="20" spans="1:5">
      <c r="A20" s="135"/>
      <c r="B20" s="136"/>
      <c r="C20" s="285"/>
    </row>
    <row r="21" spans="1:5" ht="30" customHeight="1">
      <c r="A21" s="110" t="s">
        <v>52</v>
      </c>
      <c r="B21" s="111">
        <v>1</v>
      </c>
      <c r="C21" s="285" t="s">
        <v>53</v>
      </c>
      <c r="D21">
        <v>0</v>
      </c>
    </row>
    <row r="22" spans="1:5">
      <c r="B22" s="111"/>
      <c r="C22" s="285"/>
    </row>
    <row r="23" spans="1:5">
      <c r="A23" s="130" t="s">
        <v>54</v>
      </c>
      <c r="B23" s="85" t="str">
        <f>D23</f>
        <v>uc0039</v>
      </c>
      <c r="C23" s="285" t="s">
        <v>55</v>
      </c>
      <c r="D23" t="s">
        <v>23</v>
      </c>
      <c r="E23" s="130" t="s">
        <v>56</v>
      </c>
    </row>
    <row r="24" spans="1:5">
      <c r="A24" s="134" t="str">
        <f>"'Logical' table name."</f>
        <v>'Logical' table name.</v>
      </c>
      <c r="B24" s="261" t="s">
        <v>57</v>
      </c>
      <c r="C24" s="285" t="s">
        <v>58</v>
      </c>
    </row>
    <row r="25" spans="1:5" ht="30" customHeight="1">
      <c r="A25" s="137" t="s">
        <v>59</v>
      </c>
      <c r="B25" s="85" t="str">
        <f>IF(B21=0,E7&amp;B24&amp;E8,B24)</f>
        <v>factVCSSLast90</v>
      </c>
      <c r="C25" s="285" t="s">
        <v>60</v>
      </c>
      <c r="D25" t="str">
        <f>IF(B21=1,B24, IF(B31=1,"dim","fact") &amp; B24)</f>
        <v>factVCSSLast90</v>
      </c>
    </row>
    <row r="26" spans="1:5">
      <c r="A26" s="137"/>
      <c r="B26" s="85"/>
      <c r="C26" s="285"/>
    </row>
    <row r="27" spans="1:5">
      <c r="A27" s="138" t="s">
        <v>61</v>
      </c>
      <c r="B27" s="85"/>
      <c r="C27" s="285"/>
    </row>
    <row r="28" spans="1:5">
      <c r="A28" s="134" t="s">
        <v>62</v>
      </c>
      <c r="B28" t="str">
        <f>D28</f>
        <v>uc0039-vgcs-odl-prod</v>
      </c>
      <c r="C28" s="285" t="str">
        <f>"S3 Bucket where data should be stored."</f>
        <v>S3 Bucket where data should be stored.</v>
      </c>
      <c r="D28" s="157" t="s">
        <v>63</v>
      </c>
      <c r="E28" t="s">
        <v>56</v>
      </c>
    </row>
    <row r="29" spans="1:5">
      <c r="A29" s="134" t="s">
        <v>64</v>
      </c>
      <c r="B29" s="160" t="str">
        <f>D29</f>
        <v>db</v>
      </c>
      <c r="C29" s="285" t="s">
        <v>65</v>
      </c>
      <c r="D29" s="278" t="s">
        <v>66</v>
      </c>
      <c r="E29" t="s">
        <v>56</v>
      </c>
    </row>
    <row r="30" spans="1:5">
      <c r="A30" s="211"/>
      <c r="C30" s="285"/>
    </row>
    <row r="31" spans="1:5" ht="30" customHeight="1">
      <c r="A31" t="s">
        <v>67</v>
      </c>
      <c r="B31" s="236">
        <f>IF(B7=1,1,0)</f>
        <v>0</v>
      </c>
      <c r="C31" s="285" t="s">
        <v>68</v>
      </c>
    </row>
    <row r="32" spans="1:5">
      <c r="A32" t="s">
        <v>69</v>
      </c>
      <c r="B32" s="190">
        <v>0</v>
      </c>
      <c r="C32" s="285"/>
      <c r="D32">
        <v>0</v>
      </c>
    </row>
    <row r="33" spans="1:5">
      <c r="A33" s="130" t="s">
        <v>70</v>
      </c>
      <c r="B33">
        <v>0</v>
      </c>
      <c r="C33" s="285"/>
    </row>
    <row r="34" spans="1:5" ht="45" customHeight="1">
      <c r="A34" s="134" t="s">
        <v>71</v>
      </c>
      <c r="B34" s="38"/>
      <c r="C34" s="285" t="s">
        <v>72</v>
      </c>
      <c r="E34">
        <v>0</v>
      </c>
    </row>
    <row r="35" spans="1:5" ht="30" customHeight="1">
      <c r="A35" s="134" t="s">
        <v>73</v>
      </c>
      <c r="B35" s="40">
        <v>0</v>
      </c>
      <c r="C35" s="285" t="s">
        <v>74</v>
      </c>
    </row>
    <row r="36" spans="1:5" ht="45" customHeight="1">
      <c r="A36" s="183" t="s">
        <v>75</v>
      </c>
      <c r="B36" s="219" t="str">
        <f>D36</f>
        <v>P3</v>
      </c>
      <c r="C36" s="170" t="s">
        <v>76</v>
      </c>
      <c r="D36" s="206" t="s">
        <v>77</v>
      </c>
      <c r="E36" s="184" t="s">
        <v>56</v>
      </c>
    </row>
    <row r="37" spans="1:5">
      <c r="A37" s="182"/>
      <c r="B37" s="220" t="str">
        <f>D37</f>
        <v>RND</v>
      </c>
      <c r="C37" s="285"/>
      <c r="D37" s="207" t="s">
        <v>78</v>
      </c>
      <c r="E37" s="185" t="s">
        <v>56</v>
      </c>
    </row>
    <row r="38" spans="1:5">
      <c r="A38" s="21"/>
      <c r="B38" s="220">
        <f>D38</f>
        <v>0</v>
      </c>
      <c r="C38" s="285"/>
      <c r="D38" s="207"/>
      <c r="E38" s="185" t="s">
        <v>56</v>
      </c>
    </row>
    <row r="39" spans="1:5">
      <c r="A39" s="21"/>
      <c r="B39" s="220">
        <f>D39</f>
        <v>0</v>
      </c>
      <c r="C39" s="285"/>
      <c r="D39" s="207"/>
      <c r="E39" s="185" t="s">
        <v>56</v>
      </c>
    </row>
    <row r="40" spans="1:5">
      <c r="A40" s="173"/>
      <c r="B40" s="220">
        <f>D40</f>
        <v>0</v>
      </c>
      <c r="C40" s="174"/>
      <c r="D40" s="207"/>
      <c r="E40" s="186" t="s">
        <v>56</v>
      </c>
    </row>
    <row r="41" spans="1:5">
      <c r="A41" s="253" t="s">
        <v>79</v>
      </c>
      <c r="B41" s="254">
        <v>1</v>
      </c>
      <c r="C41" s="196"/>
      <c r="D41" s="175"/>
      <c r="E41" s="255"/>
    </row>
    <row r="42" spans="1:5">
      <c r="A42" s="130" t="s">
        <v>80</v>
      </c>
      <c r="C42" s="285"/>
    </row>
    <row r="43" spans="1:5" ht="30" customHeight="1">
      <c r="A43" s="134" t="s">
        <v>81</v>
      </c>
      <c r="B43" s="39" t="str">
        <f>D43</f>
        <v>hashkey</v>
      </c>
      <c r="C43" s="285" t="s">
        <v>82</v>
      </c>
      <c r="D43" t="s">
        <v>83</v>
      </c>
      <c r="E43" t="s">
        <v>84</v>
      </c>
    </row>
    <row r="44" spans="1:5">
      <c r="A44" s="134" t="s">
        <v>39</v>
      </c>
      <c r="B44" s="39" t="str">
        <f>D44</f>
        <v>load_date</v>
      </c>
      <c r="C44" s="285" t="s">
        <v>85</v>
      </c>
      <c r="D44" t="s">
        <v>86</v>
      </c>
      <c r="E44" t="s">
        <v>84</v>
      </c>
    </row>
    <row r="45" spans="1:5">
      <c r="A45" s="134" t="s">
        <v>87</v>
      </c>
      <c r="B45" s="211" t="str">
        <f>D45</f>
        <v>last_modified_timestamp</v>
      </c>
      <c r="C45" s="147" t="s">
        <v>88</v>
      </c>
      <c r="D45" t="s">
        <v>89</v>
      </c>
      <c r="E45" t="s">
        <v>84</v>
      </c>
    </row>
    <row r="46" spans="1:5">
      <c r="C46" s="285"/>
    </row>
    <row r="47" spans="1:5" ht="30" customHeight="1">
      <c r="A47" s="134" t="s">
        <v>90</v>
      </c>
      <c r="B47" s="50">
        <f>D47</f>
        <v>1</v>
      </c>
      <c r="C47" s="285" t="s">
        <v>91</v>
      </c>
      <c r="D47">
        <v>1</v>
      </c>
      <c r="E47" t="s">
        <v>84</v>
      </c>
    </row>
    <row r="48" spans="1:5">
      <c r="A48" s="134" t="s">
        <v>92</v>
      </c>
      <c r="B48" s="50">
        <f>D48</f>
        <v>1</v>
      </c>
      <c r="C48" s="285"/>
      <c r="D48">
        <v>1</v>
      </c>
      <c r="E48" t="s">
        <v>84</v>
      </c>
    </row>
    <row r="49" spans="1:5" ht="30" customHeight="1">
      <c r="A49" s="134" t="s">
        <v>93</v>
      </c>
      <c r="B49" s="50">
        <f>D49</f>
        <v>150</v>
      </c>
      <c r="C49" s="285" t="s">
        <v>94</v>
      </c>
      <c r="D49">
        <v>150</v>
      </c>
      <c r="E49" t="s">
        <v>84</v>
      </c>
    </row>
    <row r="50" spans="1:5">
      <c r="C50" s="285"/>
    </row>
    <row r="51" spans="1:5">
      <c r="A51" t="s">
        <v>95</v>
      </c>
      <c r="B51" s="73">
        <v>1</v>
      </c>
      <c r="C51" s="285" t="s">
        <v>96</v>
      </c>
      <c r="D51">
        <v>1</v>
      </c>
    </row>
    <row r="52" spans="1:5">
      <c r="A52" s="169" t="s">
        <v>97</v>
      </c>
      <c r="B52" s="177">
        <f t="shared" ref="B52:B62" si="0">D52</f>
        <v>259200</v>
      </c>
      <c r="C52" s="170"/>
      <c r="D52" s="208">
        <v>259200</v>
      </c>
      <c r="E52" s="171" t="s">
        <v>84</v>
      </c>
    </row>
    <row r="53" spans="1:5">
      <c r="A53" s="21" t="s">
        <v>98</v>
      </c>
      <c r="B53" s="211">
        <f t="shared" si="0"/>
        <v>50</v>
      </c>
      <c r="C53" s="285" t="s">
        <v>99</v>
      </c>
      <c r="D53" s="164">
        <v>50</v>
      </c>
      <c r="E53" s="172" t="s">
        <v>84</v>
      </c>
    </row>
    <row r="54" spans="1:5">
      <c r="A54" s="21" t="s">
        <v>100</v>
      </c>
      <c r="B54" s="211">
        <f t="shared" si="0"/>
        <v>536870912</v>
      </c>
      <c r="C54" s="285"/>
      <c r="D54" s="164">
        <v>536870912</v>
      </c>
      <c r="E54" s="172" t="s">
        <v>84</v>
      </c>
    </row>
    <row r="55" spans="1:5">
      <c r="A55" s="21"/>
      <c r="B55" s="211">
        <f t="shared" si="0"/>
        <v>0</v>
      </c>
      <c r="C55" s="285"/>
      <c r="D55" s="164"/>
      <c r="E55" s="172" t="s">
        <v>84</v>
      </c>
    </row>
    <row r="56" spans="1:5">
      <c r="A56" s="21"/>
      <c r="B56" s="211">
        <f t="shared" si="0"/>
        <v>0</v>
      </c>
      <c r="C56" s="285"/>
      <c r="D56" s="164"/>
      <c r="E56" s="172" t="s">
        <v>84</v>
      </c>
    </row>
    <row r="57" spans="1:5">
      <c r="A57" s="21"/>
      <c r="B57" s="211">
        <f t="shared" si="0"/>
        <v>0</v>
      </c>
      <c r="C57" s="285"/>
      <c r="D57" s="164"/>
      <c r="E57" s="172" t="s">
        <v>84</v>
      </c>
    </row>
    <row r="58" spans="1:5">
      <c r="A58" s="21"/>
      <c r="B58" s="211">
        <f t="shared" si="0"/>
        <v>0</v>
      </c>
      <c r="C58" s="285"/>
      <c r="D58" s="164"/>
      <c r="E58" s="172" t="s">
        <v>84</v>
      </c>
    </row>
    <row r="59" spans="1:5">
      <c r="A59" s="21"/>
      <c r="B59" s="211">
        <f t="shared" si="0"/>
        <v>0</v>
      </c>
      <c r="C59" s="285"/>
      <c r="D59" s="164"/>
      <c r="E59" s="172" t="s">
        <v>84</v>
      </c>
    </row>
    <row r="60" spans="1:5">
      <c r="A60" s="21"/>
      <c r="B60" s="211">
        <f t="shared" si="0"/>
        <v>0</v>
      </c>
      <c r="C60" s="285"/>
      <c r="D60" s="164"/>
      <c r="E60" s="172" t="s">
        <v>84</v>
      </c>
    </row>
    <row r="61" spans="1:5">
      <c r="A61" s="21"/>
      <c r="B61" s="211">
        <f t="shared" si="0"/>
        <v>0</v>
      </c>
      <c r="C61" s="285"/>
      <c r="D61" s="164"/>
      <c r="E61" s="172" t="s">
        <v>84</v>
      </c>
    </row>
    <row r="62" spans="1:5">
      <c r="A62" s="173"/>
      <c r="B62" s="178">
        <f t="shared" si="0"/>
        <v>0</v>
      </c>
      <c r="C62" s="174"/>
      <c r="D62" s="209"/>
      <c r="E62" s="176" t="s">
        <v>84</v>
      </c>
    </row>
    <row r="63" spans="1:5">
      <c r="C63" s="285"/>
    </row>
    <row r="64" spans="1:5">
      <c r="A64" s="156" t="s">
        <v>101</v>
      </c>
      <c r="B64" s="30"/>
      <c r="C64" s="24"/>
      <c r="D64" s="30"/>
      <c r="E64" s="30"/>
    </row>
    <row r="65" spans="1:5">
      <c r="A65" s="130"/>
      <c r="C65" s="285"/>
    </row>
    <row r="66" spans="1:5">
      <c r="A66" s="134"/>
      <c r="B66" s="272"/>
      <c r="C66" s="285"/>
    </row>
    <row r="67" spans="1:5">
      <c r="A67" s="134" t="s">
        <v>102</v>
      </c>
      <c r="B67" t="str">
        <f>D67</f>
        <v>761560768765</v>
      </c>
      <c r="D67" s="215" t="s">
        <v>103</v>
      </c>
      <c r="E67" t="s">
        <v>84</v>
      </c>
    </row>
    <row r="68" spans="1:5">
      <c r="A68" s="134" t="s">
        <v>104</v>
      </c>
      <c r="B68" t="str">
        <f>D68</f>
        <v>eu-west-1</v>
      </c>
      <c r="C68" s="285"/>
      <c r="D68" t="s">
        <v>105</v>
      </c>
      <c r="E68" t="s">
        <v>56</v>
      </c>
    </row>
    <row r="69" spans="1:5">
      <c r="A69" s="134" t="s">
        <v>106</v>
      </c>
      <c r="B69" t="str">
        <f>D69</f>
        <v>uc0039</v>
      </c>
      <c r="C69" s="285"/>
      <c r="D69" t="s">
        <v>23</v>
      </c>
      <c r="E69" t="s">
        <v>56</v>
      </c>
    </row>
    <row r="70" spans="1:5">
      <c r="A70" s="134" t="s">
        <v>107</v>
      </c>
      <c r="B70" t="str">
        <f>D70</f>
        <v>uc0039</v>
      </c>
      <c r="C70" s="285"/>
      <c r="D70" t="s">
        <v>23</v>
      </c>
      <c r="E70" t="s">
        <v>56</v>
      </c>
    </row>
    <row r="71" spans="1:5">
      <c r="A71" s="130"/>
      <c r="C71" s="285"/>
    </row>
    <row r="72" spans="1:5">
      <c r="A72" s="134"/>
      <c r="C72" s="285"/>
    </row>
    <row r="73" spans="1:5">
      <c r="C73" s="285"/>
    </row>
    <row r="74" spans="1:5">
      <c r="C74" s="285"/>
    </row>
    <row r="75" spans="1:5">
      <c r="C75" s="285"/>
    </row>
    <row r="76" spans="1:5">
      <c r="C76" s="285"/>
    </row>
    <row r="77" spans="1:5">
      <c r="C77" s="285"/>
    </row>
    <row r="78" spans="1:5">
      <c r="A78" s="130" t="s">
        <v>108</v>
      </c>
      <c r="C78" s="285"/>
    </row>
    <row r="79" spans="1:5" ht="45" customHeight="1">
      <c r="A79" s="134" t="s">
        <v>109</v>
      </c>
      <c r="B79" s="278">
        <v>1</v>
      </c>
      <c r="C79" s="285" t="s">
        <v>110</v>
      </c>
      <c r="D79">
        <v>1</v>
      </c>
    </row>
    <row r="80" spans="1:5">
      <c r="C80" s="285"/>
    </row>
    <row r="81" spans="1:3">
      <c r="A81" s="130" t="s">
        <v>111</v>
      </c>
      <c r="C81" s="285"/>
    </row>
    <row r="82" spans="1:3">
      <c r="A82" s="130" t="s">
        <v>112</v>
      </c>
      <c r="C82" s="285"/>
    </row>
    <row r="83" spans="1:3">
      <c r="A83" s="140" t="s">
        <v>113</v>
      </c>
      <c r="B83">
        <v>1</v>
      </c>
      <c r="C83" s="285" t="s">
        <v>114</v>
      </c>
    </row>
    <row r="84" spans="1:3">
      <c r="A84" s="140" t="s">
        <v>115</v>
      </c>
      <c r="B84">
        <v>0</v>
      </c>
      <c r="C84" s="285" t="s">
        <v>116</v>
      </c>
    </row>
    <row r="85" spans="1:3">
      <c r="A85" s="140"/>
      <c r="C85" s="285"/>
    </row>
    <row r="86" spans="1:3">
      <c r="A86" s="130" t="s">
        <v>117</v>
      </c>
      <c r="C86" s="285"/>
    </row>
    <row r="87" spans="1:3">
      <c r="A87" s="134" t="s">
        <v>118</v>
      </c>
      <c r="B87">
        <v>1</v>
      </c>
      <c r="C87" s="285" t="s">
        <v>114</v>
      </c>
    </row>
    <row r="88" spans="1:3">
      <c r="A88" s="134" t="s">
        <v>119</v>
      </c>
      <c r="B88">
        <v>0</v>
      </c>
      <c r="C88" s="285" t="s">
        <v>116</v>
      </c>
    </row>
    <row r="89" spans="1:3">
      <c r="A89" s="134" t="s">
        <v>120</v>
      </c>
      <c r="B89">
        <v>0</v>
      </c>
      <c r="C89" s="285" t="s">
        <v>116</v>
      </c>
    </row>
    <row r="90" spans="1:3">
      <c r="C90" s="285"/>
    </row>
    <row r="91" spans="1:3">
      <c r="A91" s="130" t="s">
        <v>121</v>
      </c>
      <c r="C91" s="285"/>
    </row>
    <row r="92" spans="1:3">
      <c r="A92" s="134" t="s">
        <v>122</v>
      </c>
      <c r="B92">
        <v>0</v>
      </c>
      <c r="C92" s="285"/>
    </row>
    <row r="93" spans="1:3">
      <c r="A93" s="134" t="s">
        <v>123</v>
      </c>
      <c r="B93">
        <v>0</v>
      </c>
      <c r="C93" s="285"/>
    </row>
    <row r="94" spans="1:3">
      <c r="A94" s="134" t="s">
        <v>124</v>
      </c>
      <c r="B94">
        <v>0</v>
      </c>
      <c r="C94" s="285" t="s">
        <v>125</v>
      </c>
    </row>
    <row r="95" spans="1:3">
      <c r="A95" s="134" t="s">
        <v>126</v>
      </c>
      <c r="B95">
        <v>1</v>
      </c>
      <c r="C95" s="285" t="s">
        <v>125</v>
      </c>
    </row>
    <row r="96" spans="1:3">
      <c r="C96" s="285"/>
    </row>
    <row r="97" spans="1:3">
      <c r="A97" s="131" t="s">
        <v>127</v>
      </c>
      <c r="C97" s="285"/>
    </row>
    <row r="98" spans="1:3">
      <c r="A98" s="134" t="s">
        <v>128</v>
      </c>
      <c r="B98">
        <v>1</v>
      </c>
      <c r="C98" s="285" t="s">
        <v>129</v>
      </c>
    </row>
    <row r="99" spans="1:3">
      <c r="A99" s="134" t="s">
        <v>130</v>
      </c>
      <c r="B99">
        <v>0</v>
      </c>
      <c r="C99" s="285" t="s">
        <v>116</v>
      </c>
    </row>
    <row r="100" spans="1:3">
      <c r="A100" s="134" t="s">
        <v>131</v>
      </c>
      <c r="B100">
        <v>0</v>
      </c>
      <c r="C100" s="285" t="s">
        <v>116</v>
      </c>
    </row>
    <row r="101" spans="1:3">
      <c r="C101" s="285"/>
    </row>
    <row r="102" spans="1:3" ht="30" customHeight="1">
      <c r="A102" s="129" t="s">
        <v>132</v>
      </c>
      <c r="C102" s="285" t="s">
        <v>133</v>
      </c>
    </row>
    <row r="103" spans="1:3" ht="30" customHeight="1">
      <c r="A103" s="129" t="s">
        <v>134</v>
      </c>
      <c r="C103" s="285" t="s">
        <v>135</v>
      </c>
    </row>
    <row r="104" spans="1:3">
      <c r="C104" s="285"/>
    </row>
    <row r="105" spans="1:3">
      <c r="C105" s="285"/>
    </row>
    <row r="106" spans="1:3">
      <c r="C106" s="144"/>
    </row>
    <row r="107" spans="1:3">
      <c r="C107" s="144"/>
    </row>
    <row r="108" spans="1:3">
      <c r="A108" t="s">
        <v>136</v>
      </c>
      <c r="B108" s="190">
        <v>1</v>
      </c>
      <c r="C108" s="144" t="s">
        <v>137</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topLeftCell="G1" zoomScale="101" workbookViewId="0">
      <selection activeCell="M6" sqref="M6"/>
    </sheetView>
  </sheetViews>
  <sheetFormatPr defaultRowHeight="15"/>
  <cols>
    <col min="1" max="1" width="43.140625" style="285" customWidth="1"/>
    <col min="2" max="2" width="29.7109375" style="283" customWidth="1"/>
    <col min="3" max="3" width="16" style="283" bestFit="1" customWidth="1"/>
    <col min="4" max="4" width="16.28515625" style="283" bestFit="1" customWidth="1"/>
    <col min="5" max="5" width="14.7109375" style="283" customWidth="1"/>
    <col min="6" max="6" width="68.140625" style="285" bestFit="1" customWidth="1"/>
    <col min="7" max="7" width="14.85546875" style="283" customWidth="1"/>
    <col min="8" max="8" width="15.5703125" style="283" customWidth="1"/>
    <col min="9" max="9" width="15.7109375" style="283" customWidth="1"/>
    <col min="10" max="10" width="28.140625" style="211" bestFit="1" customWidth="1"/>
    <col min="11" max="11" width="28.140625" style="211" customWidth="1"/>
    <col min="12" max="12" width="11.28515625" style="283" customWidth="1"/>
    <col min="13" max="13" width="56.28515625" style="283" customWidth="1"/>
    <col min="14" max="14" width="23" style="280" customWidth="1"/>
    <col min="15" max="15" width="20.140625" style="280" customWidth="1"/>
    <col min="16" max="22" width="14" style="280" customWidth="1"/>
    <col min="23" max="23" width="15.5703125" style="283" customWidth="1"/>
    <col min="24" max="24" width="29.140625" style="283" customWidth="1"/>
    <col min="25" max="25" width="48.140625" style="283" customWidth="1"/>
    <col min="26" max="26" width="30.5703125" style="283" customWidth="1"/>
    <col min="27" max="27" width="19.85546875" style="283" customWidth="1"/>
    <col min="28" max="28" width="45.42578125" style="283" bestFit="1" customWidth="1"/>
    <col min="29" max="30" width="9.140625" style="283" customWidth="1"/>
  </cols>
  <sheetData>
    <row r="1" spans="1:28">
      <c r="A1" s="18" t="s">
        <v>138</v>
      </c>
      <c r="B1" s="128" t="s">
        <v>139</v>
      </c>
      <c r="C1" s="128" t="s">
        <v>140</v>
      </c>
      <c r="D1" s="128" t="s">
        <v>141</v>
      </c>
      <c r="E1" s="128" t="s">
        <v>142</v>
      </c>
      <c r="F1" s="18" t="s">
        <v>143</v>
      </c>
      <c r="G1" s="128" t="s">
        <v>144</v>
      </c>
      <c r="H1" s="128" t="s">
        <v>145</v>
      </c>
      <c r="I1" s="128" t="s">
        <v>146</v>
      </c>
      <c r="J1" s="86" t="s">
        <v>147</v>
      </c>
      <c r="K1" s="86" t="s">
        <v>148</v>
      </c>
      <c r="L1" s="128" t="s">
        <v>149</v>
      </c>
      <c r="M1" s="128" t="s">
        <v>150</v>
      </c>
      <c r="N1" s="128" t="s">
        <v>151</v>
      </c>
      <c r="O1" s="128" t="s">
        <v>152</v>
      </c>
      <c r="P1" s="280" t="s">
        <v>153</v>
      </c>
      <c r="X1" s="221"/>
      <c r="Y1" s="221"/>
      <c r="Z1" s="221"/>
      <c r="AA1" s="221"/>
      <c r="AB1" s="221"/>
    </row>
    <row r="2" spans="1:28">
      <c r="A2" s="1" t="s">
        <v>154</v>
      </c>
      <c r="B2" s="1"/>
      <c r="C2" s="1" t="s">
        <v>155</v>
      </c>
      <c r="H2">
        <v>1</v>
      </c>
    </row>
    <row r="3" spans="1:28">
      <c r="A3" s="1" t="s">
        <v>156</v>
      </c>
      <c r="B3" s="1"/>
      <c r="C3" s="1" t="s">
        <v>155</v>
      </c>
      <c r="F3">
        <v>1</v>
      </c>
    </row>
    <row r="4" spans="1:28">
      <c r="A4" s="1" t="s">
        <v>157</v>
      </c>
      <c r="B4" s="1"/>
      <c r="C4" s="1" t="s">
        <v>158</v>
      </c>
      <c r="G4">
        <v>1</v>
      </c>
      <c r="M4" s="2" t="s">
        <v>908</v>
      </c>
      <c r="N4" t="s">
        <v>159</v>
      </c>
    </row>
    <row r="5" spans="1:28">
      <c r="A5" s="1"/>
      <c r="B5" s="1"/>
      <c r="C5" s="1"/>
      <c r="G5" s="19"/>
      <c r="M5" s="2"/>
      <c r="N5" s="262"/>
    </row>
    <row r="6" spans="1:28">
      <c r="A6" s="1"/>
      <c r="B6" s="1"/>
      <c r="C6" s="1"/>
    </row>
    <row r="7" spans="1:28">
      <c r="A7" s="19"/>
      <c r="B7" s="1"/>
      <c r="C7" s="1"/>
      <c r="M7" s="2"/>
      <c r="N7" s="187"/>
    </row>
    <row r="8" spans="1:28">
      <c r="A8" s="19"/>
      <c r="B8" s="1"/>
      <c r="C8" s="1"/>
    </row>
    <row r="9" spans="1:28">
      <c r="A9" s="19"/>
      <c r="B9" s="215"/>
      <c r="C9" s="1"/>
    </row>
    <row r="10" spans="1:28">
      <c r="A10" s="260"/>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60"/>
      <c r="B16" s="19"/>
      <c r="C16" s="1"/>
      <c r="D16" s="1"/>
      <c r="E16" s="1"/>
      <c r="F16" s="148"/>
    </row>
    <row r="17" spans="1:15">
      <c r="A17" s="260"/>
      <c r="B17" s="19"/>
      <c r="C17" s="1"/>
      <c r="D17" s="1"/>
      <c r="E17" s="1"/>
      <c r="F17" s="70"/>
    </row>
    <row r="18" spans="1:15">
      <c r="A18" s="1"/>
      <c r="B18" s="19"/>
      <c r="C18" s="1"/>
      <c r="D18" s="1"/>
      <c r="E18" s="1"/>
      <c r="M18" s="2"/>
      <c r="N18" s="187"/>
    </row>
    <row r="19" spans="1:15">
      <c r="A19" s="1"/>
      <c r="B19" s="19"/>
      <c r="C19" s="1"/>
      <c r="D19" s="1"/>
      <c r="E19" s="1"/>
      <c r="O19" s="224"/>
    </row>
    <row r="20" spans="1:15">
      <c r="A20" s="1"/>
      <c r="B20" s="19"/>
      <c r="C20" s="1"/>
      <c r="D20" s="1"/>
      <c r="E20" s="1"/>
      <c r="O20" s="224"/>
    </row>
    <row r="21" spans="1:15">
      <c r="A21" s="1"/>
      <c r="B21" s="19"/>
      <c r="C21" s="1"/>
      <c r="D21" s="1"/>
      <c r="E21" s="1"/>
      <c r="O21" s="224"/>
    </row>
    <row r="22" spans="1:15">
      <c r="A22" s="1"/>
      <c r="B22" s="19"/>
      <c r="C22" s="1"/>
      <c r="D22" s="1"/>
      <c r="E22" s="1"/>
      <c r="O22" s="224"/>
    </row>
    <row r="23" spans="1:15">
      <c r="A23" s="1"/>
      <c r="B23" s="19"/>
      <c r="C23" s="1"/>
      <c r="D23" s="1"/>
      <c r="E23" s="1"/>
      <c r="O23" s="224"/>
    </row>
    <row r="24" spans="1:15">
      <c r="A24" s="1"/>
      <c r="B24" s="19"/>
      <c r="C24" s="1"/>
      <c r="D24" s="1"/>
      <c r="E24" s="1"/>
      <c r="O24" s="224"/>
    </row>
    <row r="25" spans="1:15">
      <c r="A25" s="1"/>
      <c r="B25" s="19"/>
      <c r="C25" s="1"/>
      <c r="D25" s="1"/>
      <c r="E25" s="1"/>
      <c r="O25" s="224"/>
    </row>
    <row r="26" spans="1:15">
      <c r="A26" s="1"/>
      <c r="B26" s="19"/>
      <c r="C26" s="1"/>
      <c r="D26" s="1"/>
      <c r="E26" s="1"/>
      <c r="O26" s="224"/>
    </row>
    <row r="27" spans="1:15">
      <c r="A27" s="1"/>
      <c r="B27" s="19"/>
      <c r="C27" s="1"/>
      <c r="O27" s="224"/>
    </row>
    <row r="28" spans="1:15">
      <c r="A28" s="1"/>
      <c r="B28" s="19"/>
      <c r="C28" s="1"/>
      <c r="O28" s="224"/>
    </row>
    <row r="29" spans="1:15">
      <c r="A29" s="1"/>
      <c r="B29" s="19"/>
      <c r="C29" s="1"/>
      <c r="O29" s="224"/>
    </row>
    <row r="30" spans="1:15">
      <c r="A30" s="1"/>
      <c r="B30" s="19"/>
      <c r="C30" s="1"/>
      <c r="O30" s="224"/>
    </row>
    <row r="31" spans="1:15">
      <c r="A31" s="1"/>
      <c r="B31" s="19"/>
      <c r="C31" s="1"/>
      <c r="O31" s="224"/>
    </row>
    <row r="32" spans="1:15">
      <c r="A32" s="19"/>
      <c r="B32" s="19"/>
      <c r="C32" s="1"/>
      <c r="O32" s="224"/>
    </row>
    <row r="33" spans="1:15">
      <c r="A33" s="1"/>
      <c r="B33" s="19"/>
      <c r="C33" s="1"/>
      <c r="O33" s="224"/>
    </row>
    <row r="34" spans="1:15">
      <c r="A34" s="1"/>
      <c r="B34" s="19"/>
      <c r="C34" s="1"/>
      <c r="O34" s="224"/>
    </row>
    <row r="35" spans="1:15">
      <c r="A35" s="1"/>
      <c r="B35" s="19"/>
      <c r="C35" s="1"/>
      <c r="O35" s="224"/>
    </row>
    <row r="36" spans="1:15">
      <c r="A36" s="1"/>
      <c r="B36" s="19"/>
      <c r="C36" s="1"/>
      <c r="O36" s="224"/>
    </row>
    <row r="37" spans="1:15">
      <c r="A37" s="1"/>
      <c r="B37" s="19"/>
      <c r="C37" s="1"/>
      <c r="O37" s="224"/>
    </row>
    <row r="38" spans="1:15">
      <c r="A38" s="1"/>
      <c r="B38" s="19"/>
      <c r="C38" s="1"/>
      <c r="O38" s="224"/>
    </row>
    <row r="39" spans="1:15">
      <c r="C39" s="1"/>
      <c r="O39" s="224"/>
    </row>
    <row r="40" spans="1:15">
      <c r="C40" s="1"/>
      <c r="O40" s="224"/>
    </row>
    <row r="41" spans="1:15">
      <c r="A41" s="1"/>
      <c r="B41" s="19"/>
      <c r="C41" s="1"/>
      <c r="O41" s="224"/>
    </row>
    <row r="42" spans="1:15">
      <c r="C42" s="1"/>
      <c r="O42" s="224"/>
    </row>
    <row r="43" spans="1:15">
      <c r="A43" s="225"/>
      <c r="C43" s="1"/>
      <c r="O43" s="224"/>
    </row>
    <row r="44" spans="1:15">
      <c r="A44" s="225"/>
      <c r="C44" s="1"/>
      <c r="O44" s="224"/>
    </row>
    <row r="45" spans="1:15">
      <c r="A45" s="225"/>
      <c r="C45" s="1"/>
    </row>
    <row r="46" spans="1:15">
      <c r="A46" s="225"/>
      <c r="C46" s="1"/>
    </row>
    <row r="47" spans="1:15">
      <c r="A47" s="225"/>
      <c r="C47" s="1"/>
    </row>
    <row r="48" spans="1:15">
      <c r="A48" s="225"/>
      <c r="C48" s="1"/>
    </row>
    <row r="49" spans="1:3">
      <c r="A49" s="225"/>
      <c r="C49" s="1"/>
    </row>
    <row r="50" spans="1:3">
      <c r="A50" s="225"/>
      <c r="C50" s="1"/>
    </row>
    <row r="51" spans="1:3">
      <c r="A51" s="225"/>
      <c r="C51" s="1"/>
    </row>
    <row r="52" spans="1:3">
      <c r="A52" s="225"/>
      <c r="C52" s="1"/>
    </row>
    <row r="53" spans="1:3">
      <c r="A53" s="225"/>
      <c r="C53" s="1"/>
    </row>
    <row r="54" spans="1:3">
      <c r="A54" s="225"/>
      <c r="C54" s="1"/>
    </row>
    <row r="55" spans="1:3">
      <c r="A55" s="225"/>
      <c r="C55" s="1"/>
    </row>
    <row r="56" spans="1:3">
      <c r="A56" s="225"/>
      <c r="C56" s="1"/>
    </row>
    <row r="57" spans="1:3">
      <c r="A57" s="225"/>
      <c r="C57" s="1"/>
    </row>
    <row r="58" spans="1:3">
      <c r="A58" s="225"/>
      <c r="C58" s="1"/>
    </row>
    <row r="59" spans="1:3">
      <c r="A59" s="225"/>
      <c r="C59" s="1"/>
    </row>
    <row r="60" spans="1:3">
      <c r="A60" s="225"/>
      <c r="C60" s="1"/>
    </row>
    <row r="61" spans="1:3">
      <c r="A61" s="225"/>
      <c r="C61" s="1"/>
    </row>
    <row r="62" spans="1:3">
      <c r="A62" s="225"/>
      <c r="C62" s="1"/>
    </row>
    <row r="63" spans="1:3">
      <c r="A63" s="225"/>
      <c r="C63" s="1"/>
    </row>
    <row r="64" spans="1:3">
      <c r="A64" s="225"/>
      <c r="C64" s="1"/>
    </row>
    <row r="65" spans="1:22">
      <c r="A65" s="225"/>
      <c r="C65" s="1"/>
      <c r="N65" s="187"/>
    </row>
    <row r="66" spans="1:22">
      <c r="A66" s="225"/>
      <c r="C66" s="1"/>
      <c r="N66" s="187"/>
    </row>
    <row r="67" spans="1:22">
      <c r="A67" s="225"/>
      <c r="C67" s="1"/>
    </row>
    <row r="68" spans="1:22">
      <c r="A68" s="225"/>
      <c r="C68" s="1"/>
    </row>
    <row r="69" spans="1:22">
      <c r="A69" s="225"/>
      <c r="C69" s="1"/>
    </row>
    <row r="70" spans="1:22">
      <c r="A70" s="225"/>
      <c r="C70" s="1"/>
      <c r="N70" s="187"/>
    </row>
    <row r="71" spans="1:22">
      <c r="A71" s="225"/>
      <c r="C71" s="1"/>
    </row>
    <row r="72" spans="1:22">
      <c r="A72" s="225"/>
      <c r="C72" s="1"/>
    </row>
    <row r="73" spans="1:22">
      <c r="A73" s="225"/>
      <c r="C73" s="1"/>
    </row>
    <row r="74" spans="1:22">
      <c r="A74" s="225"/>
      <c r="C74" s="1"/>
    </row>
    <row r="75" spans="1:22">
      <c r="A75" s="225"/>
      <c r="C75" s="1"/>
    </row>
    <row r="76" spans="1:22">
      <c r="A76" s="225"/>
      <c r="C76" s="1"/>
    </row>
    <row r="77" spans="1:22">
      <c r="A77" s="225"/>
      <c r="C77" s="1"/>
    </row>
    <row r="78" spans="1:22">
      <c r="A78" s="19"/>
      <c r="C78" s="1"/>
    </row>
    <row r="79" spans="1:22" s="227" customFormat="1">
      <c r="A79" s="226"/>
      <c r="C79" s="228"/>
      <c r="F79" s="229"/>
      <c r="J79" s="230"/>
      <c r="K79" s="230"/>
      <c r="M79" s="231"/>
      <c r="N79" s="232"/>
      <c r="O79" s="224"/>
      <c r="P79" s="224"/>
      <c r="Q79" s="224"/>
      <c r="R79" s="224"/>
      <c r="S79" s="224"/>
      <c r="T79" s="224"/>
      <c r="U79" s="224"/>
      <c r="V79" s="224"/>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B2" sqref="B2"/>
    </sheetView>
  </sheetViews>
  <sheetFormatPr defaultRowHeight="15"/>
  <cols>
    <col min="1" max="1" width="159.5703125" style="283" customWidth="1"/>
    <col min="2" max="2" width="62.42578125" style="283" customWidth="1"/>
    <col min="3" max="3" width="38.42578125" style="283" bestFit="1" customWidth="1"/>
  </cols>
  <sheetData>
    <row r="1" spans="1:1" ht="21" customHeight="1">
      <c r="A1" s="30" t="s">
        <v>160</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3" customWidth="1"/>
    <col min="2" max="2" width="26.7109375" style="283" customWidth="1"/>
    <col min="3" max="3" width="31.42578125" style="283" customWidth="1"/>
    <col min="4" max="4" width="44.5703125" style="283" customWidth="1"/>
    <col min="5" max="5" width="31.85546875" style="283" customWidth="1"/>
    <col min="6" max="6" width="34.5703125" style="283" customWidth="1"/>
    <col min="7" max="7" width="35.28515625" style="283" customWidth="1"/>
    <col min="8" max="8" width="40" style="283" customWidth="1"/>
    <col min="9" max="9" width="30.42578125" style="283" bestFit="1" customWidth="1"/>
    <col min="10" max="11" width="38.5703125" style="283" customWidth="1"/>
    <col min="12" max="12" width="37.140625" style="283" customWidth="1"/>
    <col min="13" max="13" width="47.140625" style="283" customWidth="1"/>
    <col min="14" max="14" width="27" style="283" customWidth="1"/>
    <col min="15" max="15" width="36.5703125" style="283" customWidth="1"/>
    <col min="16" max="16" width="59.28515625" style="283" customWidth="1"/>
  </cols>
  <sheetData>
    <row r="1" spans="1:47">
      <c r="A1" s="107" t="str">
        <f t="array" aca="1" ref="A1" ca="1">IF(TRIM(INDIRECT("Columns!H2"))="","", "dim1 - " &amp; INDIRECT("Columns!H2"))</f>
        <v>dim1 - 1</v>
      </c>
      <c r="B1" s="58"/>
      <c r="C1" s="247"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161</v>
      </c>
      <c r="M2" t="s">
        <v>162</v>
      </c>
      <c r="N2" t="s">
        <v>163</v>
      </c>
      <c r="O2" t="s">
        <v>164</v>
      </c>
      <c r="P2" t="s">
        <v>165</v>
      </c>
    </row>
    <row r="3" spans="1:47" ht="15.75" customHeight="1" thickBot="1">
      <c r="A3" s="67" t="s">
        <v>166</v>
      </c>
      <c r="B3" s="68" t="s">
        <v>167</v>
      </c>
      <c r="C3" s="30" t="s">
        <v>166</v>
      </c>
      <c r="D3" s="30" t="s">
        <v>168</v>
      </c>
      <c r="E3" s="30" t="s">
        <v>166</v>
      </c>
      <c r="F3" s="30" t="s">
        <v>168</v>
      </c>
      <c r="G3" s="67" t="s">
        <v>166</v>
      </c>
      <c r="H3" s="68" t="s">
        <v>168</v>
      </c>
      <c r="I3" s="67" t="s">
        <v>169</v>
      </c>
      <c r="J3" s="68" t="s">
        <v>168</v>
      </c>
      <c r="K3" s="221"/>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3"/>
      <c r="B4" s="264"/>
      <c r="C4" s="263"/>
      <c r="D4" s="264"/>
      <c r="E4" s="256"/>
      <c r="F4" s="257"/>
      <c r="G4" s="265"/>
      <c r="H4" s="266"/>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1"/>
      <c r="B5" s="242"/>
      <c r="C5" s="243"/>
      <c r="D5" s="243"/>
      <c r="E5" s="244"/>
      <c r="F5" s="241"/>
      <c r="G5" s="258"/>
      <c r="H5" s="258"/>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2"/>
      <c r="B6" s="223"/>
      <c r="C6" s="245"/>
      <c r="D6" s="245"/>
      <c r="E6" s="53"/>
      <c r="F6" s="51"/>
      <c r="G6" s="259"/>
      <c r="H6" s="259"/>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2"/>
      <c r="B7" s="223"/>
      <c r="C7" s="243"/>
      <c r="D7" s="246"/>
      <c r="E7" s="53"/>
      <c r="F7" s="51"/>
      <c r="G7" s="259"/>
      <c r="H7" s="259"/>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170</v>
      </c>
      <c r="M47" t="s">
        <v>171</v>
      </c>
      <c r="N47" t="s">
        <v>172</v>
      </c>
      <c r="O47" t="s">
        <v>173</v>
      </c>
      <c r="P47" t="s">
        <v>174</v>
      </c>
      <c r="Q47" t="s">
        <v>175</v>
      </c>
      <c r="R47" t="s">
        <v>176</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3"/>
      <c r="M60" s="254"/>
      <c r="N60" s="254"/>
      <c r="O60" s="254"/>
      <c r="P60" s="254"/>
      <c r="Q60" s="254"/>
      <c r="R60" s="254"/>
      <c r="S60" s="254"/>
      <c r="T60" s="254"/>
      <c r="U60" s="254"/>
      <c r="V60" s="254"/>
      <c r="W60" s="254"/>
      <c r="X60" s="254"/>
      <c r="Y60" s="254"/>
      <c r="Z60" s="254"/>
      <c r="AA60" s="254"/>
      <c r="AB60" s="254"/>
      <c r="AC60" s="255"/>
    </row>
    <row r="61" spans="12:29">
      <c r="Q61" s="253" t="str">
        <f>_xlfn.TEXTJOIN(", ",TRUE,Q48:Q59)</f>
        <v/>
      </c>
      <c r="R61" s="254" t="str">
        <f>_xlfn.TEXTJOIN(", ",TRUE,R48:R59)</f>
        <v/>
      </c>
      <c r="S61" s="254" t="str">
        <f>_xlfn.TEXTJOIN(", ",TRUE,S48:S59)</f>
        <v/>
      </c>
      <c r="T61" s="254" t="str">
        <f>_xlfn.TEXTJOIN(", ",TRUE,T48:T59)</f>
        <v/>
      </c>
      <c r="U61" s="255" t="str">
        <f>_xlfn.TEXTJOIN(", ",TRUE,U48:U59)</f>
        <v/>
      </c>
    </row>
    <row r="63" spans="12:29">
      <c r="P63" t="s">
        <v>177</v>
      </c>
      <c r="Q63" s="248"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178</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3" customWidth="1"/>
  </cols>
  <sheetData>
    <row r="1" spans="2:2" ht="15.75" customHeight="1" thickBot="1">
      <c r="B1" s="130" t="s">
        <v>19</v>
      </c>
    </row>
    <row r="2" spans="2:2" ht="260.25" customHeight="1" thickBot="1">
      <c r="B2" s="98" t="s">
        <v>179</v>
      </c>
    </row>
    <row r="5" spans="2:2" ht="15.75" customHeight="1" thickBot="1">
      <c r="B5" t="s">
        <v>180</v>
      </c>
    </row>
    <row r="6" spans="2:2" ht="168" customHeight="1" thickBot="1">
      <c r="B6" s="98" t="s">
        <v>181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3" customWidth="1"/>
    <col min="2" max="2" width="24.140625" style="283" customWidth="1"/>
    <col min="3" max="3" width="63.5703125" style="283" customWidth="1"/>
  </cols>
  <sheetData>
    <row r="1" spans="1:3">
      <c r="A1" s="30" t="s">
        <v>182</v>
      </c>
      <c r="B1" s="30" t="s">
        <v>183</v>
      </c>
      <c r="C1" t="s">
        <v>184</v>
      </c>
    </row>
    <row r="2" spans="1:3">
      <c r="A2" t="s">
        <v>185</v>
      </c>
      <c r="B2" t="s">
        <v>186</v>
      </c>
    </row>
    <row r="3" spans="1:3">
      <c r="A3" t="s">
        <v>187</v>
      </c>
      <c r="B3" t="s">
        <v>186</v>
      </c>
    </row>
    <row r="4" spans="1:3">
      <c r="A4" t="s">
        <v>188</v>
      </c>
      <c r="B4" t="s">
        <v>189</v>
      </c>
      <c r="C4" t="s">
        <v>190</v>
      </c>
    </row>
    <row r="5" spans="1:3">
      <c r="A5" t="s">
        <v>191</v>
      </c>
      <c r="B5" t="s">
        <v>192</v>
      </c>
    </row>
    <row r="7" spans="1:3">
      <c r="A7" t="s">
        <v>193</v>
      </c>
      <c r="B7" t="s">
        <v>194</v>
      </c>
      <c r="C7" t="s">
        <v>195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83" customWidth="1"/>
    <col min="2" max="2" width="94.140625" style="283" customWidth="1"/>
    <col min="3" max="3" width="36.140625" style="283" customWidth="1"/>
    <col min="4" max="4" width="30.140625" style="283" bestFit="1" customWidth="1"/>
  </cols>
  <sheetData>
    <row r="2" spans="1:4">
      <c r="A2" t="s">
        <v>196</v>
      </c>
      <c r="B2">
        <f>Options!B34</f>
        <v>0</v>
      </c>
    </row>
    <row r="3" spans="1:4" ht="22.5" customHeight="1" thickBot="1">
      <c r="A3" t="s">
        <v>197</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73</v>
      </c>
      <c r="B10">
        <f>Options!B35</f>
        <v>0</v>
      </c>
    </row>
    <row r="13" spans="1:4">
      <c r="A13" t="s">
        <v>198</v>
      </c>
      <c r="B13" t="s">
        <v>199</v>
      </c>
      <c r="C13" t="str">
        <f>B13&amp;"."&amp;B15</f>
        <v>snapshot_vlar.vlar_current</v>
      </c>
      <c r="D13" t="s">
        <v>200</v>
      </c>
    </row>
    <row r="15" spans="1:4">
      <c r="A15" t="s">
        <v>201</v>
      </c>
      <c r="B15" t="s">
        <v>202</v>
      </c>
    </row>
    <row r="18" spans="1:3">
      <c r="A18" t="s">
        <v>203</v>
      </c>
      <c r="B18" t="s">
        <v>204</v>
      </c>
    </row>
    <row r="19" spans="1:3">
      <c r="A19" t="s">
        <v>205</v>
      </c>
      <c r="B19" t="s">
        <v>206</v>
      </c>
    </row>
    <row r="22" spans="1:3" ht="71.25" customHeight="1">
      <c r="A22" s="300" t="s">
        <v>207</v>
      </c>
      <c r="B22" s="296"/>
      <c r="C22" s="296"/>
    </row>
    <row r="24" spans="1:3">
      <c r="A24" t="s">
        <v>208</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COALESCE(wkVehicle,0) AS wkVehicle, 1 AS has_communicated_last_90_days, COALESCE(lake_arrival_date,'') AS lake_arrival_date,  CAST(timestamp AS timestamp)  AS last_modified_timestamp, CAST(read_out_date as timestamp) As load_date,purpose_code  FROM staged.conrepo_activationdtp_p f LEFT JOIN snapshot_vlar.vlar_current vlar ON f.0 = vlar.vpi WHERE CASE WHEN vlar.purpose_code IS NOT NULL THEN current_date BETWEEN vlar.usage_from AND vlar.usage_to ELSE 1=1 END), _dma2 as ( SELECT * FROM _dma WHERE _dma.purpose_code IS NULL or _dma.purpose_code IN ('P3','RND','0'))</v>
      </c>
      <c r="B25" s="285" t="str">
        <f ca="1">A25 &amp; " SELECT * from _dma2 limit 10"</f>
        <v>WITH _dma AS (SELECT COALESCE(wkVehicle,0) AS wkVehicle, 1 AS has_communicated_last_90_days, COALESCE(lake_arrival_date,'') AS lake_arrival_date,  CAST(timestamp AS timestamp)  AS last_modified_timestamp, CAST(read_out_date as timestamp) As load_date,purpose_code  FROM staged.conrepo_activationdtp_p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83" bestFit="1" customWidth="1"/>
    <col min="3" max="3" width="39" style="283" customWidth="1"/>
    <col min="4" max="4" width="35" style="283" customWidth="1"/>
    <col min="5" max="5" width="28.5703125" style="283" customWidth="1"/>
  </cols>
  <sheetData>
    <row r="1" spans="1:5" s="287" customFormat="1" ht="30" customHeight="1">
      <c r="A1" s="286"/>
      <c r="B1" s="301" t="s">
        <v>209</v>
      </c>
      <c r="C1" s="302"/>
      <c r="D1" s="302"/>
      <c r="E1" s="302"/>
    </row>
    <row r="3" spans="1:5">
      <c r="A3" t="s">
        <v>210</v>
      </c>
      <c r="B3" t="s">
        <v>211</v>
      </c>
      <c r="C3" t="s">
        <v>212</v>
      </c>
      <c r="D3" t="s">
        <v>213</v>
      </c>
    </row>
    <row r="4" spans="1:5">
      <c r="A4">
        <v>1</v>
      </c>
      <c r="B4" t="s">
        <v>214</v>
      </c>
      <c r="C4" t="b">
        <f>IF(AND(Options!B34=1,Options!B35=""),TRUE,FALSE)</f>
        <v>0</v>
      </c>
      <c r="D4" t="s">
        <v>196</v>
      </c>
      <c r="E4">
        <f t="shared" ref="E4:E35" si="0">IF(C4=TRUE,1,0)</f>
        <v>0</v>
      </c>
    </row>
    <row r="5" spans="1:5">
      <c r="A5">
        <v>2</v>
      </c>
      <c r="B5" t="s">
        <v>215</v>
      </c>
      <c r="C5" t="b">
        <f>IF(AND(Options!B19=0,Options!B10=""),TRUE,FALSE)</f>
        <v>0</v>
      </c>
      <c r="D5" t="s">
        <v>216</v>
      </c>
      <c r="E5">
        <f t="shared" si="0"/>
        <v>0</v>
      </c>
    </row>
    <row r="6" spans="1:5">
      <c r="A6">
        <v>3</v>
      </c>
      <c r="B6" t="s">
        <v>217</v>
      </c>
      <c r="C6" t="b">
        <f>IF(AND(Options!B19=1,'Custom Source View'!A2=""),TRUE,FALSE)</f>
        <v>0</v>
      </c>
      <c r="D6" t="s">
        <v>218</v>
      </c>
      <c r="E6">
        <f t="shared" si="0"/>
        <v>0</v>
      </c>
    </row>
    <row r="7" spans="1:5">
      <c r="A7">
        <v>4</v>
      </c>
      <c r="B7" t="s">
        <v>219</v>
      </c>
      <c r="C7" t="b">
        <f>IF(Options!B24="",TRUE,FALSE)</f>
        <v>0</v>
      </c>
      <c r="D7" t="s">
        <v>220</v>
      </c>
      <c r="E7">
        <f t="shared" si="0"/>
        <v>0</v>
      </c>
    </row>
    <row r="8" spans="1:5">
      <c r="A8">
        <v>6</v>
      </c>
      <c r="B8" t="s">
        <v>221</v>
      </c>
      <c r="C8" t="b">
        <f ca="1">IF(HELPER!B7="",TRUE,FALSE)</f>
        <v>0</v>
      </c>
      <c r="D8" t="s">
        <v>220</v>
      </c>
      <c r="E8">
        <f t="shared" ca="1" si="0"/>
        <v>0</v>
      </c>
    </row>
    <row r="9" spans="1:5">
      <c r="A9">
        <v>7</v>
      </c>
      <c r="B9" t="s">
        <v>222</v>
      </c>
      <c r="C9" t="b">
        <f ca="1">IF(AND(Options!B31=1,HELPER!B21=""),TRUE,FALSE)</f>
        <v>0</v>
      </c>
      <c r="D9" t="s">
        <v>220</v>
      </c>
      <c r="E9">
        <f t="shared" ca="1" si="0"/>
        <v>0</v>
      </c>
    </row>
    <row r="10" spans="1:5">
      <c r="A10">
        <v>8</v>
      </c>
      <c r="B10" t="s">
        <v>223</v>
      </c>
      <c r="C10" t="b">
        <f ca="1">IF(HELPER!B10="",TRUE,FALSE)</f>
        <v>0</v>
      </c>
      <c r="D10" t="s">
        <v>220</v>
      </c>
      <c r="E10">
        <f t="shared" ca="1" si="0"/>
        <v>0</v>
      </c>
    </row>
    <row r="11" spans="1:5">
      <c r="A11">
        <v>9</v>
      </c>
      <c r="B11" t="s">
        <v>224</v>
      </c>
      <c r="C11" t="b">
        <f>IF(AND(Options!B31=1,'Volvo DMA'!C4=""),TRUE,FALSE)</f>
        <v>0</v>
      </c>
      <c r="D11" t="s">
        <v>196</v>
      </c>
      <c r="E11">
        <f t="shared" si="0"/>
        <v>0</v>
      </c>
    </row>
    <row r="12" spans="1:5">
      <c r="A12">
        <v>10</v>
      </c>
      <c r="B12" t="s">
        <v>225</v>
      </c>
      <c r="C12" t="b">
        <f>IF(Options!B28="",TRUE,FALSE)</f>
        <v>0</v>
      </c>
      <c r="D12" t="s">
        <v>226</v>
      </c>
      <c r="E12">
        <f t="shared" si="0"/>
        <v>0</v>
      </c>
    </row>
    <row r="13" spans="1:5">
      <c r="A13">
        <v>11</v>
      </c>
      <c r="B13" t="s">
        <v>227</v>
      </c>
      <c r="C13" t="b">
        <f>IF(Options!B23="",TRUE,FALSE)</f>
        <v>0</v>
      </c>
      <c r="D13" t="s">
        <v>228</v>
      </c>
      <c r="E13">
        <f t="shared" si="0"/>
        <v>0</v>
      </c>
    </row>
    <row r="14" spans="1:5">
      <c r="A14">
        <v>12</v>
      </c>
      <c r="B14" t="str">
        <f>"'Is Dimensional' is not set to 0 or 1." &amp; IF(C14=TRUE,"The current value is:" &amp; Options!B31,"")</f>
        <v>'Is Dimensional' is not set to 0 or 1.</v>
      </c>
      <c r="C14" t="b">
        <f>IF(OR(Options!B31=1,Options!B31=0),FALSE,TRUE)</f>
        <v>0</v>
      </c>
      <c r="D14" t="s">
        <v>220</v>
      </c>
      <c r="E14">
        <f t="shared" si="0"/>
        <v>0</v>
      </c>
    </row>
    <row r="15" spans="1:5">
      <c r="A15">
        <v>13</v>
      </c>
      <c r="B15" s="2" t="s">
        <v>229</v>
      </c>
      <c r="C15" t="b">
        <f>IF(OR(Options!B19=0,Options!B19=1),FALSE,TRUE)</f>
        <v>0</v>
      </c>
      <c r="D15" t="s">
        <v>218</v>
      </c>
      <c r="E15">
        <f t="shared" si="0"/>
        <v>0</v>
      </c>
    </row>
    <row r="16" spans="1:5">
      <c r="A16">
        <v>14</v>
      </c>
      <c r="B16" t="s">
        <v>230</v>
      </c>
      <c r="C16" t="b">
        <f>IF(AND(Options!B19=0,Options!B11=""),TRUE,FALSE)</f>
        <v>0</v>
      </c>
      <c r="D16" t="s">
        <v>231</v>
      </c>
      <c r="E16">
        <f t="shared" si="0"/>
        <v>0</v>
      </c>
    </row>
    <row r="17" spans="1:5">
      <c r="A17">
        <v>15</v>
      </c>
      <c r="B17" t="s">
        <v>232</v>
      </c>
      <c r="C17" t="b">
        <f>IF(Options!B19=1, IF(OR(LEFT('Custom Source View'!A2,4)="WITH",LEFT('Custom Source View'!A2,6)="SELECT"),FALSE,TRUE),FALSE)</f>
        <v>0</v>
      </c>
      <c r="D17" t="s">
        <v>218</v>
      </c>
      <c r="E17">
        <f t="shared" si="0"/>
        <v>0</v>
      </c>
    </row>
    <row r="18" spans="1:5">
      <c r="A18">
        <v>16</v>
      </c>
      <c r="B18" t="s">
        <v>233</v>
      </c>
      <c r="C18" t="b">
        <f>IF(OR( ISNUMBER(SEARCH( "create view", 'Custom Source View'!A2)),ISNUMBER(SEARCH("create or replace",'Custom Source View'!A2))),TRUE,FALSE)</f>
        <v>0</v>
      </c>
      <c r="D18" t="s">
        <v>218</v>
      </c>
      <c r="E18">
        <f t="shared" si="0"/>
        <v>0</v>
      </c>
    </row>
    <row r="19" spans="1:5">
      <c r="A19">
        <v>17</v>
      </c>
      <c r="B19" t="str">
        <f ca="1">"Number of duplicated  column names in the target table: " &amp; HELPER!B161</f>
        <v>Number of duplicated  column names in the target table: 0</v>
      </c>
      <c r="C19" t="b">
        <f ca="1">IF(HELPER!B161&gt;0,TRUE,FALSE)</f>
        <v>0</v>
      </c>
      <c r="D19" t="s">
        <v>220</v>
      </c>
      <c r="E19">
        <f t="shared" ca="1" si="0"/>
        <v>0</v>
      </c>
    </row>
    <row r="20" spans="1:5">
      <c r="A20">
        <v>18</v>
      </c>
      <c r="B20" t="s">
        <v>234</v>
      </c>
      <c r="C20" t="b">
        <f>IF(Options!B19=1, IF(ISNUMBER(SEARCH("SELECT",'Custom Source View'!A2)),FALSE,TRUE),FALSE)</f>
        <v>0</v>
      </c>
      <c r="D20" t="s">
        <v>218</v>
      </c>
      <c r="E20">
        <f t="shared" si="0"/>
        <v>0</v>
      </c>
    </row>
    <row r="21" spans="1:5">
      <c r="A21">
        <v>19</v>
      </c>
      <c r="B21" t="s">
        <v>235</v>
      </c>
      <c r="C21" t="b">
        <f ca="1">IF(HELPER!B163=0,TRUE,FALSE)</f>
        <v>0</v>
      </c>
      <c r="D21" t="s">
        <v>220</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236</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50"/>
  <sheetViews>
    <sheetView zoomScale="94" workbookViewId="0">
      <selection activeCell="B56" sqref="B56"/>
    </sheetView>
  </sheetViews>
  <sheetFormatPr defaultRowHeight="15"/>
  <cols>
    <col min="1" max="1" width="66.85546875" style="283" customWidth="1"/>
    <col min="2" max="2" width="174.140625" style="283" customWidth="1"/>
    <col min="3" max="3" width="89.7109375" style="283" customWidth="1"/>
    <col min="4" max="4" width="27.140625" style="283" customWidth="1"/>
    <col min="5" max="5" width="7.5703125" style="279" customWidth="1"/>
    <col min="6" max="6" width="104.42578125" style="279" customWidth="1"/>
    <col min="7" max="7" width="90.42578125" style="283" customWidth="1"/>
  </cols>
  <sheetData>
    <row r="1" spans="1:49" s="221" customFormat="1">
      <c r="A1" s="30" t="s">
        <v>237</v>
      </c>
      <c r="B1" s="30" t="s">
        <v>238</v>
      </c>
      <c r="C1" s="30" t="s">
        <v>153</v>
      </c>
      <c r="D1" s="30" t="s">
        <v>239</v>
      </c>
      <c r="E1" s="279"/>
      <c r="F1" s="279" t="str">
        <f>"&lt;th&gt;Variable&lt;/th&gt;&lt;th&gt;Sample Value&lt;/th&gt;&lt;th&gt;comment&lt;/th&gt;"</f>
        <v>&lt;th&gt;Variable&lt;/th&gt;&lt;th&gt;Sample Value&lt;/th&gt;&lt;th&gt;comment&lt;/th&gt;</v>
      </c>
      <c r="G1" s="280" t="str">
        <f ca="1">"&lt;table&gt;" &amp; F1 &amp; G2 &amp; "&lt;/table&gt;"</f>
        <v>&lt;table&gt;&lt;th&gt;Variable&lt;/th&gt;&lt;th&gt;Sample Value&lt;/th&gt;&lt;th&gt;comment&lt;/th&gt;&lt;tr&gt;&lt;td&gt;[:REPLACE_CURRENT_DATE]&lt;/td&gt;&lt;td&gt;2024-01-25 18:45&lt;td&gt;Current Date&lt;/td&gt;  &lt;/tr&gt;&lt;tr&gt;&lt;td&gt;[:REPLACE_CODEGEN_VERSION]&lt;/td&gt;&lt;td&gt;118&lt;td&gt;Version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&lt;/tr&gt;&lt;tr&gt;&lt;td&gt;[:REPLACE_FULL_SOURCE_TABLE_NAME]&lt;/td&gt;&lt;td&gt;staged.conrepo_activationdtp_p&lt;td&gt;&lt;/td&gt;  &lt;/tr&gt;&lt;tr&gt;&lt;td&gt;[:REPLACE_SOURCE_TABLE_NAME]&lt;/td&gt;&lt;td&gt;conrepo_activationdtp_p&lt;td&gt;&lt;/td&gt;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&lt;td&gt;&lt;/td&gt;  &lt;/tr&gt;&lt;tr&gt;&lt;td&gt;[:REPLACE_DROP_STAGE_VIEW]&lt;/td&gt;&lt;td&gt;drop view uc0039.source_factVCSSLast90_[:date_yyyy&lt;td&gt;&lt;/td&gt;  &lt;/tr&gt;&lt;tr&gt;&lt;td&gt;[:REPLACE_DROP_SOURCE_VIEW]&lt;/td&gt;&lt;td&gt;select current_date --just so we do not try to exe&lt;td&gt;&lt;/td&gt;  &lt;/tr&gt;&lt;tr&gt;&lt;td&gt;[:REPLACE_SOURCE_VIEW_NAME]&lt;/td&gt;&lt;td&gt;staged.conrepo_activationdtp_p&lt;td&gt;&lt;/td&gt;  &lt;/tr&gt;&lt;tr&gt;&lt;td&gt;[:REPLACE_SOURCE_VIEW]&lt;/td&gt;&lt;td&gt;select current_date --just so we do not try to exe&lt;td&gt;&lt;/td&gt;  &lt;/tr&gt;&lt;tr&gt;&lt;td&gt;[:REPLACE_IS_SOURCE_VIEW_IN_USE]&lt;/td&gt;&lt;td&gt;0&lt;td&gt;&lt;/td&gt;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staged.conrepo_a&lt;td&gt;&lt;/td&gt;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&lt;/tr&gt;&lt;tr&gt;&lt;td&gt;[:REPLACE_SQL_CUSTOM_SOURCE_VIEW]&lt;/td&gt;&lt;td&gt;SELECT * FROM staged.conrepo_activationdtp_p&lt;td&gt;&lt;/td&gt;  &lt;/tr&gt;&lt;tr&gt;&lt;td&gt;[:REPLACE_SELECT_STAR_FROM_SOURCE_TABLE]&lt;/td&gt;&lt;td&gt;SELECT * FROM staged.conrepo_activationdtp_p&lt;td&gt;&lt;/td&gt;  &lt;/tr&gt;&lt;/table&gt;</v>
      </c>
    </row>
    <row r="2" spans="1:49" s="280" customFormat="1">
      <c r="A2" s="280" t="s">
        <v>240</v>
      </c>
      <c r="B2" s="203" t="str">
        <f ca="1">TEXT( NOW(),"åååå-MM-DD tt:mm")</f>
        <v>2024-01-25 18:45</v>
      </c>
      <c r="C2" s="280" t="s">
        <v>241</v>
      </c>
      <c r="E2" s="279">
        <f t="shared" ref="E2:E33" si="0">IF(LEFT(A2,2)="[:",1,0)</f>
        <v>1</v>
      </c>
      <c r="F2" s="279" t="str">
        <f t="shared" ref="F2:F9" ca="1" si="1">IF(E2=1,"&lt;td&gt;" &amp; A2 &amp; "&lt;/td&gt;&lt;td&gt;" &amp; LEFT(B2,50) &amp; "&lt;td&gt;" &amp; C2 &amp; "&lt;/td&gt;  ","")</f>
        <v xml:space="preserve">&lt;td&gt;[:REPLACE_CURRENT_DATE]&lt;/td&gt;&lt;td&gt;2024-01-25 18:45&lt;td&gt;Current Date&lt;/td&gt;  </v>
      </c>
      <c r="G2" s="280" t="str">
        <f ca="1">"&lt;tr&gt;" &amp; _xlfn.TEXTJOIN("&lt;/tr&gt;&lt;tr&gt;",TRUE,F2:F209) &amp; "&lt;/tr&gt;"</f>
        <v>&lt;tr&gt;&lt;td&gt;[:REPLACE_CURRENT_DATE]&lt;/td&gt;&lt;td&gt;2024-01-25 18:45&lt;td&gt;Current Date&lt;/td&gt;  &lt;/tr&gt;&lt;tr&gt;&lt;td&gt;[:REPLACE_CODEGEN_VERSION]&lt;/td&gt;&lt;td&gt;118&lt;td&gt;Version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&lt;/tr&gt;&lt;tr&gt;&lt;td&gt;[:REPLACE_FULL_SOURCE_TABLE_NAME]&lt;/td&gt;&lt;td&gt;staged.conrepo_activationdtp_p&lt;td&gt;&lt;/td&gt;  &lt;/tr&gt;&lt;tr&gt;&lt;td&gt;[:REPLACE_SOURCE_TABLE_NAME]&lt;/td&gt;&lt;td&gt;conrepo_activationdtp_p&lt;td&gt;&lt;/td&gt;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&lt;td&gt;&lt;/td&gt;  &lt;/tr&gt;&lt;tr&gt;&lt;td&gt;[:REPLACE_DROP_STAGE_VIEW]&lt;/td&gt;&lt;td&gt;drop view uc0039.source_factVCSSLast90_[:date_yyyy&lt;td&gt;&lt;/td&gt;  &lt;/tr&gt;&lt;tr&gt;&lt;td&gt;[:REPLACE_DROP_SOURCE_VIEW]&lt;/td&gt;&lt;td&gt;select current_date --just so we do not try to exe&lt;td&gt;&lt;/td&gt;  &lt;/tr&gt;&lt;tr&gt;&lt;td&gt;[:REPLACE_SOURCE_VIEW_NAME]&lt;/td&gt;&lt;td&gt;staged.conrepo_activationdtp_p&lt;td&gt;&lt;/td&gt;  &lt;/tr&gt;&lt;tr&gt;&lt;td&gt;[:REPLACE_SOURCE_VIEW]&lt;/td&gt;&lt;td&gt;select current_date --just so we do not try to exe&lt;td&gt;&lt;/td&gt;  &lt;/tr&gt;&lt;tr&gt;&lt;td&gt;[:REPLACE_IS_SOURCE_VIEW_IN_USE]&lt;/td&gt;&lt;td&gt;0&lt;td&gt;&lt;/td&gt;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staged.conrepo_a&lt;td&gt;&lt;/td&gt;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&lt;/tr&gt;&lt;tr&gt;&lt;td&gt;[:REPLACE_SQL_CUSTOM_SOURCE_VIEW]&lt;/td&gt;&lt;td&gt;SELECT * FROM staged.conrepo_activationdtp_p&lt;td&gt;&lt;/td&gt;  &lt;/tr&gt;&lt;tr&gt;&lt;td&gt;[:REPLACE_SELECT_STAR_FROM_SOURCE_TABLE]&lt;/td&gt;&lt;td&gt;SELECT * FROM staged.conrepo_activationdtp_p&lt;td&gt;&lt;/td&gt;  &lt;/tr&gt;</v>
      </c>
    </row>
    <row r="3" spans="1:49" s="221" customFormat="1">
      <c r="A3" s="280" t="s">
        <v>242</v>
      </c>
      <c r="B3" s="280">
        <f>Version!B1</f>
        <v>118</v>
      </c>
      <c r="C3" s="280" t="s">
        <v>243</v>
      </c>
      <c r="E3" s="279">
        <f t="shared" si="0"/>
        <v>1</v>
      </c>
      <c r="F3" s="279" t="str">
        <f t="shared" si="1"/>
        <v xml:space="preserve">&lt;td&gt;[:REPLACE_CODEGEN_VERSION]&lt;/td&gt;&lt;td&gt;118&lt;td&gt;Version Number of the excel template used&lt;/td&gt;  </v>
      </c>
    </row>
    <row r="4" spans="1:49" s="221" customFormat="1">
      <c r="A4" s="280" t="s">
        <v>244</v>
      </c>
      <c r="B4" s="280">
        <f>Options!B7</f>
        <v>33</v>
      </c>
      <c r="C4" s="280" t="s">
        <v>245</v>
      </c>
      <c r="E4" s="279">
        <f t="shared" si="0"/>
        <v>1</v>
      </c>
      <c r="F4" s="279" t="str">
        <f t="shared" si="1"/>
        <v xml:space="preserve">&lt;td&gt;[:REPLACE_TEMPLATE_NUMBER]&lt;/td&gt;&lt;td&gt;33&lt;td&gt;Data Load Template Number used&lt;/td&gt;  </v>
      </c>
    </row>
    <row r="5" spans="1:49" s="280" customFormat="1">
      <c r="A5" s="280" t="s">
        <v>246</v>
      </c>
      <c r="B5" s="280" t="str">
        <f>Options!B2</f>
        <v>uc0039</v>
      </c>
      <c r="C5" s="280" t="s">
        <v>247</v>
      </c>
      <c r="E5" s="279">
        <f t="shared" si="0"/>
        <v>1</v>
      </c>
      <c r="F5" s="279" t="str">
        <f t="shared" si="1"/>
        <v xml:space="preserve">&lt;td&gt;[:REPLACE_SOLUTION_NAME]&lt;/td&gt;&lt;td&gt;uc0039&lt;td&gt;Name of the solution&lt;/td&gt;  </v>
      </c>
    </row>
    <row r="6" spans="1:49" s="280" customFormat="1">
      <c r="A6" s="280" t="s">
        <v>248</v>
      </c>
      <c r="B6" s="280" t="s">
        <v>249</v>
      </c>
      <c r="C6" s="280" t="s">
        <v>250</v>
      </c>
      <c r="E6" s="279">
        <f t="shared" si="0"/>
        <v>1</v>
      </c>
      <c r="F6" s="279" t="str">
        <f t="shared" si="1"/>
        <v xml:space="preserve">&lt;td&gt;[:REPLACE_SOLUTION_LONG_NAME]&lt;/td&gt;&lt;td&gt;DO NOT USE&lt;td&gt;Long soulution name&lt;/td&gt;  </v>
      </c>
    </row>
    <row r="7" spans="1:49" s="280" customFormat="1">
      <c r="A7" s="280" t="s">
        <v>251</v>
      </c>
      <c r="B7" s="280" t="s">
        <v>252</v>
      </c>
      <c r="C7" s="280" t="s">
        <v>253</v>
      </c>
      <c r="E7" s="279">
        <f t="shared" si="0"/>
        <v>1</v>
      </c>
      <c r="F7" s="279" t="str">
        <f t="shared" si="1"/>
        <v xml:space="preserve">&lt;td&gt;[:REPLACE_DEPLOY_TO_ENVIRONMENT]&lt;/td&gt;&lt;td&gt;prod&lt;td&gt;To what enviroment the stuff should be deloyd to. Use cdk to let the cdk project decide this&lt;/td&gt;  </v>
      </c>
    </row>
    <row r="8" spans="1:49" s="280" customFormat="1">
      <c r="A8" s="280" t="s">
        <v>254</v>
      </c>
      <c r="B8" s="280" t="str">
        <f>REPLACE_SOLUTION_NAME &amp; "_" &amp; REPLACE_TABLE_NAME</f>
        <v>uc0039_factVCSSLast90</v>
      </c>
      <c r="C8" s="280" t="s">
        <v>255</v>
      </c>
      <c r="E8" s="279">
        <f t="shared" si="0"/>
        <v>1</v>
      </c>
      <c r="F8" s="279" t="str">
        <f t="shared" si="1"/>
        <v xml:space="preserve">&lt;td&gt;[:REPLACE_AWS_STEPS_NAME]&lt;/td&gt;&lt;td&gt;uc0039_factVCSSLast90&lt;td&gt;Name of the AWS Steps State Machine&lt;/td&gt;  </v>
      </c>
    </row>
    <row r="9" spans="1:49" s="280" customFormat="1">
      <c r="A9" s="280" t="s">
        <v>256</v>
      </c>
      <c r="B9" s="280" t="str">
        <f>REPLACE_AWS_STEPS_NAME</f>
        <v>uc0039_factVCSSLast90</v>
      </c>
      <c r="C9" s="280" t="s">
        <v>257</v>
      </c>
      <c r="E9" s="279">
        <f t="shared" si="0"/>
        <v>1</v>
      </c>
      <c r="F9" s="279" t="str">
        <f t="shared" si="1"/>
        <v xml:space="preserve">&lt;td&gt;[:REPLACE_RESOURCE_IDENTIFIER]&lt;/td&gt;&lt;td&gt;uc0039_factVCSSLast90&lt;td&gt;SYNONYM&lt;/td&gt;  </v>
      </c>
    </row>
    <row r="10" spans="1:49" s="280" customFormat="1">
      <c r="A10" s="280" t="s">
        <v>258</v>
      </c>
      <c r="B10" s="280" t="str">
        <f>REPLACE_SOLUTION_NAME &amp; "_" &amp;REPLACE_TABLE_NAME_MINI_DIMENSION</f>
        <v>uc0039_factVCSSLast90_history</v>
      </c>
      <c r="E10" s="279">
        <f t="shared" si="0"/>
        <v>1</v>
      </c>
      <c r="F10" s="279"/>
    </row>
    <row r="11" spans="1:49" s="280" customFormat="1">
      <c r="A11" s="280" t="s">
        <v>259</v>
      </c>
      <c r="B11" s="280" t="str">
        <f>REPLACE_AWS_STEPS_NAME_MINI_DIMENSION</f>
        <v>uc0039_factVCSSLast90_history</v>
      </c>
      <c r="E11" s="279">
        <f t="shared" si="0"/>
        <v>1</v>
      </c>
      <c r="F11" s="279"/>
    </row>
    <row r="12" spans="1:49" s="280" customFormat="1">
      <c r="A12" s="280" t="s">
        <v>260</v>
      </c>
      <c r="B12" s="280" t="str">
        <f>REPLACE_SOLUTION_NAME &amp; "_" &amp; REPLACE_TABLE_NAME &amp; "_template" &amp; "_" &amp; REPLACE_TEMPLATE_NUMBER &amp; "_loop"</f>
        <v>uc0039_factVCSSLast90_template_33_loop</v>
      </c>
      <c r="E12" s="279">
        <f t="shared" si="0"/>
        <v>1</v>
      </c>
      <c r="F12" s="279" t="str">
        <f t="shared" ref="F12:F43" si="2">IF(E12=1,"&lt;td&gt;" &amp; A12 &amp; "&lt;/td&gt;&lt;td&gt;" &amp; LEFT(B12,50) &amp; "&lt;td&gt;" &amp; C12 &amp; "&lt;/td&gt;  ","")</f>
        <v xml:space="preserve">&lt;td&gt;[:REPLACE_AWS_STEPS_LOOP_NAME]&lt;/td&gt;&lt;td&gt;uc0039_factVCSSLast90_template_33_loop&lt;td&gt;&lt;/td&gt;  </v>
      </c>
    </row>
    <row r="13" spans="1:49" s="280" customFormat="1">
      <c r="A13" s="280" t="s">
        <v>261</v>
      </c>
      <c r="B13" s="280" t="str">
        <f>REPLACE_SOLUTION_NAME &amp; "_" &amp; REPLACE_TARGET_TABLE_NAME &amp; ".html"</f>
        <v>uc0039_factVCSSLast90.html</v>
      </c>
      <c r="E13" s="279">
        <f t="shared" si="0"/>
        <v>1</v>
      </c>
      <c r="F13" s="279" t="str">
        <f t="shared" si="2"/>
        <v xml:space="preserve">&lt;td&gt;[:REPLACE_HTML_DOC_FILENAME]&lt;/td&gt;&lt;td&gt;uc0039_factVCSSLast90.html&lt;td&gt;&lt;/td&gt;  </v>
      </c>
    </row>
    <row r="14" spans="1:49" s="280" customFormat="1">
      <c r="A14" s="205" t="s">
        <v>262</v>
      </c>
      <c r="B14" s="280" t="str">
        <f>UPPER(REPLACE_DEPLOY_TO_ENVIRONMENT)</f>
        <v>PROD</v>
      </c>
      <c r="E14" s="279">
        <f t="shared" si="0"/>
        <v>1</v>
      </c>
      <c r="F14" s="279" t="str">
        <f t="shared" si="2"/>
        <v xml:space="preserve">&lt;td&gt;[:REPLACE_AWS_ENVIRONMENT_UPPERCASE]&lt;/td&gt;&lt;td&gt;PROD&lt;td&gt;&lt;/td&gt;  </v>
      </c>
    </row>
    <row r="15" spans="1:49" s="280" customFormat="1">
      <c r="A15" s="205" t="s">
        <v>263</v>
      </c>
      <c r="B15" s="205" t="str">
        <f>Options!B68</f>
        <v>eu-west-1</v>
      </c>
      <c r="E15" s="279">
        <f t="shared" si="0"/>
        <v>1</v>
      </c>
      <c r="F15" s="279" t="str">
        <f t="shared" si="2"/>
        <v xml:space="preserve">&lt;td&gt;[:REPLACE_AWS_REGION]&lt;/td&gt;&lt;td&gt;eu-west-1&lt;td&gt;&lt;/td&gt;  </v>
      </c>
    </row>
    <row r="16" spans="1:49" s="198" customFormat="1">
      <c r="A16" s="205" t="s">
        <v>264</v>
      </c>
      <c r="B16" t="str">
        <f>Options!B67</f>
        <v>761560768765</v>
      </c>
      <c r="C16" s="280"/>
      <c r="D16" s="280"/>
      <c r="E16" s="279">
        <f t="shared" si="0"/>
        <v>1</v>
      </c>
      <c r="F16" s="279" t="str">
        <f t="shared" si="2"/>
        <v xml:space="preserve">&lt;td&gt;[:REPLACE_AWS_ACCOUNT_NUMBER]&lt;/td&gt;&lt;td&gt;761560768765&lt;td&gt;&lt;/td&gt;  </v>
      </c>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280"/>
    </row>
    <row r="17" spans="1:49" s="198" customFormat="1">
      <c r="A17" s="201" t="s">
        <v>265</v>
      </c>
      <c r="B17" s="192"/>
      <c r="C17" s="210"/>
      <c r="D17" s="210"/>
      <c r="E17" s="279">
        <f t="shared" si="0"/>
        <v>0</v>
      </c>
      <c r="F17" s="279" t="str">
        <f t="shared" si="2"/>
        <v/>
      </c>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280"/>
    </row>
    <row r="18" spans="1:49" s="198" customFormat="1">
      <c r="A18" s="205" t="s">
        <v>266</v>
      </c>
      <c r="B18" s="280" t="str">
        <f>REPLACE_AWS_ATHENA_OUTPUT_S3_LOCATION</f>
        <v>s3://uc0039-vgcs-odl-prod/athena-query-result</v>
      </c>
      <c r="C18" s="280"/>
      <c r="D18" s="280"/>
      <c r="E18" s="279">
        <f t="shared" si="0"/>
        <v>1</v>
      </c>
      <c r="F18" s="279" t="str">
        <f t="shared" si="2"/>
        <v xml:space="preserve">&lt;td&gt;[:REPLACE_ATHENA_OUTPUT_LOCATION]&lt;/td&gt;&lt;td&gt;s3://uc0039-vgcs-odl-prod/athena-query-result&lt;td&gt;&lt;/td&gt;  </v>
      </c>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0"/>
      <c r="AU18" s="280"/>
      <c r="AV18" s="280"/>
      <c r="AW18" s="280"/>
    </row>
    <row r="19" spans="1:49" s="198" customFormat="1">
      <c r="A19" s="205" t="s">
        <v>267</v>
      </c>
      <c r="B19" t="str">
        <f>"s3://" &amp; REPLACE_BUCKET_NAME &amp; "/" &amp; "athena-query-result"</f>
        <v>s3://uc0039-vgcs-odl-prod/athena-query-result</v>
      </c>
      <c r="C19" s="280"/>
      <c r="D19" s="280"/>
      <c r="E19" s="279">
        <f t="shared" si="0"/>
        <v>1</v>
      </c>
      <c r="F19" s="279" t="str">
        <f t="shared" si="2"/>
        <v xml:space="preserve">&lt;td&gt;[:REPLACE_AWS_ATHENA_OUTPUT_S3_LOCATION]&lt;/td&gt;&lt;td&gt;s3://uc0039-vgcs-odl-prod/athena-query-result&lt;td&gt;&lt;/td&gt;  </v>
      </c>
      <c r="G19" s="280"/>
      <c r="H19" s="280"/>
      <c r="I19" s="280"/>
      <c r="J19" s="280"/>
      <c r="K19" s="280"/>
      <c r="L19" s="280"/>
      <c r="M19" s="280"/>
      <c r="N19" s="280"/>
      <c r="O19" s="280"/>
      <c r="P19" s="280"/>
      <c r="Q19" s="280"/>
      <c r="R19" s="280"/>
      <c r="S19" s="280"/>
      <c r="T19" s="280"/>
      <c r="U19" s="280"/>
      <c r="V19" s="280"/>
      <c r="W19" s="280"/>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280"/>
    </row>
    <row r="20" spans="1:49" s="198" customFormat="1">
      <c r="A20" s="205" t="s">
        <v>268</v>
      </c>
      <c r="B20" t="str">
        <f>Options!B69</f>
        <v>uc0039</v>
      </c>
      <c r="C20" s="280" t="s">
        <v>269</v>
      </c>
      <c r="D20" s="280"/>
      <c r="E20" s="279">
        <f t="shared" si="0"/>
        <v>1</v>
      </c>
      <c r="F20" s="279" t="str">
        <f t="shared" si="2"/>
        <v xml:space="preserve">&lt;td&gt;[:REPLACE_ATHENA_WORKGROUP]&lt;/td&gt;&lt;td&gt;uc0039&lt;td&gt;Synonym&lt;/td&gt;  </v>
      </c>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row>
    <row r="21" spans="1:49" s="198" customFormat="1">
      <c r="A21" s="205"/>
      <c r="C21" s="280"/>
      <c r="D21" s="280"/>
      <c r="E21" s="279">
        <f t="shared" si="0"/>
        <v>0</v>
      </c>
      <c r="F21" s="279" t="str">
        <f t="shared" si="2"/>
        <v/>
      </c>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row>
    <row r="22" spans="1:49" s="198" customFormat="1">
      <c r="A22" s="205" t="s">
        <v>270</v>
      </c>
      <c r="B22" t="str">
        <f>B23</f>
        <v>uc0039-vgcs-odl-prod</v>
      </c>
      <c r="C22" s="280" t="s">
        <v>271</v>
      </c>
      <c r="D22" s="280"/>
      <c r="E22" s="279">
        <f t="shared" si="0"/>
        <v>1</v>
      </c>
      <c r="F22" s="279" t="str">
        <f t="shared" si="2"/>
        <v xml:space="preserve">&lt;td&gt;[:REPLACE_BUCKET_NAME]&lt;/td&gt;&lt;td&gt;uc0039-vgcs-odl-prod&lt;td&gt;AWS S3 bucket for all tables in the solution&lt;/td&gt;  </v>
      </c>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row>
    <row r="23" spans="1:49">
      <c r="A23" t="s">
        <v>272</v>
      </c>
      <c r="B23" t="str">
        <f>Options!B28</f>
        <v>uc0039-vgcs-odl-prod</v>
      </c>
      <c r="C23" t="s">
        <v>273</v>
      </c>
      <c r="E23" s="279">
        <f t="shared" si="0"/>
        <v>1</v>
      </c>
      <c r="F23" s="279" t="str">
        <f t="shared" si="2"/>
        <v xml:space="preserve">&lt;td&gt;[:REPLACE_TARGET_BUCKET]&lt;/td&gt;&lt;td&gt;uc0039-vgcs-odl-prod&lt;td&gt;AWS S3 bucket for all tables in the solution (synonym)&lt;/td&gt;  </v>
      </c>
    </row>
    <row r="24" spans="1:49">
      <c r="A24" t="s">
        <v>274</v>
      </c>
      <c r="B24" t="str">
        <f>Options!B29</f>
        <v>db</v>
      </c>
      <c r="C24" t="s">
        <v>275</v>
      </c>
      <c r="E24" s="279">
        <f t="shared" si="0"/>
        <v>1</v>
      </c>
      <c r="F24" s="279" t="str">
        <f t="shared" si="2"/>
        <v xml:space="preserve">&lt;td&gt;[:REPLACE_TARGET_ROOT_PREFIX]&lt;/td&gt;&lt;td&gt;db&lt;td&gt;Root prefix for all tables in the solution&lt;/td&gt;  </v>
      </c>
    </row>
    <row r="25" spans="1:49">
      <c r="A25" s="205" t="s">
        <v>276</v>
      </c>
      <c r="B25" t="str">
        <f ca="1">'OUTPUT EXTERNAL'!C12</f>
        <v>db/factVCSSLast90/lake_arrival_date=[:date_yyyy_mm_dd]</v>
      </c>
      <c r="C25" s="280" t="s">
        <v>277</v>
      </c>
      <c r="E25" s="279">
        <f t="shared" si="0"/>
        <v>1</v>
      </c>
      <c r="F25" s="279" t="str">
        <f t="shared" ca="1" si="2"/>
        <v xml:space="preserve">&lt;td&gt;[:REPLACE_PREFIX]&lt;/td&gt;&lt;td&gt;db/factVCSSLast90/lake_arrival_date=[:date_yyyy_mm&lt;td&gt;AWS S3 prefix specific for this table&lt;/td&gt;  </v>
      </c>
    </row>
    <row r="26" spans="1:49">
      <c r="A26" s="205" t="s">
        <v>278</v>
      </c>
      <c r="B26" t="str">
        <f ca="1">B25</f>
        <v>db/factVCSSLast90/lake_arrival_date=[:date_yyyy_mm_dd]</v>
      </c>
      <c r="C26" t="s">
        <v>269</v>
      </c>
      <c r="E26" s="279">
        <f t="shared" si="0"/>
        <v>1</v>
      </c>
      <c r="F26" s="279" t="str">
        <f t="shared" ca="1" si="2"/>
        <v xml:space="preserve">&lt;td&gt;[:REPLACE_TARGET_PREFIX]&lt;/td&gt;&lt;td&gt;db/factVCSSLast90/lake_arrival_date=[:date_yyyy_mm&lt;td&gt;Synonym&lt;/td&gt;  </v>
      </c>
    </row>
    <row r="27" spans="1:49">
      <c r="A27" s="205" t="s">
        <v>279</v>
      </c>
      <c r="B27" t="str">
        <f ca="1">B25</f>
        <v>db/factVCSSLast90/lake_arrival_date=[:date_yyyy_mm_dd]</v>
      </c>
      <c r="C27" t="s">
        <v>269</v>
      </c>
      <c r="E27" s="279">
        <f t="shared" si="0"/>
        <v>1</v>
      </c>
      <c r="F27" s="279" t="str">
        <f t="shared" ca="1" si="2"/>
        <v xml:space="preserve">&lt;td&gt;[:REPLACE_TARGET_TABLE_PREFIX]&lt;/td&gt;&lt;td&gt;db/factVCSSLast90/lake_arrival_date=[:date_yyyy_mm&lt;td&gt;Synonym&lt;/td&gt;  </v>
      </c>
    </row>
    <row r="28" spans="1:49">
      <c r="A28" s="205" t="s">
        <v>280</v>
      </c>
      <c r="B28" t="str">
        <f ca="1">"s3://" &amp; REPLACE_TARGET_BUCKET &amp; "/" &amp; REPLACE_TARGET_PREFIX</f>
        <v>s3://uc0039-vgcs-odl-prod/db/factVCSSLast90/lake_arrival_date=[:date_yyyy_mm_dd]</v>
      </c>
      <c r="E28" s="279">
        <f t="shared" si="0"/>
        <v>1</v>
      </c>
      <c r="F28" s="279" t="str">
        <f t="shared" ca="1" si="2"/>
        <v xml:space="preserve">&lt;td&gt;[:REPLACE_TARGET_TABLE_S3_LOCATION]&lt;/td&gt;&lt;td&gt;s3://uc0039-vgcs-odl-prod/db/factVCSSLast90/lake_a&lt;td&gt;&lt;/td&gt;  </v>
      </c>
    </row>
    <row r="29" spans="1:49">
      <c r="A29" s="205" t="s">
        <v>281</v>
      </c>
      <c r="B29" t="str">
        <f>REPLACE_SOURCE_DATABASE &amp; "." &amp;REPLACE_SOURCE_TABLE_NAME</f>
        <v>staged.conrepo_activationdtp_p</v>
      </c>
      <c r="E29" s="279">
        <f t="shared" si="0"/>
        <v>1</v>
      </c>
      <c r="F29" s="279" t="str">
        <f t="shared" si="2"/>
        <v xml:space="preserve">&lt;td&gt;[:REPLACE_FULL_SOURCE_TABLE_NAME]&lt;/td&gt;&lt;td&gt;staged.conrepo_activationdtp_p&lt;td&gt;&lt;/td&gt;  </v>
      </c>
    </row>
    <row r="30" spans="1:49">
      <c r="A30" s="205" t="s">
        <v>282</v>
      </c>
      <c r="B30" t="str">
        <f>Options!B11</f>
        <v>conrepo_activationdtp_p</v>
      </c>
      <c r="E30" s="279">
        <f t="shared" si="0"/>
        <v>1</v>
      </c>
      <c r="F30" s="279" t="str">
        <f t="shared" si="2"/>
        <v xml:space="preserve">&lt;td&gt;[:REPLACE_SOURCE_TABLE_NAME]&lt;/td&gt;&lt;td&gt;conrepo_activationdtp_p&lt;td&gt;&lt;/td&gt;  </v>
      </c>
    </row>
    <row r="31" spans="1:49">
      <c r="A31" t="s">
        <v>283</v>
      </c>
      <c r="B31" t="str">
        <f>IF(Options!B10="","",Options!B10)</f>
        <v>staged</v>
      </c>
      <c r="C31" t="s">
        <v>284</v>
      </c>
      <c r="E31" s="279">
        <f t="shared" si="0"/>
        <v>1</v>
      </c>
      <c r="F31" s="279" t="str">
        <f t="shared" si="2"/>
        <v xml:space="preserve">&lt;td&gt;[:REPLACE_SOURCE_DATABASE]&lt;/td&gt;&lt;td&gt;staged&lt;td&gt;Blank if not in use if use source view is set to 1&lt;/td&gt;  </v>
      </c>
    </row>
    <row r="32" spans="1:49">
      <c r="A32" t="s">
        <v>285</v>
      </c>
      <c r="B32" t="str">
        <f>Options!B23</f>
        <v>uc0039</v>
      </c>
      <c r="E32" s="279">
        <f t="shared" si="0"/>
        <v>1</v>
      </c>
      <c r="F32" s="279" t="str">
        <f t="shared" si="2"/>
        <v xml:space="preserve">&lt;td&gt;[:REPLACE_DATABASE_NAME]&lt;/td&gt;&lt;td&gt;uc0039&lt;td&gt;&lt;/td&gt;  </v>
      </c>
    </row>
    <row r="33" spans="1:6">
      <c r="A33" t="s">
        <v>286</v>
      </c>
      <c r="B33" t="str">
        <f>B32</f>
        <v>uc0039</v>
      </c>
      <c r="C33" t="s">
        <v>269</v>
      </c>
      <c r="E33" s="279">
        <f t="shared" si="0"/>
        <v>1</v>
      </c>
      <c r="F33" s="279" t="str">
        <f t="shared" si="2"/>
        <v xml:space="preserve">&lt;td&gt;[:REPLACE_TARGET_DATABASE_NAME]&lt;/td&gt;&lt;td&gt;uc0039&lt;td&gt;Synonym&lt;/td&gt;  </v>
      </c>
    </row>
    <row r="34" spans="1:6">
      <c r="E34" s="279">
        <f t="shared" ref="E34:E65" si="3">IF(LEFT(A34,2)="[:",1,0)</f>
        <v>0</v>
      </c>
      <c r="F34" s="279" t="str">
        <f t="shared" si="2"/>
        <v/>
      </c>
    </row>
    <row r="35" spans="1:6">
      <c r="A35" s="205" t="s">
        <v>287</v>
      </c>
      <c r="B35" t="str">
        <f>Options!B25</f>
        <v>factVCSSLast90</v>
      </c>
      <c r="E35" s="279">
        <f t="shared" si="3"/>
        <v>1</v>
      </c>
      <c r="F35" s="279" t="str">
        <f t="shared" si="2"/>
        <v xml:space="preserve">&lt;td&gt;[:REPLACE_TABLE_NAME]&lt;/td&gt;&lt;td&gt;factVCSSLast90&lt;td&gt;&lt;/td&gt;  </v>
      </c>
    </row>
    <row r="36" spans="1:6">
      <c r="A36" s="205" t="s">
        <v>288</v>
      </c>
      <c r="B36" t="str">
        <f>Options!B25</f>
        <v>factVCSSLast90</v>
      </c>
      <c r="C36" t="s">
        <v>269</v>
      </c>
      <c r="E36" s="279">
        <f t="shared" si="3"/>
        <v>1</v>
      </c>
      <c r="F36" s="279" t="str">
        <f t="shared" si="2"/>
        <v xml:space="preserve">&lt;td&gt;[:REPLACE_TARGET_TABLE_NAME]&lt;/td&gt;&lt;td&gt;factVCSSLast90&lt;td&gt;Synonym&lt;/td&gt;  </v>
      </c>
    </row>
    <row r="37" spans="1:6">
      <c r="E37" s="279">
        <f t="shared" si="3"/>
        <v>0</v>
      </c>
      <c r="F37" s="279" t="str">
        <f t="shared" si="2"/>
        <v/>
      </c>
    </row>
    <row r="38" spans="1:6">
      <c r="E38" s="279">
        <f t="shared" si="3"/>
        <v>0</v>
      </c>
      <c r="F38" s="279" t="str">
        <f t="shared" si="2"/>
        <v/>
      </c>
    </row>
    <row r="39" spans="1:6">
      <c r="A39" s="205" t="s">
        <v>289</v>
      </c>
      <c r="B39" t="str">
        <f>'OUTPUT ICEBERG'!C14</f>
        <v>drop table if exists uc0039.factVCSSLast90</v>
      </c>
      <c r="E39" s="279">
        <f t="shared" si="3"/>
        <v>1</v>
      </c>
      <c r="F39" s="279" t="str">
        <f t="shared" si="2"/>
        <v xml:space="preserve">&lt;td&gt;[:REPLACE_DROP_TABLE]&lt;/td&gt;&lt;td&gt;drop table if exists uc0039.factVCSSLast90&lt;td&gt;&lt;/td&gt;  </v>
      </c>
    </row>
    <row r="40" spans="1:6">
      <c r="A40" s="205" t="s">
        <v>290</v>
      </c>
      <c r="B40" t="str">
        <f>B39</f>
        <v>drop table if exists uc0039.factVCSSLast90</v>
      </c>
      <c r="C40" t="s">
        <v>269</v>
      </c>
      <c r="E40" s="279">
        <f t="shared" si="3"/>
        <v>1</v>
      </c>
      <c r="F40" s="279" t="str">
        <f t="shared" si="2"/>
        <v xml:space="preserve">&lt;td&gt;[:REPLACE_DROP_TARGET_TABLE]&lt;/td&gt;&lt;td&gt;drop table if exists uc0039.factVCSSLast90&lt;td&gt;Synonym&lt;/td&gt;  </v>
      </c>
    </row>
    <row r="41" spans="1:6">
      <c r="E41" s="279">
        <f t="shared" si="3"/>
        <v>0</v>
      </c>
      <c r="F41" s="279" t="str">
        <f t="shared" si="2"/>
        <v/>
      </c>
    </row>
    <row r="42" spans="1:6">
      <c r="A42" t="s">
        <v>291</v>
      </c>
      <c r="B42">
        <f>Options!B34</f>
        <v>0</v>
      </c>
      <c r="C42" t="s">
        <v>292</v>
      </c>
      <c r="E42" s="279">
        <f t="shared" si="3"/>
        <v>1</v>
      </c>
      <c r="F42" s="279" t="str">
        <f t="shared" si="2"/>
        <v xml:space="preserve">&lt;td&gt;[:REPLACE_APPLY_DMA ON TABLE]&lt;/td&gt;&lt;td&gt;0&lt;td&gt;Should we join this table with DMA?&lt;/td&gt;  </v>
      </c>
    </row>
    <row r="43" spans="1:6">
      <c r="A43" t="s">
        <v>293</v>
      </c>
      <c r="B43">
        <f>Options!B32</f>
        <v>0</v>
      </c>
      <c r="C43" t="s">
        <v>294</v>
      </c>
      <c r="E43" s="279">
        <f t="shared" si="3"/>
        <v>1</v>
      </c>
      <c r="F43" s="279" t="str">
        <f t="shared" si="2"/>
        <v xml:space="preserve">&lt;td&gt;[:REPLACE_USE_SCD_2]&lt;/td&gt;&lt;td&gt;0&lt;td&gt;SCD-2 enabled for the table?&lt;/td&gt;  </v>
      </c>
    </row>
    <row r="44" spans="1:6">
      <c r="A44" s="205" t="s">
        <v>295</v>
      </c>
      <c r="B44" t="str">
        <f ca="1">'OUTPUT ICEBERG'!C16</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E44" s="279">
        <f t="shared" si="3"/>
        <v>1</v>
      </c>
      <c r="F44" s="279" t="str">
        <f t="shared" ref="F44:F75" ca="1" si="4">IF(E44=1,"&lt;td&gt;" &amp; A44 &amp; "&lt;/td&gt;&lt;td&gt;" &amp; LEFT(B44,50) &amp; "&lt;td&gt;" &amp; C44 &amp; "&lt;/td&gt;  ","")</f>
        <v xml:space="preserve">&lt;td&gt;[:REPLACE_STAGE_VIEW]&lt;/td&gt;&lt;td&gt;CREATE OR REPLACE VIEW uc0039.source_factVCSSLast9&lt;td&gt;&lt;/td&gt;  </v>
      </c>
    </row>
    <row r="45" spans="1:6">
      <c r="A45" s="205" t="s">
        <v>296</v>
      </c>
      <c r="B45" t="str">
        <f ca="1">'OUTPUT ICEBERG'!C17</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E45" s="279">
        <f t="shared" si="3"/>
        <v>1</v>
      </c>
      <c r="F45" s="279" t="str">
        <f t="shared" ca="1" si="4"/>
        <v xml:space="preserve">&lt;td&gt;[:REPLACE_CREATE_TARGET_TABLE]&lt;/td&gt;&lt;td&gt;CREATE TABLE IF NOT EXISTS  uc0039.factVCSSLast90(&lt;td&gt;&lt;/td&gt;  </v>
      </c>
    </row>
    <row r="46" spans="1:6">
      <c r="A46" s="205" t="s">
        <v>297</v>
      </c>
      <c r="B46" t="str">
        <f ca="1">'OUTPUT EXTERNAL'!C10</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E46" s="279">
        <f t="shared" si="3"/>
        <v>1</v>
      </c>
      <c r="F46" s="279" t="str">
        <f t="shared" ca="1" si="4"/>
        <v xml:space="preserve">&lt;td&gt;[:REPLACE_CREATE_TARGET_TABLE_EXTERNAL]&lt;/td&gt;&lt;td&gt;CREATE EXTERNAL TABLE IF NOT EXISTS  uc0039.factVC&lt;td&gt;&lt;/td&gt;  </v>
      </c>
    </row>
    <row r="47" spans="1:6">
      <c r="E47" s="279">
        <f t="shared" si="3"/>
        <v>0</v>
      </c>
      <c r="F47" s="279" t="str">
        <f t="shared" si="4"/>
        <v/>
      </c>
    </row>
    <row r="48" spans="1:6">
      <c r="A48" s="205" t="s">
        <v>298</v>
      </c>
      <c r="B48" t="str">
        <f>'OUTPUT ICEBERG'!C18</f>
        <v/>
      </c>
      <c r="E48" s="279">
        <f t="shared" si="3"/>
        <v>1</v>
      </c>
      <c r="F48" s="279" t="str">
        <f t="shared" si="4"/>
        <v xml:space="preserve">&lt;td&gt;[:REPLACE_MISSING_MEMBER]&lt;/td&gt;&lt;td&gt;&lt;td&gt;&lt;/td&gt;  </v>
      </c>
    </row>
    <row r="49" spans="1:6">
      <c r="A49" s="205" t="s">
        <v>299</v>
      </c>
      <c r="B49" t="str">
        <f ca="1">'OUTPUT ICEBERG'!C19</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49" s="279">
        <f t="shared" si="3"/>
        <v>1</v>
      </c>
      <c r="F49" s="279" t="str">
        <f t="shared" ca="1" si="4"/>
        <v xml:space="preserve">&lt;td&gt;[:REPLACE_POPULATE_DATA]&lt;/td&gt;&lt;td&gt;MERGE INTO uc0039.factVCSSLast90 as trg USING uc00&lt;td&gt;&lt;/td&gt;  </v>
      </c>
    </row>
    <row r="50" spans="1:6">
      <c r="A50" s="205" t="s">
        <v>300</v>
      </c>
      <c r="B50" t="str">
        <f ca="1">REPLACE_POPULATE_DATA</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50" s="279">
        <f t="shared" si="3"/>
        <v>1</v>
      </c>
      <c r="F50" s="279" t="str">
        <f t="shared" ca="1" si="4"/>
        <v xml:space="preserve">&lt;td&gt;[:REPLACE_POPULATE_DATA_INCREMENTALY]&lt;/td&gt;&lt;td&gt;MERGE INTO uc0039.factVCSSLast90 as trg USING uc00&lt;td&gt;&lt;/td&gt;  </v>
      </c>
    </row>
    <row r="51" spans="1:6">
      <c r="A51" s="205" t="s">
        <v>301</v>
      </c>
      <c r="B51" t="str">
        <f>'OUTPUT ICEBERG'!C21</f>
        <v/>
      </c>
      <c r="E51" s="279">
        <f t="shared" si="3"/>
        <v>1</v>
      </c>
      <c r="F51" s="279" t="str">
        <f t="shared" si="4"/>
        <v xml:space="preserve">&lt;td&gt;[:REPLACE_SET_ISCURRENT_0]&lt;/td&gt;&lt;td&gt;&lt;td&gt;&lt;/td&gt;  </v>
      </c>
    </row>
    <row r="52" spans="1:6">
      <c r="A52" s="205" t="s">
        <v>302</v>
      </c>
      <c r="B52" s="199" t="str">
        <f>'UPDATE ISCURRENT'!B7</f>
        <v/>
      </c>
      <c r="E52" s="279">
        <f t="shared" si="3"/>
        <v>1</v>
      </c>
      <c r="F52" s="279" t="str">
        <f t="shared" si="4"/>
        <v xml:space="preserve">&lt;td&gt;[:REPLACE_SET_ISCURRENT_1]&lt;/td&gt;&lt;td&gt;&lt;td&gt;&lt;/td&gt;  </v>
      </c>
    </row>
    <row r="53" spans="1:6">
      <c r="A53" s="205" t="s">
        <v>303</v>
      </c>
      <c r="B53" t="str">
        <f>TEMP_REPLACE_CREATE_VIEW</f>
        <v xml:space="preserve">CREATE OR REPLACE VIEW uc0039.factVCSSLast90 AS </v>
      </c>
      <c r="E53" s="279">
        <f t="shared" si="3"/>
        <v>1</v>
      </c>
      <c r="F53" s="279" t="str">
        <f t="shared" si="4"/>
        <v xml:space="preserve">&lt;td&gt;[:REPLACE_CREATE_VIEW]&lt;/td&gt;&lt;td&gt;CREATE OR REPLACE VIEW uc0039.factVCSSLast90 AS &lt;td&gt;&lt;/td&gt;  </v>
      </c>
    </row>
    <row r="54" spans="1:6">
      <c r="A54" s="205" t="s">
        <v>304</v>
      </c>
      <c r="B54" t="str">
        <f>'OUTPUT ICEBERG'!C23</f>
        <v xml:space="preserve">drop view uc0039.source_factVCSSLast90_[:date_yyyymmdd]_v </v>
      </c>
      <c r="E54" s="279">
        <f t="shared" si="3"/>
        <v>1</v>
      </c>
      <c r="F54" s="279" t="str">
        <f t="shared" si="4"/>
        <v xml:space="preserve">&lt;td&gt;[:REPLACE_DROP_STAGE_VIEW]&lt;/td&gt;&lt;td&gt;drop view uc0039.source_factVCSSLast90_[:date_yyyy&lt;td&gt;&lt;/td&gt;  </v>
      </c>
    </row>
    <row r="55" spans="1:6">
      <c r="A55" s="205" t="s">
        <v>305</v>
      </c>
      <c r="B55" t="str">
        <f>IF('OUTPUT ICEBERG'!C24="","select current_date --just so we do not try to execute empty sql statments..",'OUTPUT ICEBERG'!C24)</f>
        <v>select current_date --just so we do not try to execute empty sql statments..</v>
      </c>
      <c r="E55" s="279">
        <f t="shared" si="3"/>
        <v>1</v>
      </c>
      <c r="F55" s="279" t="str">
        <f t="shared" si="4"/>
        <v xml:space="preserve">&lt;td&gt;[:REPLACE_DROP_SOURCE_VIEW]&lt;/td&gt;&lt;td&gt;select current_date --just so we do not try to exe&lt;td&gt;&lt;/td&gt;  </v>
      </c>
    </row>
    <row r="56" spans="1:6">
      <c r="A56" s="205" t="s">
        <v>306</v>
      </c>
      <c r="B56" t="str">
        <f>HELPER!B124</f>
        <v>staged.conrepo_activationdtp_p</v>
      </c>
      <c r="E56" s="279">
        <f t="shared" si="3"/>
        <v>1</v>
      </c>
      <c r="F56" s="279" t="str">
        <f t="shared" si="4"/>
        <v xml:space="preserve">&lt;td&gt;[:REPLACE_SOURCE_VIEW_NAME]&lt;/td&gt;&lt;td&gt;staged.conrepo_activationdtp_p&lt;td&gt;&lt;/td&gt;  </v>
      </c>
    </row>
    <row r="57" spans="1:6">
      <c r="A57" s="205" t="s">
        <v>307</v>
      </c>
      <c r="B57" t="str">
        <f>IF('OUTPUT ICEBERG'!C15="", "select current_date --just so we do not try to execute empty sql statments..",'OUTPUT ICEBERG'!C15)</f>
        <v>select current_date --just so we do not try to execute empty sql statments..</v>
      </c>
      <c r="E57" s="279">
        <f t="shared" si="3"/>
        <v>1</v>
      </c>
      <c r="F57" s="279" t="str">
        <f t="shared" si="4"/>
        <v xml:space="preserve">&lt;td&gt;[:REPLACE_SOURCE_VIEW]&lt;/td&gt;&lt;td&gt;select current_date --just so we do not try to exe&lt;td&gt;&lt;/td&gt;  </v>
      </c>
    </row>
    <row r="58" spans="1:6">
      <c r="A58" s="205" t="s">
        <v>308</v>
      </c>
      <c r="B58">
        <f>Options!B19</f>
        <v>0</v>
      </c>
      <c r="E58" s="279">
        <f t="shared" si="3"/>
        <v>1</v>
      </c>
      <c r="F58" s="279" t="str">
        <f t="shared" si="4"/>
        <v xml:space="preserve">&lt;td&gt;[:REPLACE_IS_SOURCE_VIEW_IN_USE]&lt;/td&gt;&lt;td&gt;0&lt;td&gt;&lt;/td&gt;  </v>
      </c>
    </row>
    <row r="59" spans="1:6">
      <c r="A59" s="205" t="s">
        <v>309</v>
      </c>
      <c r="B59" t="str">
        <f>'OUTPUT ICEBERG'!C25</f>
        <v>OPTIMIZE uc0039.factVCSSLast90 REWRITE DATA USING BIN_PACK</v>
      </c>
      <c r="E59" s="279">
        <f t="shared" si="3"/>
        <v>1</v>
      </c>
      <c r="F59" s="279" t="str">
        <f t="shared" si="4"/>
        <v xml:space="preserve">&lt;td&gt;[:REPLACE_OPTIMIZE_TABLE]&lt;/td&gt;&lt;td&gt;OPTIMIZE uc0039.factVCSSLast90 REWRITE DATA USING &lt;td&gt;&lt;/td&gt;  </v>
      </c>
    </row>
    <row r="60" spans="1:6">
      <c r="A60" s="205" t="s">
        <v>310</v>
      </c>
      <c r="B60" t="str">
        <f>TEST!E24</f>
        <v>VACUUM uc0039.factVCSSLast90</v>
      </c>
      <c r="E60" s="279">
        <f t="shared" si="3"/>
        <v>1</v>
      </c>
      <c r="F60" s="279" t="str">
        <f t="shared" si="4"/>
        <v xml:space="preserve">&lt;td&gt;[:REPLACE_VACUUM_TABLE]&lt;/td&gt;&lt;td&gt;VACUUM uc0039.factVCSSLast90&lt;td&gt;&lt;/td&gt;  </v>
      </c>
    </row>
    <row r="61" spans="1:6">
      <c r="A61" s="205" t="s">
        <v>311</v>
      </c>
      <c r="B61" t="str">
        <f ca="1">'OUTPUT ICEBERG'!C26</f>
        <v>SELECT  wkVehicle, COUNT(*) FROM uc0039.factVCSSLast90 WHERE   GROUP BY wkVehicle HAVING COUNT(*)&gt;1</v>
      </c>
      <c r="E61" s="279">
        <f t="shared" si="3"/>
        <v>1</v>
      </c>
      <c r="F61" s="279" t="str">
        <f t="shared" ca="1" si="4"/>
        <v xml:space="preserve">&lt;td&gt;[:REPLACE_VERIFY_WK_UNIQUE]&lt;/td&gt;&lt;td&gt;SELECT  wkVehicle, COUNT(*) FROM uc0039.factVCSSLa&lt;td&gt;&lt;/td&gt;  </v>
      </c>
    </row>
    <row r="62" spans="1:6">
      <c r="A62" s="205" t="s">
        <v>312</v>
      </c>
      <c r="B62" t="str">
        <f>'OUTPUT ICEBERG'!C27</f>
        <v/>
      </c>
      <c r="E62" s="279">
        <f t="shared" si="3"/>
        <v>1</v>
      </c>
      <c r="F62" s="279" t="str">
        <f t="shared" si="4"/>
        <v xml:space="preserve">&lt;td&gt;[:REPLACE_VERIFY_WK_NOT_NULL]&lt;/td&gt;&lt;td&gt;&lt;td&gt;&lt;/td&gt;  </v>
      </c>
    </row>
    <row r="63" spans="1:6">
      <c r="A63" s="205" t="s">
        <v>313</v>
      </c>
      <c r="B63" t="str">
        <f>'OUTPUT ICEBERG'!C28</f>
        <v/>
      </c>
      <c r="E63" s="279">
        <f t="shared" si="3"/>
        <v>1</v>
      </c>
      <c r="F63" s="279" t="str">
        <f t="shared" si="4"/>
        <v xml:space="preserve">&lt;td&gt;[:REPLACE_VERIFY_BK_UNIQUE]&lt;/td&gt;&lt;td&gt;&lt;td&gt;&lt;/td&gt;  </v>
      </c>
    </row>
    <row r="64" spans="1:6">
      <c r="E64" s="279">
        <f t="shared" si="3"/>
        <v>0</v>
      </c>
      <c r="F64" s="279" t="str">
        <f t="shared" si="4"/>
        <v/>
      </c>
    </row>
    <row r="65" spans="1:6">
      <c r="A65" s="201" t="s">
        <v>314</v>
      </c>
      <c r="B65" s="192"/>
      <c r="E65" s="279">
        <f t="shared" si="3"/>
        <v>0</v>
      </c>
      <c r="F65" s="279" t="str">
        <f t="shared" si="4"/>
        <v/>
      </c>
    </row>
    <row r="66" spans="1:6">
      <c r="A66" s="205" t="s">
        <v>315</v>
      </c>
      <c r="B66" t="str">
        <f ca="1">'OUTPUT EXTERNAL'!C13</f>
        <v>UNLOAD(SELECT wkVehicle, has_communicated_last_90_days, lake_arrival_date FROM uc0039.source_factVCSSLast90_[:date_yyyymmdd]_v   WHERE lake_arrival_date='[:date_yyyy_mm_dd]') TO  's3://uc0039-vgcs-odl-prod/db/factVCSSLast90/lake_arrival_date=[:date_yyyy_mm_dd]' WITH (format='parquet')</v>
      </c>
      <c r="E66" s="279">
        <f t="shared" ref="E66:E97" si="5">IF(LEFT(A66,2)="[:",1,0)</f>
        <v>1</v>
      </c>
      <c r="F66" s="279" t="str">
        <f t="shared" ca="1" si="4"/>
        <v xml:space="preserve">&lt;td&gt;[:REPLACE_UNLOAD_TABLE]&lt;/td&gt;&lt;td&gt;UNLOAD(SELECT wkVehicle, has_communicated_last_90_&lt;td&gt;&lt;/td&gt;  </v>
      </c>
    </row>
    <row r="67" spans="1:6">
      <c r="A67" s="205" t="s">
        <v>316</v>
      </c>
      <c r="B67" t="str">
        <f ca="1">B66</f>
        <v>UNLOAD(SELECT wkVehicle, has_communicated_last_90_days, lake_arrival_date FROM uc0039.source_factVCSSLast90_[:date_yyyymmdd]_v   WHERE lake_arrival_date='[:date_yyyy_mm_dd]') TO  's3://uc0039-vgcs-odl-prod/db/factVCSSLast90/lake_arrival_date=[:date_yyyy_mm_dd]' WITH (format='parquet')</v>
      </c>
      <c r="E67" s="279">
        <f t="shared" si="5"/>
        <v>1</v>
      </c>
      <c r="F67" s="279" t="str">
        <f t="shared" ca="1" si="4"/>
        <v xml:space="preserve">&lt;td&gt;[:REPLACE_UNLOAD_TARGET_PARTITION]&lt;/td&gt;&lt;td&gt;UNLOAD(SELECT wkVehicle, has_communicated_last_90_&lt;td&gt;&lt;/td&gt;  </v>
      </c>
    </row>
    <row r="68" spans="1:6">
      <c r="A68" s="205" t="s">
        <v>317</v>
      </c>
      <c r="B68" t="str">
        <f ca="1">IF( 'OUTPUT EXTERNAL'!C14="","SELECT current_date", 'OUTPUT EXTERNAL'!C14)</f>
        <v>ALTER TABLE uc0039.factVCSSLast90 ADD IF NOT EXISTS PARTITION  (lake_arrival_date='[:date_yyyy_mm_dd]')</v>
      </c>
      <c r="E68" s="279">
        <f t="shared" si="5"/>
        <v>1</v>
      </c>
      <c r="F68" s="279" t="str">
        <f t="shared" ca="1" si="4"/>
        <v xml:space="preserve">&lt;td&gt;[:REPLACE_ADD_PARTITION]&lt;/td&gt;&lt;td&gt;ALTER TABLE uc0039.factVCSSLast90 ADD IF NOT EXIST&lt;td&gt;&lt;/td&gt;  </v>
      </c>
    </row>
    <row r="69" spans="1:6">
      <c r="A69" s="205" t="s">
        <v>318</v>
      </c>
      <c r="B69" t="str">
        <f ca="1">B68</f>
        <v>ALTER TABLE uc0039.factVCSSLast90 ADD IF NOT EXISTS PARTITION  (lake_arrival_date='[:date_yyyy_mm_dd]')</v>
      </c>
      <c r="C69" t="s">
        <v>269</v>
      </c>
      <c r="E69" s="279">
        <f t="shared" si="5"/>
        <v>1</v>
      </c>
      <c r="F69" s="279" t="str">
        <f t="shared" ca="1" si="4"/>
        <v xml:space="preserve">&lt;td&gt;[:REPLACE_ADD_TARGET_PARTITION]&lt;/td&gt;&lt;td&gt;ALTER TABLE uc0039.factVCSSLast90 ADD IF NOT EXIST&lt;td&gt;Synonym&lt;/td&gt;  </v>
      </c>
    </row>
    <row r="70" spans="1:6">
      <c r="A70" s="205" t="s">
        <v>319</v>
      </c>
      <c r="B70" t="str">
        <f ca="1">'OUTPUT EXTERNAL'!C15</f>
        <v>SELECT COUNT(*) FROM uc0039.factVCSSLast90 WHERE lake_arrival_date='[:date_yyyy_mm_dd]'</v>
      </c>
      <c r="E70" s="279">
        <f t="shared" si="5"/>
        <v>1</v>
      </c>
      <c r="F70" s="279" t="str">
        <f t="shared" ca="1" si="4"/>
        <v xml:space="preserve">&lt;td&gt;[:REPLACE_VERIFY_PARTITION_ROW_COUNT]&lt;/td&gt;&lt;td&gt;SELECT COUNT(*) FROM uc0039.factVCSSLast90 WHERE l&lt;td&gt;&lt;/td&gt;  </v>
      </c>
    </row>
    <row r="71" spans="1:6">
      <c r="A71" s="205" t="s">
        <v>320</v>
      </c>
      <c r="B71" t="str">
        <f ca="1">REPLACE_VERIFY_PARTITION_ROW_COUNT</f>
        <v>SELECT COUNT(*) FROM uc0039.factVCSSLast90 WHERE lake_arrival_date='[:date_yyyy_mm_dd]'</v>
      </c>
      <c r="C71" t="s">
        <v>269</v>
      </c>
      <c r="E71" s="279">
        <f t="shared" si="5"/>
        <v>1</v>
      </c>
      <c r="F71" s="279" t="str">
        <f t="shared" ca="1" si="4"/>
        <v xml:space="preserve">&lt;td&gt;[:REPLACE_VERIFY_TARGET_PARTITION_ROW_COUNT]&lt;/td&gt;&lt;td&gt;SELECT COUNT(*) FROM uc0039.factVCSSLast90 WHERE l&lt;td&gt;Synonym&lt;/td&gt;  </v>
      </c>
    </row>
    <row r="72" spans="1:6">
      <c r="E72" s="279">
        <f t="shared" si="5"/>
        <v>0</v>
      </c>
      <c r="F72" s="279" t="str">
        <f t="shared" si="4"/>
        <v/>
      </c>
    </row>
    <row r="73" spans="1:6">
      <c r="E73" s="279">
        <f t="shared" si="5"/>
        <v>0</v>
      </c>
      <c r="F73" s="279" t="str">
        <f t="shared" si="4"/>
        <v/>
      </c>
    </row>
    <row r="74" spans="1:6">
      <c r="E74" s="279">
        <f t="shared" si="5"/>
        <v>0</v>
      </c>
      <c r="F74" s="279" t="str">
        <f t="shared" si="4"/>
        <v/>
      </c>
    </row>
    <row r="75" spans="1:6">
      <c r="A75" s="30" t="s">
        <v>321</v>
      </c>
      <c r="B75" s="192"/>
      <c r="E75" s="279">
        <f t="shared" si="5"/>
        <v>0</v>
      </c>
      <c r="F75" s="279" t="str">
        <f t="shared" si="4"/>
        <v/>
      </c>
    </row>
    <row r="76" spans="1:6">
      <c r="A76" t="s">
        <v>322</v>
      </c>
      <c r="B76" t="s">
        <v>323</v>
      </c>
      <c r="E76" s="279">
        <f t="shared" si="5"/>
        <v>1</v>
      </c>
      <c r="F76" s="279" t="str">
        <f t="shared" ref="F76:F107" si="6">IF(E76=1,"&lt;td&gt;" &amp; A76 &amp; "&lt;/td&gt;&lt;td&gt;" &amp; LEFT(B76,50) &amp; "&lt;td&gt;" &amp; C76 &amp; "&lt;/td&gt;  ","")</f>
        <v xml:space="preserve">&lt;td&gt;[:REPLACE_RAW_BUCKET_NAME]&lt;/td&gt;&lt;td&gt;odl-raw.prod.shared.eu-west-1.prod.aws.vgthosting.&lt;td&gt;&lt;/td&gt;  </v>
      </c>
    </row>
    <row r="77" spans="1:6">
      <c r="A77" t="s">
        <v>324</v>
      </c>
      <c r="B77" t="s">
        <v>325</v>
      </c>
      <c r="E77" s="279">
        <f t="shared" si="5"/>
        <v>1</v>
      </c>
      <c r="F77" s="279" t="str">
        <f t="shared" si="6"/>
        <v xml:space="preserve">&lt;td&gt;[:REPLACE_RAW_DMS_BUCKET_NAME]&lt;/td&gt;&lt;td&gt;raw-dms-odl-prod&lt;td&gt;&lt;/td&gt;  </v>
      </c>
    </row>
    <row r="78" spans="1:6">
      <c r="A78" t="s">
        <v>326</v>
      </c>
      <c r="B78" t="s">
        <v>327</v>
      </c>
      <c r="E78" s="279">
        <f t="shared" si="5"/>
        <v>1</v>
      </c>
      <c r="F78" s="279" t="str">
        <f t="shared" si="6"/>
        <v xml:space="preserve">&lt;td&gt;[:REPLACE_STAGED_BUCKET_NAME]&lt;/td&gt;&lt;td&gt;staged-odl-prod&lt;td&gt;&lt;/td&gt;  </v>
      </c>
    </row>
    <row r="79" spans="1:6">
      <c r="E79" s="279">
        <f t="shared" si="5"/>
        <v>0</v>
      </c>
      <c r="F79" s="279" t="str">
        <f t="shared" si="6"/>
        <v/>
      </c>
    </row>
    <row r="80" spans="1:6">
      <c r="E80" s="279">
        <f t="shared" si="5"/>
        <v>0</v>
      </c>
      <c r="F80" s="279" t="str">
        <f t="shared" si="6"/>
        <v/>
      </c>
    </row>
    <row r="81" spans="1:6">
      <c r="E81" s="279">
        <f t="shared" si="5"/>
        <v>0</v>
      </c>
      <c r="F81" s="279" t="str">
        <f t="shared" si="6"/>
        <v/>
      </c>
    </row>
    <row r="82" spans="1:6">
      <c r="A82" s="30" t="s">
        <v>328</v>
      </c>
      <c r="B82" s="30"/>
      <c r="E82" s="279">
        <f t="shared" si="5"/>
        <v>0</v>
      </c>
      <c r="F82" s="279" t="str">
        <f t="shared" si="6"/>
        <v/>
      </c>
    </row>
    <row r="83" spans="1:6">
      <c r="A83" t="s">
        <v>329</v>
      </c>
      <c r="E83" s="279">
        <f t="shared" si="5"/>
        <v>1</v>
      </c>
      <c r="F83" s="279" t="str">
        <f t="shared" si="6"/>
        <v xml:space="preserve">&lt;td&gt;[:REPLACE_CREATE_RAW_TABLE]&lt;/td&gt;&lt;td&gt;&lt;td&gt;&lt;/td&gt;  </v>
      </c>
    </row>
    <row r="84" spans="1:6">
      <c r="A84" t="s">
        <v>330</v>
      </c>
      <c r="E84" s="279">
        <f t="shared" si="5"/>
        <v>1</v>
      </c>
      <c r="F84" s="279" t="str">
        <f t="shared" si="6"/>
        <v xml:space="preserve">&lt;td&gt;[:REPLACE_ADD_RAW_PARTITION]&lt;/td&gt;&lt;td&gt;&lt;td&gt;&lt;/td&gt;  </v>
      </c>
    </row>
    <row r="85" spans="1:6">
      <c r="A85" t="s">
        <v>331</v>
      </c>
      <c r="B85" t="str">
        <f>'RAW-TO-STAGED'!B2</f>
        <v>raw_tracking</v>
      </c>
      <c r="E85" s="279">
        <f t="shared" si="5"/>
        <v>1</v>
      </c>
      <c r="F85" s="279" t="str">
        <f t="shared" si="6"/>
        <v xml:space="preserve">&lt;td&gt;[:REPLACE_RAW_DATABASE_NAME]&lt;/td&gt;&lt;td&gt;raw_tracking&lt;td&gt;&lt;/td&gt;  </v>
      </c>
    </row>
    <row r="86" spans="1:6">
      <c r="A86" t="s">
        <v>332</v>
      </c>
      <c r="B86" t="str">
        <f>'RAW-TO-STAGED'!B3</f>
        <v>raw_tracking</v>
      </c>
      <c r="E86" s="279">
        <f t="shared" si="5"/>
        <v>1</v>
      </c>
      <c r="F86" s="279" t="str">
        <f t="shared" si="6"/>
        <v xml:space="preserve">&lt;td&gt;[:REPLACE_RAW_TABLE_NAME]&lt;/td&gt;&lt;td&gt;raw_tracking&lt;td&gt;&lt;/td&gt;  </v>
      </c>
    </row>
    <row r="87" spans="1:6">
      <c r="A87" t="s">
        <v>333</v>
      </c>
      <c r="B87" t="str">
        <f>'RAW-TO-STAGED'!B5</f>
        <v>te2odl</v>
      </c>
      <c r="E87" s="279">
        <f t="shared" si="5"/>
        <v>1</v>
      </c>
      <c r="F87" s="279" t="str">
        <f t="shared" si="6"/>
        <v xml:space="preserve">&lt;td&gt;[:REPLACE_RAW_PREFIX]&lt;/td&gt;&lt;td&gt;te2odl&lt;td&gt;&lt;/td&gt;  </v>
      </c>
    </row>
    <row r="88" spans="1:6">
      <c r="A88" t="s">
        <v>334</v>
      </c>
      <c r="B88" t="str">
        <f>'RAW-TO-STAGED'!B5&amp;IF('RAW-TO-STAGED'!B7="","",IF('RAW-TO-STAGED'!B7="Daily","[:date_yyyymmdd]'",IF('RAW-TO-STAGED'!B7="Hourly","/[:date_yyyymmdd]/[:hour]","")))</f>
        <v>te2odl/[:date_yyyymmdd]/[:hour]</v>
      </c>
      <c r="E88" s="279">
        <f t="shared" si="5"/>
        <v>1</v>
      </c>
      <c r="F88" s="279" t="str">
        <f t="shared" si="6"/>
        <v xml:space="preserve">&lt;td&gt;[:REPLACE_RAW_PARTITION_PREFIX]&lt;/td&gt;&lt;td&gt;te2odl/[:date_yyyymmdd]/[:hour]&lt;td&gt;&lt;/td&gt;  </v>
      </c>
    </row>
    <row r="89" spans="1:6">
      <c r="A89" t="s">
        <v>335</v>
      </c>
      <c r="B89" t="str">
        <f>IF('RAW-TO-STAGED'!B4="API",REPLACE_RAW_BUCKET_NAME,REPLACE_RAW_DMS_BUCKET_NAME)</f>
        <v>odl-raw.prod.shared.eu-west-1.prod.aws.vgthosting.net</v>
      </c>
      <c r="E89" s="279">
        <f t="shared" si="5"/>
        <v>1</v>
      </c>
      <c r="F89" s="279" t="str">
        <f t="shared" si="6"/>
        <v xml:space="preserve">&lt;td&gt;[:REPLACE_RAW_BUCKET]&lt;/td&gt;&lt;td&gt;odl-raw.prod.shared.eu-west-1.prod.aws.vgthosting.&lt;td&gt;&lt;/td&gt;  </v>
      </c>
    </row>
    <row r="90" spans="1:6">
      <c r="A90" t="s">
        <v>336</v>
      </c>
      <c r="B90" t="str">
        <f>"s3://" &amp; REPLACE_RAW_BUCKET &amp; "/" &amp;B88 &amp; "/"</f>
        <v>s3://odl-raw.prod.shared.eu-west-1.prod.aws.vgthosting.net/te2odl/[:date_yyyymmdd]/[:hour]/</v>
      </c>
      <c r="E90" s="279">
        <f t="shared" si="5"/>
        <v>1</v>
      </c>
      <c r="F90" s="279" t="str">
        <f t="shared" si="6"/>
        <v xml:space="preserve">&lt;td&gt;[:REPLACE_RAW_PARTITION_S3_PATH]&lt;/td&gt;&lt;td&gt;s3://odl-raw.prod.shared.eu-west-1.prod.aws.vgthos&lt;td&gt;&lt;/td&gt;  </v>
      </c>
    </row>
    <row r="91" spans="1:6">
      <c r="E91" s="279">
        <f t="shared" si="5"/>
        <v>0</v>
      </c>
      <c r="F91" s="279" t="str">
        <f t="shared" si="6"/>
        <v/>
      </c>
    </row>
    <row r="92" spans="1:6">
      <c r="E92" s="279">
        <f t="shared" si="5"/>
        <v>0</v>
      </c>
      <c r="F92" s="279" t="str">
        <f t="shared" si="6"/>
        <v/>
      </c>
    </row>
    <row r="93" spans="1:6">
      <c r="A93" t="s">
        <v>337</v>
      </c>
      <c r="E93" s="279">
        <f t="shared" si="5"/>
        <v>0</v>
      </c>
      <c r="F93" s="279" t="str">
        <f t="shared" si="6"/>
        <v/>
      </c>
    </row>
    <row r="94" spans="1:6">
      <c r="A94" t="s">
        <v>338</v>
      </c>
      <c r="B94" t="str">
        <f ca="1">COLHELPER!CD152</f>
        <v/>
      </c>
      <c r="E94" s="279">
        <f t="shared" si="5"/>
        <v>1</v>
      </c>
      <c r="F94" s="279" t="str">
        <f t="shared" ca="1" si="6"/>
        <v xml:space="preserve">&lt;td&gt;[:REPLACE_LIST_OF_QUALIFIED_DIMENSIONS]&lt;/td&gt;&lt;td&gt;&lt;td&gt;&lt;/td&gt;  </v>
      </c>
    </row>
    <row r="95" spans="1:6">
      <c r="A95" t="s">
        <v>339</v>
      </c>
      <c r="B95" t="str">
        <f ca="1">_xlfn.TEXTJOIN(",",TRUE,DIMENSIONS!A2:J2)</f>
        <v/>
      </c>
      <c r="E95" s="279">
        <f t="shared" si="5"/>
        <v>1</v>
      </c>
      <c r="F95" s="279" t="str">
        <f t="shared" ca="1" si="6"/>
        <v xml:space="preserve">&lt;td&gt;[:REPLACE_LIST_OF_DIMENSIONS]&lt;/td&gt;&lt;td&gt;&lt;td&gt;&lt;/td&gt;  </v>
      </c>
    </row>
    <row r="96" spans="1:6">
      <c r="A96" t="s">
        <v>340</v>
      </c>
      <c r="B96" t="str">
        <f>_xlfn.TEXTJOIN(" AND ",TRUE,DIMENSIONS!L4:L16)</f>
        <v/>
      </c>
      <c r="E96" s="279">
        <f t="shared" si="5"/>
        <v>1</v>
      </c>
      <c r="F96" s="279" t="str">
        <f t="shared" si="6"/>
        <v xml:space="preserve">&lt;td&gt;[:REPLACE_DIM1_JOINS]&lt;/td&gt;&lt;td&gt;&lt;td&gt;&lt;/td&gt;  </v>
      </c>
    </row>
    <row r="97" spans="1:6">
      <c r="A97" t="s">
        <v>341</v>
      </c>
      <c r="B97" t="str">
        <f>_xlfn.TEXTJOIN(" AND ",TRUE,DIMENSIONS!M4:M16)</f>
        <v/>
      </c>
      <c r="E97" s="279">
        <f t="shared" si="5"/>
        <v>1</v>
      </c>
      <c r="F97" s="279" t="str">
        <f t="shared" si="6"/>
        <v xml:space="preserve">&lt;td&gt;[:REPLACE_DIM2_JOINS]&lt;/td&gt;&lt;td&gt;&lt;td&gt;&lt;/td&gt;  </v>
      </c>
    </row>
    <row r="98" spans="1:6">
      <c r="A98" t="s">
        <v>342</v>
      </c>
      <c r="B98" t="str">
        <f>_xlfn.TEXTJOIN(" AND ",TRUE,DIMENSIONS!N4:N16)</f>
        <v/>
      </c>
      <c r="E98" s="279">
        <f t="shared" ref="E98:E129" si="7">IF(LEFT(A98,2)="[:",1,0)</f>
        <v>1</v>
      </c>
      <c r="F98" s="279" t="str">
        <f t="shared" si="6"/>
        <v xml:space="preserve">&lt;td&gt;[:REPLACE_DIM3_JOINS]&lt;/td&gt;&lt;td&gt;&lt;td&gt;&lt;/td&gt;  </v>
      </c>
    </row>
    <row r="99" spans="1:6">
      <c r="A99" t="s">
        <v>343</v>
      </c>
      <c r="B99" t="str">
        <f>_xlfn.TEXTJOIN(" AND ",TRUE,DIMENSIONS!O4:O16)</f>
        <v/>
      </c>
      <c r="E99" s="279">
        <f t="shared" si="7"/>
        <v>1</v>
      </c>
      <c r="F99" s="279" t="str">
        <f t="shared" si="6"/>
        <v xml:space="preserve">&lt;td&gt;[:REPLACE_DIM4_JOINS]&lt;/td&gt;&lt;td&gt;&lt;td&gt;&lt;/td&gt;  </v>
      </c>
    </row>
    <row r="100" spans="1:6">
      <c r="A100" t="s">
        <v>344</v>
      </c>
      <c r="B100" t="str">
        <f>_xlfn.TEXTJOIN(" AND ",TRUE,DIMENSIONS!P4:P16)</f>
        <v/>
      </c>
      <c r="E100" s="279">
        <f t="shared" si="7"/>
        <v>1</v>
      </c>
      <c r="F100" s="279" t="str">
        <f t="shared" si="6"/>
        <v xml:space="preserve">&lt;td&gt;[:REPLACE_DIM5_JOINS]&lt;/td&gt;&lt;td&gt;&lt;td&gt;&lt;/td&gt;  </v>
      </c>
    </row>
    <row r="101" spans="1:6">
      <c r="E101" s="279">
        <f t="shared" si="7"/>
        <v>0</v>
      </c>
      <c r="F101" s="279" t="str">
        <f t="shared" si="6"/>
        <v/>
      </c>
    </row>
    <row r="102" spans="1:6">
      <c r="E102" s="279">
        <f t="shared" si="7"/>
        <v>0</v>
      </c>
      <c r="F102" s="279" t="str">
        <f t="shared" si="6"/>
        <v/>
      </c>
    </row>
    <row r="103" spans="1:6">
      <c r="A103" t="s">
        <v>345</v>
      </c>
      <c r="B103" t="str">
        <f ca="1">IF(Options!B7=1,'STAGE VIEW 1'!B12, 'STAGE VIEW 1'!C5)</f>
        <v>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E103" s="279">
        <f t="shared" si="7"/>
        <v>1</v>
      </c>
      <c r="F103" s="279" t="str">
        <f t="shared" ca="1" si="6"/>
        <v xml:space="preserve">&lt;td&gt;[:REPLACE_STAGE_VIEW_SELECT]&lt;/td&gt;&lt;td&gt;WITH t1 as (SELECT f.wkVehicle AS wkVehicle, 1 AS &lt;td&gt;&lt;/td&gt;  </v>
      </c>
    </row>
    <row r="104" spans="1:6">
      <c r="E104" s="279">
        <f t="shared" si="7"/>
        <v>0</v>
      </c>
      <c r="F104" s="279" t="str">
        <f t="shared" si="6"/>
        <v/>
      </c>
    </row>
    <row r="105" spans="1:6">
      <c r="E105" s="279">
        <f t="shared" si="7"/>
        <v>0</v>
      </c>
      <c r="F105" s="279" t="str">
        <f t="shared" si="6"/>
        <v/>
      </c>
    </row>
    <row r="106" spans="1:6">
      <c r="E106" s="279">
        <f t="shared" si="7"/>
        <v>0</v>
      </c>
      <c r="F106" s="279" t="str">
        <f t="shared" si="6"/>
        <v/>
      </c>
    </row>
    <row r="107" spans="1:6">
      <c r="A107" t="s">
        <v>346</v>
      </c>
      <c r="E107" s="279">
        <f t="shared" si="7"/>
        <v>0</v>
      </c>
      <c r="F107" s="279" t="str">
        <f t="shared" si="6"/>
        <v/>
      </c>
    </row>
    <row r="108" spans="1:6">
      <c r="A108" s="280" t="s">
        <v>347</v>
      </c>
      <c r="B108" t="str">
        <f>IF(USERINPUT_TABLE_DESCRIPTION="","",USERINPUT_TABLE_DESCRIPTION)</f>
        <v>A fact table containing all vehicles and an idication if the vehicle has comminicated (vcss) the last 90 days or not. 1 menas that the vehicle has communicated and 0 means that it has not.
One full partition per calender day.</v>
      </c>
      <c r="E108" s="279">
        <f t="shared" si="7"/>
        <v>1</v>
      </c>
      <c r="F108" s="279" t="str">
        <f t="shared" ref="F108" si="8">IF(E108=1,"&lt;td&gt;" &amp; A108 &amp; "&lt;/td&gt;&lt;td&gt;" &amp; LEFT(B108,50) &amp; "&lt;td&gt;" &amp; C108 &amp; "&lt;/td&gt;  ","")</f>
        <v xml:space="preserve">&lt;td&gt;[:REPLACE_TABLE_DESCRIPTION]&lt;/td&gt;&lt;td&gt;A fact table containing all vehicles and an idicat&lt;td&gt;&lt;/td&gt;  </v>
      </c>
    </row>
    <row r="109" spans="1:6">
      <c r="A109" s="280" t="s">
        <v>348</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c r="E109" s="279">
        <f t="shared" si="7"/>
        <v>1</v>
      </c>
      <c r="F109" s="279" t="str">
        <f>IF(E109=1,"&lt;td&gt;" &amp; A109 &amp; "&lt;/td&gt;&lt;td&gt;" &amp; "" &amp; "&lt;td&gt;" &amp; C109 &amp; "&lt;/td&gt;  ","")</f>
        <v xml:space="preserve">&lt;td&gt;[:REPLACE_TABLE_TARGET_TABLE_HTML]&lt;/td&gt;&lt;td&gt;&lt;td&gt;&lt;/td&gt;  </v>
      </c>
    </row>
    <row r="110" spans="1:6">
      <c r="A110" s="215" t="s">
        <v>349</v>
      </c>
      <c r="B110" t="str">
        <f>IF(REPLACE_USE_SOURCE_VIEW=1, "Visible","Hidden")</f>
        <v>Hidden</v>
      </c>
      <c r="E110" s="279">
        <f t="shared" si="7"/>
        <v>1</v>
      </c>
      <c r="F110" s="279" t="str">
        <f t="shared" ref="F110:F115" si="9">IF(E110=1,"&lt;td&gt;" &amp; A110 &amp; "&lt;/td&gt;&lt;td&gt;" &amp; LEFT(B110,50) &amp; "&lt;td&gt;" &amp; C110 &amp; "&lt;/td&gt;  ","")</f>
        <v xml:space="preserve">&lt;td&gt;[:REPLACE_SOURCE_VIEW_VISABILITY]&lt;/td&gt;&lt;td&gt;Hidden&lt;td&gt;&lt;/td&gt;  </v>
      </c>
    </row>
    <row r="111" spans="1:6">
      <c r="A111" s="280" t="s">
        <v>350</v>
      </c>
      <c r="B111" t="str">
        <f>IF(Options!B19=0,"Visible","Hidden")</f>
        <v>Visible</v>
      </c>
      <c r="E111" s="279">
        <f t="shared" si="7"/>
        <v>1</v>
      </c>
      <c r="F111" s="279" t="str">
        <f t="shared" si="9"/>
        <v xml:space="preserve">&lt;td&gt;[:REPLACE_SOURCE_TABLE_VISABILITY]&lt;/td&gt;&lt;td&gt;Visible&lt;td&gt;&lt;/td&gt;  </v>
      </c>
    </row>
    <row r="112" spans="1:6">
      <c r="A112" s="280" t="s">
        <v>351</v>
      </c>
      <c r="B112" t="str">
        <f>IF(USERINPUT_SOURCE_VIEW_DESCRIPTION="","",USERINPUT_SOURCE_VIEW_DESCRIPTION)</f>
        <v>Custom source view</v>
      </c>
      <c r="E112" s="279">
        <f t="shared" si="7"/>
        <v>1</v>
      </c>
      <c r="F112" s="279" t="str">
        <f t="shared" si="9"/>
        <v xml:space="preserve">&lt;td&gt;[:REPLACE_SOURCE_VIEW_DESCRIPTION]&lt;/td&gt;&lt;td&gt;Custom source view&lt;td&gt;&lt;/td&gt;  </v>
      </c>
    </row>
    <row r="113" spans="1:6">
      <c r="A113" s="280" t="s">
        <v>352</v>
      </c>
      <c r="B113" t="str">
        <f>DIMENSIONS_JOIN_CONDITION_TABLE</f>
        <v>&lt;table&gt;&lt;th&gt;Dimension&lt;/th&gt;&lt;th&gt;Join Conditions&lt;/th&gt;&lt;/table&gt;</v>
      </c>
      <c r="E113" s="279">
        <f t="shared" si="7"/>
        <v>1</v>
      </c>
      <c r="F113" s="279" t="str">
        <f t="shared" si="9"/>
        <v xml:space="preserve">&lt;td&gt;[:REPLACE_DIMENSIONS_JOIN_CONDITION_TABLE]&lt;/td&gt;&lt;td&gt;&lt;table&gt;&lt;th&gt;Dimension&lt;/th&gt;&lt;th&gt;Join Conditions&lt;/th&gt;&lt;&lt;td&gt;&lt;/td&gt;  </v>
      </c>
    </row>
    <row r="114" spans="1:6">
      <c r="E114" s="279">
        <f t="shared" si="7"/>
        <v>0</v>
      </c>
      <c r="F114" s="279" t="str">
        <f t="shared" si="9"/>
        <v/>
      </c>
    </row>
    <row r="115" spans="1:6">
      <c r="E115" s="279">
        <f t="shared" si="7"/>
        <v>0</v>
      </c>
      <c r="F115" s="279" t="str">
        <f t="shared" si="9"/>
        <v/>
      </c>
    </row>
    <row r="116" spans="1:6">
      <c r="A116" t="s">
        <v>353</v>
      </c>
      <c r="B116" t="str">
        <f ca="1">G1</f>
        <v>&lt;table&gt;&lt;th&gt;Variable&lt;/th&gt;&lt;th&gt;Sample Value&lt;/th&gt;&lt;th&gt;comment&lt;/th&gt;&lt;tr&gt;&lt;td&gt;[:REPLACE_CURRENT_DATE]&lt;/td&gt;&lt;td&gt;2024-01-25 18:45&lt;td&gt;Current Date&lt;/td&gt;  &lt;/tr&gt;&lt;tr&gt;&lt;td&gt;[:REPLACE_CODEGEN_VERSION]&lt;/td&gt;&lt;td&gt;118&lt;td&gt;Version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&lt;/tr&gt;&lt;tr&gt;&lt;td&gt;[:REPLACE_FULL_SOURCE_TABLE_NAME]&lt;/td&gt;&lt;td&gt;staged.conrepo_activationdtp_p&lt;td&gt;&lt;/td&gt;  &lt;/tr&gt;&lt;tr&gt;&lt;td&gt;[:REPLACE_SOURCE_TABLE_NAME]&lt;/td&gt;&lt;td&gt;conrepo_activationdtp_p&lt;td&gt;&lt;/td&gt;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&lt;td&gt;&lt;/td&gt;  &lt;/tr&gt;&lt;tr&gt;&lt;td&gt;[:REPLACE_DROP_STAGE_VIEW]&lt;/td&gt;&lt;td&gt;drop view uc0039.source_factVCSSLast90_[:date_yyyy&lt;td&gt;&lt;/td&gt;  &lt;/tr&gt;&lt;tr&gt;&lt;td&gt;[:REPLACE_DROP_SOURCE_VIEW]&lt;/td&gt;&lt;td&gt;select current_date --just so we do not try to exe&lt;td&gt;&lt;/td&gt;  &lt;/tr&gt;&lt;tr&gt;&lt;td&gt;[:REPLACE_SOURCE_VIEW_NAME]&lt;/td&gt;&lt;td&gt;staged.conrepo_activationdtp_p&lt;td&gt;&lt;/td&gt;  &lt;/tr&gt;&lt;tr&gt;&lt;td&gt;[:REPLACE_SOURCE_VIEW]&lt;/td&gt;&lt;td&gt;select current_date --just so we do not try to exe&lt;td&gt;&lt;/td&gt;  &lt;/tr&gt;&lt;tr&gt;&lt;td&gt;[:REPLACE_IS_SOURCE_VIEW_IN_USE]&lt;/td&gt;&lt;td&gt;0&lt;td&gt;&lt;/td&gt;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staged.conrepo_a&lt;td&gt;&lt;/td&gt;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&lt;/tr&gt;&lt;tr&gt;&lt;td&gt;[:REPLACE_SQL_CUSTOM_SOURCE_VIEW]&lt;/td&gt;&lt;td&gt;SELECT * FROM staged.conrepo_activationdtp_p&lt;td&gt;&lt;/td&gt;  &lt;/tr&gt;&lt;tr&gt;&lt;td&gt;[:REPLACE_SELECT_STAR_FROM_SOURCE_TABLE]&lt;/td&gt;&lt;td&gt;SELECT * FROM staged.conrepo_activationdtp_p&lt;td&gt;&lt;/td&gt;  &lt;/tr&gt;&lt;/table&gt;</v>
      </c>
      <c r="C116" t="s">
        <v>354</v>
      </c>
      <c r="E116" s="279">
        <f t="shared" si="7"/>
        <v>1</v>
      </c>
      <c r="F116" s="279" t="str">
        <f>IF(E116=1,"&lt;td&gt;" &amp; A116 &amp; "&lt;/td&gt;&lt;td&gt;" &amp; "" &amp; "&lt;td&gt;" &amp; C116 &amp; "&lt;/td&gt;  ","")</f>
        <v xml:space="preserve">&lt;td&gt;[:REPLACE_TEMPLATE_VARIABLES_TABLE]&lt;/td&gt;&lt;td&gt;&lt;td&gt;A list over available variables&lt;/td&gt;  </v>
      </c>
    </row>
    <row r="117" spans="1:6">
      <c r="A117" t="s">
        <v>355</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9">
        <f t="shared" si="7"/>
        <v>1</v>
      </c>
      <c r="F117" s="279"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9">
        <f t="shared" si="7"/>
        <v>0</v>
      </c>
      <c r="F118" s="279" t="str">
        <f t="shared" si="10"/>
        <v/>
      </c>
    </row>
    <row r="119" spans="1:6">
      <c r="E119" s="279">
        <f t="shared" si="7"/>
        <v>0</v>
      </c>
      <c r="F119" s="279" t="str">
        <f t="shared" si="10"/>
        <v/>
      </c>
    </row>
    <row r="120" spans="1:6">
      <c r="A120" t="s">
        <v>356</v>
      </c>
      <c r="E120" s="279">
        <f t="shared" si="7"/>
        <v>1</v>
      </c>
      <c r="F120" s="279" t="str">
        <f t="shared" si="10"/>
        <v xml:space="preserve">&lt;td&gt;[:REPLACE_HTML_TABLE_OF_DIMENSIONS]&lt;/td&gt;&lt;td&gt;&lt;td&gt;&lt;/td&gt;  </v>
      </c>
    </row>
    <row r="121" spans="1:6">
      <c r="E121" s="279">
        <f t="shared" si="7"/>
        <v>0</v>
      </c>
      <c r="F121" s="279" t="str">
        <f t="shared" si="10"/>
        <v/>
      </c>
    </row>
    <row r="122" spans="1:6">
      <c r="A122" t="s">
        <v>357</v>
      </c>
      <c r="B122">
        <f>USERINPUT_USE_SOURCE_VIEW</f>
        <v>0</v>
      </c>
      <c r="E122" s="279">
        <f t="shared" si="7"/>
        <v>1</v>
      </c>
      <c r="F122" s="279" t="str">
        <f t="shared" si="10"/>
        <v xml:space="preserve">&lt;td&gt;[:REPLACE_USE_SOURCE_VIEW]&lt;/td&gt;&lt;td&gt;0&lt;td&gt;&lt;/td&gt;  </v>
      </c>
    </row>
    <row r="123" spans="1:6">
      <c r="E123" s="279">
        <f t="shared" si="7"/>
        <v>0</v>
      </c>
      <c r="F123" s="279" t="str">
        <f t="shared" si="10"/>
        <v/>
      </c>
    </row>
    <row r="124" spans="1:6" s="192" customFormat="1">
      <c r="A124" s="30" t="s">
        <v>358</v>
      </c>
      <c r="E124" s="270">
        <f t="shared" si="7"/>
        <v>0</v>
      </c>
      <c r="F124" s="270" t="str">
        <f t="shared" si="10"/>
        <v/>
      </c>
    </row>
    <row r="125" spans="1:6">
      <c r="A125" s="280" t="s">
        <v>359</v>
      </c>
      <c r="B125" t="str">
        <f>'SCD4'!B28</f>
        <v>drop table if exists uc0039.factVCSSLast90_history</v>
      </c>
      <c r="E125" s="279">
        <f t="shared" si="7"/>
        <v>1</v>
      </c>
    </row>
    <row r="126" spans="1:6">
      <c r="A126" t="s">
        <v>360</v>
      </c>
      <c r="B126" s="269"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c r="E126" s="279">
        <f t="shared" si="7"/>
        <v>1</v>
      </c>
      <c r="F126" s="279" t="str">
        <f ca="1">IF(E126=1,"&lt;td&gt;" &amp; A126 &amp; "&lt;/td&gt;&lt;td&gt;" &amp; LEFT(B126,50) &amp; "&lt;td&gt;" &amp; C126 &amp; "&lt;/td&gt;  ","")</f>
        <v xml:space="preserve">&lt;td&gt;[:REPLACE_CREATE_MINI_DIMENSION]&lt;/td&gt;&lt;td&gt;CREATE TABLE IF NOT EXISTS  uc0039.factVCSSLast90_&lt;td&gt;&lt;/td&gt;  </v>
      </c>
    </row>
    <row r="127" spans="1:6" ht="28.5" customHeight="1">
      <c r="A127" t="s">
        <v>361</v>
      </c>
      <c r="B127" s="19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c r="E127" s="279">
        <f t="shared" si="7"/>
        <v>1</v>
      </c>
      <c r="F127" s="279" t="str">
        <f ca="1">IF(E127=1,"&lt;td&gt;" &amp; A127 &amp; "&lt;/td&gt;&lt;td&gt;" &amp; LEFT(B127,50) &amp; "&lt;td&gt;" &amp; C127 &amp; "&lt;/td&gt;  ","")</f>
        <v xml:space="preserve">&lt;td&gt;[:REPLACE_POPULATE_MINI_DIMENSION]&lt;/td&gt;&lt;td&gt;MERGE INTO uc0039.factVCSSLast90_history AS trg   &lt;td&gt;&lt;/td&gt;  </v>
      </c>
    </row>
    <row r="128" spans="1:6">
      <c r="A128" t="s">
        <v>362</v>
      </c>
      <c r="B128" s="269" t="str">
        <f>'SCD4'!B26</f>
        <v>UPDATE uc0039.factVCSSLast90_history SET iscurrent=0</v>
      </c>
      <c r="E128" s="279">
        <f t="shared" si="7"/>
        <v>1</v>
      </c>
      <c r="F128" s="279" t="str">
        <f>IF(E128=1,"&lt;td&gt;" &amp; A128 &amp; "&lt;/td&gt;&lt;td&gt;" &amp; LEFT(B128,50) &amp; "&lt;td&gt;" &amp; C128 &amp; "&lt;/td&gt;  ","")</f>
        <v xml:space="preserve">&lt;td&gt;[:REPLACE_SET_ISCURRENT_0_MINI_DIMENSION]&lt;/td&gt;&lt;td&gt;UPDATE uc0039.factVCSSLast90_history SET iscurrent&lt;td&gt;&lt;/td&gt;  </v>
      </c>
    </row>
    <row r="129" spans="1:6">
      <c r="A129" t="s">
        <v>363</v>
      </c>
      <c r="B129" s="269" t="str">
        <f>'SCD4'!B28</f>
        <v>drop table if exists uc0039.factVCSSLast90_history</v>
      </c>
      <c r="E129" s="279">
        <f t="shared" si="7"/>
        <v>1</v>
      </c>
      <c r="F129" s="279" t="str">
        <f>IF(E129=1,"&lt;td&gt;" &amp; A129 &amp; "&lt;/td&gt;&lt;td&gt;" &amp; LEFT(B129,50) &amp; "&lt;td&gt;" &amp; C129 &amp; "&lt;/td&gt;  ","")</f>
        <v xml:space="preserve">&lt;td&gt;[:REPLACE_DROP_TABLE_MINI_DIMENSION]&lt;/td&gt;&lt;td&gt;drop table if exists uc0039.factVCSSLast90_history&lt;td&gt;&lt;/td&gt;  </v>
      </c>
    </row>
    <row r="130" spans="1:6">
      <c r="A130" t="s">
        <v>364</v>
      </c>
      <c r="B130" t="str">
        <f>'SCD4'!B4</f>
        <v>factVCSSLast90_history</v>
      </c>
      <c r="E130" s="279">
        <f t="shared" ref="E130:E147" si="11">IF(LEFT(A130,2)="[:",1,0)</f>
        <v>1</v>
      </c>
      <c r="F130" s="279" t="str">
        <f>IF(E130=1,"&lt;td&gt;" &amp; A130 &amp; "&lt;/td&gt;&lt;td&gt;" &amp; LEFT(B130,50) &amp; "&lt;td&gt;" &amp; C130 &amp; "&lt;/td&gt;  ","")</f>
        <v xml:space="preserve">&lt;td&gt;[:REPLACE_TABLE_NAME_MINI_DIMENSION]&lt;/td&gt;&lt;td&gt;factVCSSLast90_history&lt;td&gt;&lt;/td&gt;  </v>
      </c>
    </row>
    <row r="131" spans="1:6">
      <c r="A131" t="s">
        <v>365</v>
      </c>
      <c r="B131" t="str">
        <f>'SCD4'!B5</f>
        <v>uc0039.factVCSSLast90_history</v>
      </c>
      <c r="E131" s="279">
        <f t="shared" si="11"/>
        <v>1</v>
      </c>
    </row>
    <row r="132" spans="1:6">
      <c r="A132" t="s">
        <v>366</v>
      </c>
      <c r="B132" s="269" t="str">
        <f ca="1">'SCD4'!B32</f>
        <v>INSERT INTO uc0039.factVCSSLast90_history(,hashkey, load_date , last_modified_timestamp  , IsCurrent) VALUES (0,'missing','', CAST(current_timestamp as timestamp),CAST(current_timestamp as timestamp),CAST(current_timestamp as timestamp),1)</v>
      </c>
      <c r="E132" s="279">
        <f t="shared" si="11"/>
        <v>1</v>
      </c>
      <c r="F132" s="279" t="str">
        <f t="shared" ref="F132:F137" ca="1" si="12">IF(E132=1,"&lt;td&gt;" &amp; A132 &amp; "&lt;/td&gt;&lt;td&gt;" &amp; LEFT(B132,50) &amp; "&lt;td&gt;" &amp; C132 &amp; "&lt;/td&gt;  ","")</f>
        <v xml:space="preserve">&lt;td&gt;[:REPLACE_MISSING_MEMBER_MINI_DIMENSION]&lt;/td&gt;&lt;td&gt;INSERT INTO uc0039.factVCSSLast90_history(,hashkey&lt;td&gt;&lt;/td&gt;  </v>
      </c>
    </row>
    <row r="133" spans="1:6">
      <c r="A133" t="s">
        <v>367</v>
      </c>
      <c r="B133" s="269" t="str">
        <f>'SCD4'!B27</f>
        <v/>
      </c>
      <c r="E133" s="279">
        <f t="shared" si="11"/>
        <v>1</v>
      </c>
      <c r="F133" s="279" t="str">
        <f t="shared" si="12"/>
        <v xml:space="preserve">&lt;td&gt;[:REPLACE_SET_ISCURRENT_1_MINI_DIMENSION]&lt;/td&gt;&lt;td&gt;&lt;td&gt;&lt;/td&gt;  </v>
      </c>
    </row>
    <row r="134" spans="1:6">
      <c r="A134" t="s">
        <v>368</v>
      </c>
      <c r="B134" s="269" t="str">
        <f>TEST!E22</f>
        <v>OPTIMIZE uc0039.factVCSSLast90_history  REWRITE DATA USING BIN_PACK</v>
      </c>
      <c r="E134" s="279">
        <f t="shared" si="11"/>
        <v>1</v>
      </c>
      <c r="F134" s="279" t="str">
        <f t="shared" si="12"/>
        <v xml:space="preserve">&lt;td&gt;[:REPLACE_OPTIMIZE_TABLE_MINI_DIMENSION]&lt;/td&gt;&lt;td&gt;OPTIMIZE uc0039.factVCSSLast90_history  REWRITE DA&lt;td&gt;&lt;/td&gt;  </v>
      </c>
    </row>
    <row r="135" spans="1:6">
      <c r="A135" t="s">
        <v>369</v>
      </c>
      <c r="B135">
        <f ca="1">IF(Options!B3=1, IF(COLHELPER!CC152&gt;0,1,0),0)</f>
        <v>0</v>
      </c>
      <c r="C135" t="s">
        <v>370</v>
      </c>
      <c r="E135" s="279">
        <f t="shared" si="11"/>
        <v>1</v>
      </c>
      <c r="F135" s="279" t="str">
        <f t="shared" ca="1" si="12"/>
        <v xml:space="preserve">&lt;td&gt;[:REPLACE_USE_MINI_DIMENSION]&lt;/td&gt;&lt;td&gt;0&lt;td&gt;Do we have any SCD-4 columns&lt;/td&gt;  </v>
      </c>
    </row>
    <row r="136" spans="1:6">
      <c r="A136" t="s">
        <v>371</v>
      </c>
      <c r="B136" t="str">
        <f>'SCD4'!B5</f>
        <v>uc0039.factVCSSLast90_history</v>
      </c>
      <c r="E136" s="279">
        <f t="shared" si="11"/>
        <v>1</v>
      </c>
      <c r="F136" s="279" t="str">
        <f t="shared" si="12"/>
        <v xml:space="preserve">&lt;td&gt;[:REPLACE_TARGET_TABLE_NAME_MINI_DIMENSION]&lt;/td&gt;&lt;td&gt;uc0039.factVCSSLast90_history&lt;td&gt;&lt;/td&gt;  </v>
      </c>
    </row>
    <row r="137" spans="1:6">
      <c r="A137" s="190" t="s">
        <v>372</v>
      </c>
      <c r="B137" s="190" t="str">
        <f ca="1">'SCD4'!B37</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c r="E137" s="279">
        <f t="shared" si="11"/>
        <v>1</v>
      </c>
      <c r="F137" s="279" t="str">
        <f t="shared" ca="1" si="12"/>
        <v xml:space="preserve">&lt;td&gt;[:REPLACE_SCD4_CREATE_FACTLESSFACT_TABLE]&lt;/td&gt;&lt;td&gt;CREATE TABLE IF NOT EXISTS  uc0039.factfactVCSSLas&lt;td&gt;&lt;/td&gt;  </v>
      </c>
    </row>
    <row r="138" spans="1:6">
      <c r="A138" s="190" t="s">
        <v>373</v>
      </c>
      <c r="B138" s="190" t="str">
        <f>'SCD4'!B38</f>
        <v>drop table if exists uc0039.factfactVCSSLast90factVCSSLast90history</v>
      </c>
      <c r="E138" s="279">
        <f t="shared" si="11"/>
        <v>1</v>
      </c>
    </row>
    <row r="139" spans="1:6">
      <c r="A139" s="190" t="s">
        <v>374</v>
      </c>
      <c r="B139" s="190" t="str">
        <f ca="1">'SCD4'!B44</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c r="E139" s="279">
        <f t="shared" si="11"/>
        <v>1</v>
      </c>
    </row>
    <row r="140" spans="1:6">
      <c r="A140" s="190" t="s">
        <v>375</v>
      </c>
      <c r="B140" s="190" t="str">
        <f ca="1">'SCD4'!B50</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c r="E140" s="279">
        <f t="shared" si="11"/>
        <v>1</v>
      </c>
    </row>
    <row r="141" spans="1:6">
      <c r="A141" t="s">
        <v>376</v>
      </c>
      <c r="B141" t="str">
        <f ca="1">IF(REPLACE_USE_MINI_DIMENSION=1,"display: block","display: none")</f>
        <v>display: none</v>
      </c>
      <c r="E141" s="279">
        <f t="shared" si="11"/>
        <v>1</v>
      </c>
      <c r="F141" s="279" t="str">
        <f t="shared" ref="F141:F147" ca="1" si="13">IF(E141=1,"&lt;td&gt;" &amp; A141 &amp; "&lt;/td&gt;&lt;td&gt;" &amp; LEFT(B141,50) &amp; "&lt;td&gt;" &amp; C141 &amp; "&lt;/td&gt;  ","")</f>
        <v xml:space="preserve">&lt;td&gt;[:REPLACE_HTML_SHOW_MINI_DIMENSION]&lt;/td&gt;&lt;td&gt;display: none&lt;td&gt;&lt;/td&gt;  </v>
      </c>
    </row>
    <row r="142" spans="1:6">
      <c r="A142" s="190" t="s">
        <v>377</v>
      </c>
      <c r="B142" s="190" t="str">
        <f>TEST!E26</f>
        <v>OPTIMIZE uc0039.factfactVCSSLast90factVCSSLast90history  REWRITE DATA USING BIN_PACK</v>
      </c>
      <c r="E142" s="279">
        <f t="shared" si="11"/>
        <v>1</v>
      </c>
      <c r="F142" s="279" t="str">
        <f t="shared" si="13"/>
        <v xml:space="preserve">&lt;td&gt;[:REPLACE_SCD4_OPTIMIZE_FACTLESSFACT_TABLE]&lt;/td&gt;&lt;td&gt;OPTIMIZE uc0039.factfactVCSSLast90factVCSSLast90hi&lt;td&gt;&lt;/td&gt;  </v>
      </c>
    </row>
    <row r="143" spans="1:6">
      <c r="A143" s="190" t="s">
        <v>378</v>
      </c>
      <c r="B143" t="str">
        <f>'SCD4'!B38</f>
        <v>drop table if exists uc0039.factfactVCSSLast90factVCSSLast90history</v>
      </c>
      <c r="E143" s="279">
        <f t="shared" si="11"/>
        <v>1</v>
      </c>
      <c r="F143" s="279" t="str">
        <f t="shared" si="13"/>
        <v xml:space="preserve">&lt;td&gt;[:REPLACE_SCD4_FACTLESSFACT_DROP_TABLE]&lt;/td&gt;&lt;td&gt;drop table if exists uc0039.factfactVCSSLast90fact&lt;td&gt;&lt;/td&gt;  </v>
      </c>
    </row>
    <row r="144" spans="1:6">
      <c r="A144" t="s">
        <v>379</v>
      </c>
      <c r="B144" t="str">
        <f>'STAGE VIEW 1'!B20</f>
        <v/>
      </c>
      <c r="E144" s="279">
        <f t="shared" si="11"/>
        <v>1</v>
      </c>
      <c r="F144" s="279" t="str">
        <f t="shared" si="13"/>
        <v xml:space="preserve">&lt;td&gt;[:REPLACE_GENERATED_SOURCE_TABLE_SELECT]&lt;/td&gt;&lt;td&gt;&lt;td&gt;&lt;/td&gt;  </v>
      </c>
    </row>
    <row r="145" spans="1:6">
      <c r="A145" s="190" t="s">
        <v>380</v>
      </c>
      <c r="B145" t="str">
        <f>'SCD4'!B61</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9">
        <f t="shared" si="11"/>
        <v>1</v>
      </c>
      <c r="F145" s="279" t="str">
        <f t="shared" si="13"/>
        <v xml:space="preserve">&lt;td&gt;[:REPLACE_SCD4_FACTLESSFACT_CREATE_INITIAL_LOAD_VIEW]&lt;/td&gt;&lt;td&gt;CREATE OR REPLACE VIEW uc0039.factfactVCSSLast90fa&lt;td&gt;&lt;/td&gt;  </v>
      </c>
    </row>
    <row r="146" spans="1:6">
      <c r="A146" s="190" t="s">
        <v>381</v>
      </c>
      <c r="B146"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46" s="279">
        <f t="shared" si="11"/>
        <v>1</v>
      </c>
      <c r="F146" s="279" t="str">
        <f t="shared" ca="1" si="13"/>
        <v xml:space="preserve">&lt;td&gt;[:REPLACE_SCD4_FACTLESSFACT_INSERT_INITIAL_DATA]&lt;/td&gt;&lt;td&gt;INSERT INTO uc0039.factfactVCSSLast90factVCSSLast9&lt;td&gt;&lt;/td&gt;  </v>
      </c>
    </row>
    <row r="147" spans="1:6">
      <c r="A147" t="s">
        <v>382</v>
      </c>
      <c r="B147" t="str">
        <f ca="1">IF(DIMENSIONS!Q63="","", DIMENSIONS!Q63 &amp;  ", ") &amp; COLHELPER!T152</f>
        <v>wkVehicle</v>
      </c>
      <c r="E147" s="279">
        <f t="shared" si="11"/>
        <v>1</v>
      </c>
      <c r="F147" s="279" t="str">
        <f t="shared" ca="1" si="13"/>
        <v xml:space="preserve">&lt;td&gt;[:REPLACE_LIST_OF_BK_IN_SOURCE]&lt;/td&gt;&lt;td&gt;wkVehicle&lt;td&gt;&lt;/td&gt;  </v>
      </c>
    </row>
    <row r="148" spans="1:6" ht="40.5" customHeight="1">
      <c r="A148" t="s">
        <v>383</v>
      </c>
      <c r="B148" t="str">
        <f ca="1">IF(DIMENSIONS!Q63="","", DIMENSIONS!Q63 &amp;  ", ") &amp; COLHELPER!U152</f>
        <v>wkVehicle</v>
      </c>
    </row>
    <row r="149" spans="1:6" ht="114" customHeight="1">
      <c r="A149" t="s">
        <v>384</v>
      </c>
      <c r="B149" s="285"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wkVehicle FROM staged.conrepo_activationdtp_p ) SELECT wkVehicle,COUNT(*) FROM t1 GROUP BY wkVehicle HAVING COUNT(*)&gt;1</v>
      </c>
      <c r="E149" s="279">
        <f t="shared" ref="E149:E180" si="14">IF(LEFT(A149,2)="[:",1,0)</f>
        <v>1</v>
      </c>
      <c r="F149" s="279" t="str">
        <f t="shared" ref="F149:F180" ca="1" si="15">IF(E149=1,"&lt;td&gt;" &amp; A149 &amp; "&lt;/td&gt;&lt;td&gt;" &amp; LEFT(B149,50) &amp; "&lt;td&gt;" &amp; C149 &amp; "&lt;/td&gt;  ","")</f>
        <v xml:space="preserve">&lt;td&gt;[:REPLACE_TEST_SOURCE_BK]&lt;/td&gt;&lt;td&gt;WITH t1 As (SELECT wkVehicle FROM staged.conrepo_a&lt;td&gt;&lt;/td&gt;  </v>
      </c>
    </row>
    <row r="150" spans="1:6">
      <c r="E150" s="279">
        <f t="shared" si="14"/>
        <v>0</v>
      </c>
      <c r="F150" s="279" t="str">
        <f t="shared" si="15"/>
        <v/>
      </c>
    </row>
    <row r="151" spans="1:6">
      <c r="E151" s="279">
        <f t="shared" si="14"/>
        <v>0</v>
      </c>
      <c r="F151" s="279" t="str">
        <f t="shared" si="15"/>
        <v/>
      </c>
    </row>
    <row r="152" spans="1:6">
      <c r="A152" t="s">
        <v>385</v>
      </c>
      <c r="B152" t="str">
        <f>'SCD4'!B56</f>
        <v>odl_dwh_raw.common_dim_vehicle_tea2plus_history</v>
      </c>
      <c r="E152" s="279">
        <f t="shared" si="14"/>
        <v>1</v>
      </c>
      <c r="F152" s="279" t="str">
        <f t="shared" si="15"/>
        <v xml:space="preserve">&lt;td&gt;[:REPLACE_SCD4_INITIAL_LOAD_MINI_DIM_SOURCE_TABLE_NAME]&lt;/td&gt;&lt;td&gt;odl_dwh_raw.common_dim_vehicle_tea2plus_history&lt;td&gt;&lt;/td&gt;  </v>
      </c>
    </row>
    <row r="153" spans="1:6">
      <c r="A153" t="s">
        <v>386</v>
      </c>
      <c r="B153"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3" s="279">
        <f t="shared" si="14"/>
        <v>1</v>
      </c>
      <c r="F153" s="279" t="str">
        <f t="shared" ca="1" si="15"/>
        <v xml:space="preserve">&lt;td&gt;[:REPLACE_SCD4_INITIAL_LOAD_POPULATE_MINI_DIM]&lt;/td&gt;&lt;td&gt;MERGE INTO uc0039.factVCSSLast90_history AS trg   &lt;td&gt;&lt;/td&gt;  </v>
      </c>
    </row>
    <row r="154" spans="1:6">
      <c r="A154" t="s">
        <v>387</v>
      </c>
      <c r="B154"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54" s="279">
        <f t="shared" si="14"/>
        <v>1</v>
      </c>
      <c r="F154" s="279" t="str">
        <f t="shared" ca="1" si="15"/>
        <v xml:space="preserve">&lt;td&gt;[:REPLACE_SCD4_INITIAL_LOAD_POPULATE_FACTLESSFACT]&lt;/td&gt;&lt;td&gt;INSERT INTO uc0039.factfactVCSSLast90factVCSSLast9&lt;td&gt;&lt;/td&gt;  </v>
      </c>
    </row>
    <row r="155" spans="1:6">
      <c r="A155" t="s">
        <v>388</v>
      </c>
      <c r="B155"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5" s="279">
        <f t="shared" si="14"/>
        <v>1</v>
      </c>
      <c r="F155" s="279" t="str">
        <f t="shared" ca="1" si="15"/>
        <v xml:space="preserve">&lt;td&gt;[:REPLACE_SCD4_INITIAL_LOAD_MINI_DIM]&lt;/td&gt;&lt;td&gt;MERGE INTO uc0039.factVCSSLast90_history AS trg   &lt;td&gt;&lt;/td&gt;  </v>
      </c>
    </row>
    <row r="156" spans="1:6">
      <c r="E156" s="279">
        <f t="shared" si="14"/>
        <v>0</v>
      </c>
      <c r="F156" s="279" t="str">
        <f t="shared" si="15"/>
        <v/>
      </c>
    </row>
    <row r="157" spans="1:6">
      <c r="E157" s="279">
        <f t="shared" si="14"/>
        <v>0</v>
      </c>
      <c r="F157" s="279" t="str">
        <f t="shared" si="15"/>
        <v/>
      </c>
    </row>
    <row r="158" spans="1:6">
      <c r="A158" t="s">
        <v>389</v>
      </c>
      <c r="B158" t="str">
        <f>IF(USERINPUT_USE_SOURCE_VIEW=0,IF(Options!B7=1,REPLACE_TEST_SOURCE_BK, IF(Options!B7=33,REPLACE_SELECT_STAR_FROM_SOURCE_TABLE,  IF(USERINPUT_SOURCE_VIEW="","",USERINPUT_SOURCE_VIEW))))</f>
        <v>SELECT * FROM staged.conrepo_activationdtp_p</v>
      </c>
      <c r="E158" s="279">
        <f t="shared" si="14"/>
        <v>1</v>
      </c>
      <c r="F158" s="279" t="str">
        <f t="shared" si="15"/>
        <v xml:space="preserve">&lt;td&gt;[:REPLACE_SQL_CUSTOM_SOURCE_VIEW]&lt;/td&gt;&lt;td&gt;SELECT * FROM staged.conrepo_activationdtp_p&lt;td&gt;&lt;/td&gt;  </v>
      </c>
    </row>
    <row r="159" spans="1:6">
      <c r="E159" s="279">
        <f t="shared" si="14"/>
        <v>0</v>
      </c>
      <c r="F159" s="279" t="str">
        <f t="shared" si="15"/>
        <v/>
      </c>
    </row>
    <row r="160" spans="1:6">
      <c r="A160" s="283" t="s">
        <v>911</v>
      </c>
      <c r="B160" s="283" t="str">
        <f>"SELECT * FROM " &amp;USERINPUT_CREATE_ATHENA_TABLE &amp; "." &amp; Options!B11</f>
        <v>SELECT * FROM staged.conrepo_activationdtp_p</v>
      </c>
      <c r="E160" s="279">
        <f t="shared" si="14"/>
        <v>1</v>
      </c>
      <c r="F160" s="279" t="str">
        <f t="shared" si="15"/>
        <v xml:space="preserve">&lt;td&gt;[:REPLACE_SELECT_STAR_FROM_SOURCE_TABLE]&lt;/td&gt;&lt;td&gt;SELECT * FROM staged.conrepo_activationdtp_p&lt;td&gt;&lt;/td&gt;  </v>
      </c>
    </row>
    <row r="161" spans="5:6">
      <c r="E161" s="279">
        <f t="shared" si="14"/>
        <v>0</v>
      </c>
      <c r="F161" s="279" t="str">
        <f t="shared" si="15"/>
        <v/>
      </c>
    </row>
    <row r="162" spans="5:6">
      <c r="E162" s="279">
        <f t="shared" si="14"/>
        <v>0</v>
      </c>
      <c r="F162" s="279" t="str">
        <f t="shared" si="15"/>
        <v/>
      </c>
    </row>
    <row r="163" spans="5:6">
      <c r="E163" s="279">
        <f t="shared" si="14"/>
        <v>0</v>
      </c>
      <c r="F163" s="279" t="str">
        <f t="shared" si="15"/>
        <v/>
      </c>
    </row>
    <row r="164" spans="5:6">
      <c r="E164" s="279">
        <f t="shared" si="14"/>
        <v>0</v>
      </c>
      <c r="F164" s="279" t="str">
        <f t="shared" si="15"/>
        <v/>
      </c>
    </row>
    <row r="165" spans="5:6">
      <c r="E165" s="279">
        <f t="shared" si="14"/>
        <v>0</v>
      </c>
      <c r="F165" s="279" t="str">
        <f t="shared" si="15"/>
        <v/>
      </c>
    </row>
    <row r="166" spans="5:6">
      <c r="E166" s="279">
        <f t="shared" si="14"/>
        <v>0</v>
      </c>
      <c r="F166" s="279" t="str">
        <f t="shared" si="15"/>
        <v/>
      </c>
    </row>
    <row r="167" spans="5:6">
      <c r="E167" s="279">
        <f t="shared" si="14"/>
        <v>0</v>
      </c>
      <c r="F167" s="279" t="str">
        <f t="shared" si="15"/>
        <v/>
      </c>
    </row>
    <row r="168" spans="5:6">
      <c r="E168" s="279">
        <f t="shared" si="14"/>
        <v>0</v>
      </c>
      <c r="F168" s="279" t="str">
        <f t="shared" si="15"/>
        <v/>
      </c>
    </row>
    <row r="169" spans="5:6">
      <c r="E169" s="279">
        <f t="shared" si="14"/>
        <v>0</v>
      </c>
      <c r="F169" s="279" t="str">
        <f t="shared" si="15"/>
        <v/>
      </c>
    </row>
    <row r="170" spans="5:6">
      <c r="E170" s="279">
        <f t="shared" si="14"/>
        <v>0</v>
      </c>
      <c r="F170" s="279" t="str">
        <f t="shared" si="15"/>
        <v/>
      </c>
    </row>
    <row r="171" spans="5:6">
      <c r="E171" s="279">
        <f t="shared" si="14"/>
        <v>0</v>
      </c>
      <c r="F171" s="279" t="str">
        <f t="shared" si="15"/>
        <v/>
      </c>
    </row>
    <row r="172" spans="5:6">
      <c r="E172" s="279">
        <f t="shared" si="14"/>
        <v>0</v>
      </c>
      <c r="F172" s="279" t="str">
        <f t="shared" si="15"/>
        <v/>
      </c>
    </row>
    <row r="173" spans="5:6">
      <c r="E173" s="279">
        <f t="shared" si="14"/>
        <v>0</v>
      </c>
      <c r="F173" s="279" t="str">
        <f t="shared" si="15"/>
        <v/>
      </c>
    </row>
    <row r="174" spans="5:6">
      <c r="E174" s="279">
        <f t="shared" si="14"/>
        <v>0</v>
      </c>
      <c r="F174" s="279" t="str">
        <f t="shared" si="15"/>
        <v/>
      </c>
    </row>
    <row r="175" spans="5:6">
      <c r="E175" s="279">
        <f t="shared" si="14"/>
        <v>0</v>
      </c>
      <c r="F175" s="279" t="str">
        <f t="shared" si="15"/>
        <v/>
      </c>
    </row>
    <row r="176" spans="5:6">
      <c r="E176" s="279">
        <f t="shared" si="14"/>
        <v>0</v>
      </c>
      <c r="F176" s="279" t="str">
        <f t="shared" si="15"/>
        <v/>
      </c>
    </row>
    <row r="177" spans="5:6">
      <c r="E177" s="279">
        <f t="shared" si="14"/>
        <v>0</v>
      </c>
      <c r="F177" s="279" t="str">
        <f t="shared" si="15"/>
        <v/>
      </c>
    </row>
    <row r="178" spans="5:6">
      <c r="E178" s="279">
        <f t="shared" si="14"/>
        <v>0</v>
      </c>
      <c r="F178" s="279" t="str">
        <f t="shared" si="15"/>
        <v/>
      </c>
    </row>
    <row r="179" spans="5:6">
      <c r="E179" s="279">
        <f t="shared" si="14"/>
        <v>0</v>
      </c>
      <c r="F179" s="279" t="str">
        <f t="shared" si="15"/>
        <v/>
      </c>
    </row>
    <row r="180" spans="5:6">
      <c r="E180" s="279">
        <f t="shared" si="14"/>
        <v>0</v>
      </c>
      <c r="F180" s="279" t="str">
        <f t="shared" si="15"/>
        <v/>
      </c>
    </row>
    <row r="181" spans="5:6">
      <c r="E181" s="279">
        <f t="shared" ref="E181:E209" si="16">IF(LEFT(A181,2)="[:",1,0)</f>
        <v>0</v>
      </c>
      <c r="F181" s="279" t="str">
        <f t="shared" ref="F181:F212" si="17">IF(E181=1,"&lt;td&gt;" &amp; A181 &amp; "&lt;/td&gt;&lt;td&gt;" &amp; LEFT(B181,50) &amp; "&lt;td&gt;" &amp; C181 &amp; "&lt;/td&gt;  ","")</f>
        <v/>
      </c>
    </row>
    <row r="182" spans="5:6">
      <c r="E182" s="279">
        <f t="shared" si="16"/>
        <v>0</v>
      </c>
      <c r="F182" s="279" t="str">
        <f t="shared" si="17"/>
        <v/>
      </c>
    </row>
    <row r="183" spans="5:6">
      <c r="E183" s="279">
        <f t="shared" si="16"/>
        <v>0</v>
      </c>
      <c r="F183" s="279" t="str">
        <f t="shared" si="17"/>
        <v/>
      </c>
    </row>
    <row r="184" spans="5:6">
      <c r="E184" s="279">
        <f t="shared" si="16"/>
        <v>0</v>
      </c>
      <c r="F184" s="279" t="str">
        <f t="shared" si="17"/>
        <v/>
      </c>
    </row>
    <row r="185" spans="5:6">
      <c r="E185" s="279">
        <f t="shared" si="16"/>
        <v>0</v>
      </c>
      <c r="F185" s="279" t="str">
        <f t="shared" si="17"/>
        <v/>
      </c>
    </row>
    <row r="186" spans="5:6">
      <c r="E186" s="279">
        <f t="shared" si="16"/>
        <v>0</v>
      </c>
      <c r="F186" s="279" t="str">
        <f t="shared" si="17"/>
        <v/>
      </c>
    </row>
    <row r="187" spans="5:6">
      <c r="E187" s="279">
        <f t="shared" si="16"/>
        <v>0</v>
      </c>
      <c r="F187" s="279" t="str">
        <f t="shared" si="17"/>
        <v/>
      </c>
    </row>
    <row r="188" spans="5:6">
      <c r="E188" s="279">
        <f t="shared" si="16"/>
        <v>0</v>
      </c>
      <c r="F188" s="279" t="str">
        <f t="shared" si="17"/>
        <v/>
      </c>
    </row>
    <row r="189" spans="5:6">
      <c r="E189" s="279">
        <f t="shared" si="16"/>
        <v>0</v>
      </c>
      <c r="F189" s="279" t="str">
        <f t="shared" si="17"/>
        <v/>
      </c>
    </row>
    <row r="190" spans="5:6">
      <c r="E190" s="279">
        <f t="shared" si="16"/>
        <v>0</v>
      </c>
      <c r="F190" s="279" t="str">
        <f t="shared" si="17"/>
        <v/>
      </c>
    </row>
    <row r="191" spans="5:6">
      <c r="E191" s="279">
        <f t="shared" si="16"/>
        <v>0</v>
      </c>
      <c r="F191" s="279" t="str">
        <f t="shared" si="17"/>
        <v/>
      </c>
    </row>
    <row r="192" spans="5:6">
      <c r="E192" s="279">
        <f t="shared" si="16"/>
        <v>0</v>
      </c>
      <c r="F192" s="279" t="str">
        <f t="shared" si="17"/>
        <v/>
      </c>
    </row>
    <row r="193" spans="5:6">
      <c r="E193" s="279">
        <f t="shared" si="16"/>
        <v>0</v>
      </c>
      <c r="F193" s="279" t="str">
        <f t="shared" si="17"/>
        <v/>
      </c>
    </row>
    <row r="194" spans="5:6">
      <c r="E194" s="279">
        <f t="shared" si="16"/>
        <v>0</v>
      </c>
      <c r="F194" s="279" t="str">
        <f t="shared" si="17"/>
        <v/>
      </c>
    </row>
    <row r="195" spans="5:6">
      <c r="E195" s="279">
        <f t="shared" si="16"/>
        <v>0</v>
      </c>
      <c r="F195" s="279" t="str">
        <f t="shared" si="17"/>
        <v/>
      </c>
    </row>
    <row r="196" spans="5:6">
      <c r="E196" s="279">
        <f t="shared" si="16"/>
        <v>0</v>
      </c>
      <c r="F196" s="279" t="str">
        <f t="shared" si="17"/>
        <v/>
      </c>
    </row>
    <row r="197" spans="5:6">
      <c r="E197" s="279">
        <f t="shared" si="16"/>
        <v>0</v>
      </c>
      <c r="F197" s="279" t="str">
        <f t="shared" si="17"/>
        <v/>
      </c>
    </row>
    <row r="198" spans="5:6">
      <c r="E198" s="279">
        <f t="shared" si="16"/>
        <v>0</v>
      </c>
      <c r="F198" s="279" t="str">
        <f t="shared" si="17"/>
        <v/>
      </c>
    </row>
    <row r="199" spans="5:6">
      <c r="E199" s="279">
        <f t="shared" si="16"/>
        <v>0</v>
      </c>
      <c r="F199" s="279" t="str">
        <f t="shared" si="17"/>
        <v/>
      </c>
    </row>
    <row r="200" spans="5:6">
      <c r="E200" s="279">
        <f t="shared" si="16"/>
        <v>0</v>
      </c>
      <c r="F200" s="279" t="str">
        <f t="shared" si="17"/>
        <v/>
      </c>
    </row>
    <row r="201" spans="5:6">
      <c r="E201" s="279">
        <f t="shared" si="16"/>
        <v>0</v>
      </c>
      <c r="F201" s="279" t="str">
        <f t="shared" si="17"/>
        <v/>
      </c>
    </row>
    <row r="202" spans="5:6">
      <c r="E202" s="279">
        <f t="shared" si="16"/>
        <v>0</v>
      </c>
      <c r="F202" s="279" t="str">
        <f t="shared" si="17"/>
        <v/>
      </c>
    </row>
    <row r="203" spans="5:6">
      <c r="E203" s="279">
        <f t="shared" si="16"/>
        <v>0</v>
      </c>
      <c r="F203" s="279" t="str">
        <f t="shared" si="17"/>
        <v/>
      </c>
    </row>
    <row r="204" spans="5:6">
      <c r="E204" s="279">
        <f t="shared" si="16"/>
        <v>0</v>
      </c>
      <c r="F204" s="279" t="str">
        <f t="shared" si="17"/>
        <v/>
      </c>
    </row>
    <row r="205" spans="5:6">
      <c r="E205" s="279">
        <f t="shared" si="16"/>
        <v>0</v>
      </c>
      <c r="F205" s="279" t="str">
        <f t="shared" si="17"/>
        <v/>
      </c>
    </row>
    <row r="206" spans="5:6">
      <c r="E206" s="279">
        <f t="shared" si="16"/>
        <v>0</v>
      </c>
      <c r="F206" s="279" t="str">
        <f t="shared" si="17"/>
        <v/>
      </c>
    </row>
    <row r="207" spans="5:6">
      <c r="E207" s="279">
        <f t="shared" si="16"/>
        <v>0</v>
      </c>
      <c r="F207" s="279" t="str">
        <f t="shared" si="17"/>
        <v/>
      </c>
    </row>
    <row r="208" spans="5:6">
      <c r="E208" s="279">
        <f t="shared" si="16"/>
        <v>0</v>
      </c>
      <c r="F208" s="279" t="str">
        <f t="shared" si="17"/>
        <v/>
      </c>
    </row>
    <row r="209" spans="5:6">
      <c r="E209" s="279">
        <f t="shared" si="16"/>
        <v>0</v>
      </c>
      <c r="F209" s="279" t="str">
        <f t="shared" si="17"/>
        <v/>
      </c>
    </row>
    <row r="210" spans="5:6">
      <c r="F210" s="279" t="str">
        <f t="shared" si="17"/>
        <v/>
      </c>
    </row>
    <row r="211" spans="5:6">
      <c r="F211" s="279" t="str">
        <f t="shared" si="17"/>
        <v/>
      </c>
    </row>
    <row r="212" spans="5:6">
      <c r="F212" s="279" t="str">
        <f t="shared" si="17"/>
        <v/>
      </c>
    </row>
    <row r="213" spans="5:6">
      <c r="F213" s="279" t="str">
        <f t="shared" ref="F213:F244" si="18">IF(E213=1,"&lt;td&gt;" &amp; A213 &amp; "&lt;/td&gt;&lt;td&gt;" &amp; LEFT(B213,50) &amp; "&lt;td&gt;" &amp; C213 &amp; "&lt;/td&gt;  ","")</f>
        <v/>
      </c>
    </row>
    <row r="214" spans="5:6">
      <c r="F214" s="279" t="str">
        <f t="shared" si="18"/>
        <v/>
      </c>
    </row>
    <row r="215" spans="5:6">
      <c r="F215" s="279" t="str">
        <f t="shared" si="18"/>
        <v/>
      </c>
    </row>
    <row r="216" spans="5:6">
      <c r="F216" s="279" t="str">
        <f t="shared" si="18"/>
        <v/>
      </c>
    </row>
    <row r="217" spans="5:6">
      <c r="F217" s="279" t="str">
        <f t="shared" si="18"/>
        <v/>
      </c>
    </row>
    <row r="218" spans="5:6">
      <c r="F218" s="279" t="str">
        <f t="shared" si="18"/>
        <v/>
      </c>
    </row>
    <row r="219" spans="5:6">
      <c r="F219" s="279" t="str">
        <f t="shared" si="18"/>
        <v/>
      </c>
    </row>
    <row r="220" spans="5:6">
      <c r="F220" s="279" t="str">
        <f t="shared" si="18"/>
        <v/>
      </c>
    </row>
    <row r="221" spans="5:6">
      <c r="F221" s="279" t="str">
        <f t="shared" si="18"/>
        <v/>
      </c>
    </row>
    <row r="222" spans="5:6">
      <c r="F222" s="279" t="str">
        <f t="shared" si="18"/>
        <v/>
      </c>
    </row>
    <row r="223" spans="5:6">
      <c r="F223" s="279" t="str">
        <f t="shared" si="18"/>
        <v/>
      </c>
    </row>
    <row r="224" spans="5:6">
      <c r="F224" s="279" t="str">
        <f t="shared" si="18"/>
        <v/>
      </c>
    </row>
    <row r="225" spans="6:6">
      <c r="F225" s="279" t="str">
        <f t="shared" si="18"/>
        <v/>
      </c>
    </row>
    <row r="226" spans="6:6">
      <c r="F226" s="279" t="str">
        <f t="shared" si="18"/>
        <v/>
      </c>
    </row>
    <row r="227" spans="6:6">
      <c r="F227" s="279" t="str">
        <f t="shared" si="18"/>
        <v/>
      </c>
    </row>
    <row r="228" spans="6:6">
      <c r="F228" s="279" t="str">
        <f t="shared" si="18"/>
        <v/>
      </c>
    </row>
    <row r="229" spans="6:6">
      <c r="F229" s="279" t="str">
        <f t="shared" si="18"/>
        <v/>
      </c>
    </row>
    <row r="230" spans="6:6">
      <c r="F230" s="279" t="str">
        <f t="shared" si="18"/>
        <v/>
      </c>
    </row>
    <row r="231" spans="6:6">
      <c r="F231" s="279" t="str">
        <f t="shared" si="18"/>
        <v/>
      </c>
    </row>
    <row r="232" spans="6:6">
      <c r="F232" s="279" t="str">
        <f t="shared" si="18"/>
        <v/>
      </c>
    </row>
    <row r="233" spans="6:6">
      <c r="F233" s="279" t="str">
        <f t="shared" si="18"/>
        <v/>
      </c>
    </row>
    <row r="234" spans="6:6">
      <c r="F234" s="279" t="str">
        <f t="shared" si="18"/>
        <v/>
      </c>
    </row>
    <row r="235" spans="6:6">
      <c r="F235" s="279" t="str">
        <f t="shared" si="18"/>
        <v/>
      </c>
    </row>
    <row r="236" spans="6:6">
      <c r="F236" s="279" t="str">
        <f t="shared" si="18"/>
        <v/>
      </c>
    </row>
    <row r="237" spans="6:6">
      <c r="F237" s="279" t="str">
        <f t="shared" si="18"/>
        <v/>
      </c>
    </row>
    <row r="238" spans="6:6">
      <c r="F238" s="279" t="str">
        <f t="shared" si="18"/>
        <v/>
      </c>
    </row>
    <row r="239" spans="6:6">
      <c r="F239" s="279" t="str">
        <f t="shared" si="18"/>
        <v/>
      </c>
    </row>
    <row r="240" spans="6:6">
      <c r="F240" s="279" t="str">
        <f t="shared" si="18"/>
        <v/>
      </c>
    </row>
    <row r="241" spans="6:6">
      <c r="F241" s="279" t="str">
        <f t="shared" si="18"/>
        <v/>
      </c>
    </row>
    <row r="242" spans="6:6">
      <c r="F242" s="279" t="str">
        <f t="shared" si="18"/>
        <v/>
      </c>
    </row>
    <row r="243" spans="6:6">
      <c r="F243" s="279" t="str">
        <f t="shared" si="18"/>
        <v/>
      </c>
    </row>
    <row r="244" spans="6:6">
      <c r="F244" s="279" t="str">
        <f t="shared" si="18"/>
        <v/>
      </c>
    </row>
    <row r="245" spans="6:6">
      <c r="F245" s="279" t="str">
        <f t="shared" ref="F245:F250" si="19">IF(E245=1,"&lt;td&gt;" &amp; A245 &amp; "&lt;/td&gt;&lt;td&gt;" &amp; LEFT(B245,50) &amp; "&lt;td&gt;" &amp; C245 &amp; "&lt;/td&gt;  ","")</f>
        <v/>
      </c>
    </row>
    <row r="246" spans="6:6">
      <c r="F246" s="279" t="str">
        <f t="shared" si="19"/>
        <v/>
      </c>
    </row>
    <row r="247" spans="6:6">
      <c r="F247" s="279" t="str">
        <f t="shared" si="19"/>
        <v/>
      </c>
    </row>
    <row r="248" spans="6:6">
      <c r="F248" s="279" t="str">
        <f t="shared" si="19"/>
        <v/>
      </c>
    </row>
    <row r="249" spans="6:6">
      <c r="F249" s="279" t="str">
        <f t="shared" si="19"/>
        <v/>
      </c>
    </row>
    <row r="250" spans="6:6">
      <c r="F250" s="279" t="str">
        <f t="shared" si="19"/>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20" zoomScale="92" zoomScaleNormal="100" workbookViewId="0">
      <selection activeCell="C16" sqref="C16"/>
    </sheetView>
  </sheetViews>
  <sheetFormatPr defaultRowHeight="15"/>
  <cols>
    <col min="1" max="1" width="13.85546875" style="283" bestFit="1" customWidth="1"/>
    <col min="2" max="2" width="60.5703125" style="283" customWidth="1"/>
    <col min="3" max="3" width="110.140625" style="283" customWidth="1"/>
    <col min="4" max="4" width="101.140625" style="283" customWidth="1"/>
    <col min="5" max="5" width="60.5703125" style="283" customWidth="1"/>
    <col min="7" max="7" width="23.28515625" style="283" customWidth="1"/>
  </cols>
  <sheetData>
    <row r="1" spans="1:5" s="284" customFormat="1" ht="36.75" customHeight="1">
      <c r="A1" s="299" t="str">
        <f>IF(Options!B7="STARSCHEMA",  "VCGS Team ODL -  Starschema Table Creator Version " &amp;Version!B1 &amp; "  " &amp; Version!B2 &amp; " - " &amp; Options!B25,"This sheet is only used when the Use Case type is STARSCHEMA.")</f>
        <v>This sheet is only used when the Use Case type is STARSCHEMA.</v>
      </c>
      <c r="B1" s="298"/>
      <c r="C1" s="298"/>
      <c r="D1" s="298"/>
      <c r="E1" s="298"/>
    </row>
    <row r="2" spans="1:5" s="284" customFormat="1" ht="21" customHeight="1">
      <c r="A2" s="306"/>
      <c r="B2" s="298"/>
      <c r="C2" s="298"/>
      <c r="D2" s="298"/>
      <c r="E2" s="298"/>
    </row>
    <row r="3" spans="1:5" s="284" customFormat="1">
      <c r="A3" s="46" t="s">
        <v>0</v>
      </c>
      <c r="B3" s="45" t="s">
        <v>1</v>
      </c>
      <c r="C3" s="297" t="s">
        <v>2</v>
      </c>
      <c r="D3" s="298"/>
      <c r="E3" s="298"/>
    </row>
    <row r="4" spans="1:5" ht="60.75" customHeight="1">
      <c r="A4" s="273">
        <v>1</v>
      </c>
      <c r="B4" s="282" t="s">
        <v>3</v>
      </c>
      <c r="C4" s="291" t="s">
        <v>4</v>
      </c>
      <c r="D4" s="292"/>
      <c r="E4" s="293"/>
    </row>
    <row r="5" spans="1:5" ht="22.5" customHeight="1">
      <c r="A5" s="273">
        <v>2</v>
      </c>
      <c r="B5" s="282" t="s">
        <v>5</v>
      </c>
      <c r="C5" s="294" t="s">
        <v>390</v>
      </c>
      <c r="D5" s="292"/>
      <c r="E5" s="293"/>
    </row>
    <row r="6" spans="1:5" ht="24" customHeight="1">
      <c r="A6" s="273">
        <v>3</v>
      </c>
      <c r="B6" s="282" t="s">
        <v>7</v>
      </c>
      <c r="C6" s="294" t="s">
        <v>8</v>
      </c>
      <c r="D6" s="292"/>
      <c r="E6" s="293"/>
    </row>
    <row r="7" spans="1:5" ht="18" customHeight="1">
      <c r="A7" s="273">
        <f>IF(Options!B31=1,"",4)</f>
        <v>4</v>
      </c>
      <c r="B7" s="282" t="str">
        <f>IF(Options!B31=1,"", "Describe the relations to used dimensions")</f>
        <v>Describe the relations to used dimensions</v>
      </c>
      <c r="C7" s="294" t="str">
        <f>IF(Options!B31=1,"", "Fill in columns to use when doing a lookup in a used dimensional table.")</f>
        <v>Fill in columns to use when doing a lookup in a used dimensional table.</v>
      </c>
      <c r="D7" s="292"/>
      <c r="E7" s="293"/>
    </row>
    <row r="8" spans="1:5">
      <c r="A8" s="273">
        <f>IF(Options!B31=1,4,5)</f>
        <v>5</v>
      </c>
      <c r="B8" s="273" t="s">
        <v>9</v>
      </c>
      <c r="C8" s="305" t="s">
        <v>391</v>
      </c>
      <c r="D8" s="296"/>
      <c r="E8" s="296"/>
    </row>
    <row r="9" spans="1:5" ht="15.75" customHeight="1" thickBot="1"/>
    <row r="10" spans="1:5" s="284" customFormat="1" ht="24.75" customHeight="1" thickBot="1">
      <c r="A10" s="118" t="s">
        <v>392</v>
      </c>
      <c r="B10" s="303"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4"/>
      <c r="D10" s="288"/>
      <c r="E10" s="119"/>
    </row>
    <row r="13" spans="1:5">
      <c r="A13" s="34" t="s">
        <v>393</v>
      </c>
      <c r="B13" s="32" t="s">
        <v>19</v>
      </c>
      <c r="C13" s="33" t="s">
        <v>394</v>
      </c>
      <c r="D13" s="30" t="s">
        <v>395</v>
      </c>
      <c r="E13" s="30" t="s">
        <v>19</v>
      </c>
    </row>
    <row r="14" spans="1:5" ht="66.75" customHeight="1">
      <c r="A14" s="84">
        <v>0</v>
      </c>
      <c r="B14" s="83" t="s">
        <v>396</v>
      </c>
      <c r="C14" s="35" t="str">
        <f>"drop table if exists " &amp; HELPER!B98</f>
        <v>drop table if exists uc0039.factVCSSLast90</v>
      </c>
      <c r="D14" s="35"/>
      <c r="E14" s="44" t="s">
        <v>397</v>
      </c>
    </row>
    <row r="15" spans="1:5" ht="66.75" customHeight="1">
      <c r="A15" s="41" t="str">
        <f>IF(Options!B19=1,1,"")</f>
        <v/>
      </c>
      <c r="B15" s="83" t="str">
        <f>IF(Options!B19=1,"Create Custom Source View","")</f>
        <v/>
      </c>
      <c r="C15" s="35" t="str">
        <f>CLEAN(SUBSTITUTE(HELPER!B139,CHAR(10), " " ))</f>
        <v/>
      </c>
      <c r="D15" s="35"/>
      <c r="E15" s="44" t="str">
        <f>IF(Options!B19=1,"Your custom source view. Make sure it works! :-)","")</f>
        <v/>
      </c>
    </row>
    <row r="16" spans="1:5" ht="409.5" customHeight="1">
      <c r="A16" s="43">
        <f>IF(A15="",1,A15+1)</f>
        <v>1</v>
      </c>
      <c r="B16" s="42" t="s">
        <v>398</v>
      </c>
      <c r="C16" s="252" t="str">
        <f ca="1">VIEWHELPER!C2</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D16" s="48" t="str">
        <f ca="1">VIEWHELPER!C2</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2</v>
      </c>
      <c r="B17" s="37" t="s">
        <v>399</v>
      </c>
      <c r="C17" s="48" t="str">
        <f ca="1">'CREATE TABLE'!A2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D17" s="189"/>
      <c r="E17" s="44" t="s">
        <v>400</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401</v>
      </c>
      <c r="C19" s="48" t="str">
        <f ca="1">IF(Options!B51=1, 'MERGE INTO'!A5,'INCREMENTAL LOAD'!A2)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D19" s="48"/>
      <c r="E19" s="44" t="str">
        <f>"Populates the target table with new data."</f>
        <v>Populates the target table with new data.</v>
      </c>
    </row>
    <row r="20" spans="1:5" ht="319.5" customHeight="1">
      <c r="A20" s="43" t="str">
        <f>IF(Options!B31=1,A19+1,"")</f>
        <v/>
      </c>
      <c r="B20" s="31" t="s">
        <v>402</v>
      </c>
      <c r="C20" s="271" t="str">
        <f ca="1">'MERGE INTO'!A6</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D20" s="91"/>
      <c r="E20" s="44" t="str">
        <f>IF(Options!B31=1,"Temporarily set IsCurrent=0 for all members.","")</f>
        <v/>
      </c>
    </row>
    <row r="21" spans="1:5" ht="37.5" customHeight="1">
      <c r="A21" s="43" t="str">
        <f>IF(Options!B31=1,A20+1,"")</f>
        <v/>
      </c>
      <c r="B21" s="31" t="s">
        <v>403</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 xml:space="preserve">drop view uc0039.source_factVCSSLast90_[:date_yyyymmdd]_v </v>
      </c>
      <c r="D23" s="95"/>
      <c r="E23" s="199" t="s">
        <v>404</v>
      </c>
    </row>
    <row r="24" spans="1:5" ht="30" customHeight="1">
      <c r="A24" s="43" t="str">
        <f>IF(Options!B19=1,'OUTPUT ICEBERG'!A23+1,"")</f>
        <v/>
      </c>
      <c r="B24" s="82" t="str">
        <f>"Drop custom source view"</f>
        <v>Drop custom source view</v>
      </c>
      <c r="C24" s="35" t="str">
        <f>IF(Options!B19=1, "drop view " &amp; HELPER!B127,"")</f>
        <v/>
      </c>
      <c r="D24" s="35"/>
      <c r="E24" s="44" t="str">
        <f>IF(Options!B19=1,"Clean up the database by dropping the temporarily created source view","")</f>
        <v/>
      </c>
    </row>
    <row r="25" spans="1:5" ht="43.5" customHeight="1">
      <c r="A25" s="43">
        <f>IF(AND(Options!B31=1,Options!B19=1),A24+1,IF(Options!B31=1,8,7))</f>
        <v>7</v>
      </c>
      <c r="B25" s="82" t="str">
        <f>IF(Options!B51=1,"OPTIMIZE TABLE","")</f>
        <v>OPTIMIZE TABLE</v>
      </c>
      <c r="C25" s="35" t="str">
        <f>IF(Options!B51=1,TEST!E23,"")</f>
        <v>OPTIMIZE uc0039.factVCSSLast90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wkVehicle, COUNT(*) FROM uc0039.factVCSSLast90 WHERE   GROUP BY wkVehicle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0" t="s">
        <v>405</v>
      </c>
      <c r="C29" s="35" t="s">
        <v>406</v>
      </c>
      <c r="D29" s="35"/>
      <c r="E29" s="44" t="s">
        <v>407</v>
      </c>
    </row>
    <row r="30" spans="1:5" ht="30" customHeight="1">
      <c r="A30" s="41"/>
      <c r="B30" s="97" t="s">
        <v>408</v>
      </c>
      <c r="C30" s="92" t="str">
        <f ca="1">Verify!J5</f>
        <v>SELECT  wkVehicle, COUNT(*) FROM uc0039.source_factVCSSLast90_[:date_yyyymmdd]_v  GROUP BY wkVehicle HAVING COUNT(*)&gt;1</v>
      </c>
      <c r="D30" s="92"/>
      <c r="E30" s="44" t="s">
        <v>409</v>
      </c>
    </row>
    <row r="33" spans="2:3">
      <c r="B33" t="s">
        <v>410</v>
      </c>
    </row>
    <row r="34" spans="2:3" ht="107.25" customHeight="1">
      <c r="B34" t="s">
        <v>411</v>
      </c>
      <c r="C34" s="285"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35" spans="2:3" ht="105" customHeight="1">
      <c r="B35" t="s">
        <v>412</v>
      </c>
      <c r="C35" s="28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B17"/>
  <sheetViews>
    <sheetView workbookViewId="0">
      <selection activeCell="B17" sqref="B17"/>
    </sheetView>
  </sheetViews>
  <sheetFormatPr defaultRowHeight="15"/>
  <cols>
    <col min="1" max="1" width="66.42578125" style="283" customWidth="1"/>
    <col min="2" max="2" width="137.85546875" style="283" customWidth="1"/>
  </cols>
  <sheetData>
    <row r="1" spans="1:2" ht="21" customHeight="1">
      <c r="A1" t="s">
        <v>413</v>
      </c>
      <c r="B1" s="281" t="s">
        <v>414</v>
      </c>
    </row>
    <row r="2" spans="1:2" ht="18" customHeight="1">
      <c r="A2" t="s">
        <v>415</v>
      </c>
      <c r="B2" s="281" t="s">
        <v>416</v>
      </c>
    </row>
    <row r="3" spans="1:2">
      <c r="A3" t="s">
        <v>417</v>
      </c>
      <c r="B3" t="str">
        <f>Options!B4</f>
        <v>uc0039</v>
      </c>
    </row>
    <row r="10" spans="1:2">
      <c r="A10" t="s">
        <v>418</v>
      </c>
      <c r="B10" t="str">
        <f>"hk_"</f>
        <v>hk_</v>
      </c>
    </row>
    <row r="11" spans="1:2">
      <c r="A11" t="s">
        <v>419</v>
      </c>
      <c r="B11" t="str">
        <f>Options!B25</f>
        <v>factVCSSLast90</v>
      </c>
    </row>
    <row r="12" spans="1:2">
      <c r="A12" t="s">
        <v>420</v>
      </c>
      <c r="B12" t="str">
        <f>B10 &amp; Options!B24</f>
        <v>hk_factVCSSLast90</v>
      </c>
    </row>
    <row r="13" spans="1:2">
      <c r="B13" t="str">
        <f>B12 &amp; " string"</f>
        <v>hk_factVCSSLast90 string</v>
      </c>
    </row>
    <row r="14" spans="1:2">
      <c r="B14" t="str">
        <f ca="1">"lower(to_hex(md5(to_utf8(" &amp; B16 &amp; ")))) AS " &amp; B12</f>
        <v>lower(to_hex(md5(to_utf8(concat(CAST(wkVehicle AS varchar(150)), ''))))) AS hk_factVCSSLast90</v>
      </c>
    </row>
    <row r="15" spans="1:2">
      <c r="A15" t="s">
        <v>421</v>
      </c>
      <c r="B15" t="str">
        <f ca="1">_xlfn.TEXTJOIN(",",TRUE,COLHELPER!AE2:AE150)</f>
        <v>wkVehicle</v>
      </c>
    </row>
    <row r="16" spans="1:2">
      <c r="A16" t="s">
        <v>422</v>
      </c>
      <c r="B16" t="str">
        <f ca="1">"concat(" &amp; _xlfn.TEXTJOIN(", '|', ",TRUE,COLHELPER!BA2:BA237) &amp; ", ''" &amp; ")"</f>
        <v>concat(CAST(wkVehicle AS varchar(150)), '')</v>
      </c>
    </row>
    <row r="17" spans="2:2" ht="159.75" customHeight="1">
      <c r="B17" s="285" t="str">
        <f ca="1">"CREATE TABLE IF NOT EXISTS " &amp; B11 &amp; " (" &amp; B13 &amp;  ", " &amp; COLHELPER!S152 &amp; ", " &amp; B2 &amp; " ) " &amp;  " LOCATION '" &amp; HELPER!B34 &amp; "' " &amp; HELPER!B72</f>
        <v>CREATE TABLE IF NOT EXISTS factVCSSLast90 (hk_factVCSSLast90 string, wkVehicle bigint, has_communicated_last_90_days bigint, lake_arrival_date string, ldts_load_date timestamp, ds_extract_date date, rs_source string )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2:B14"/>
  <sheetViews>
    <sheetView workbookViewId="0">
      <selection activeCell="B14" sqref="B14"/>
    </sheetView>
  </sheetViews>
  <sheetFormatPr defaultRowHeight="15"/>
  <cols>
    <col min="1" max="1" width="38.85546875" style="283" customWidth="1"/>
    <col min="2" max="2" width="90.7109375" style="283" customWidth="1"/>
  </cols>
  <sheetData>
    <row r="2" spans="1:2" ht="27.75" customHeight="1">
      <c r="B2" s="285" t="str">
        <f>"CREATE STREAMING LIVE TABLE "</f>
        <v xml:space="preserve">CREATE STREAMING LIVE TABLE </v>
      </c>
    </row>
    <row r="3" spans="1:2">
      <c r="B3" t="s">
        <v>423</v>
      </c>
    </row>
    <row r="5" spans="1:2">
      <c r="B5" t="s">
        <v>424</v>
      </c>
    </row>
    <row r="6" spans="1:2">
      <c r="B6" t="s">
        <v>425</v>
      </c>
    </row>
    <row r="7" spans="1:2">
      <c r="B7" t="s">
        <v>426</v>
      </c>
    </row>
    <row r="8" spans="1:2">
      <c r="B8" t="s">
        <v>427</v>
      </c>
    </row>
    <row r="10" spans="1:2">
      <c r="B10" t="s">
        <v>428</v>
      </c>
    </row>
    <row r="14" spans="1:2" ht="45.75" customHeight="1">
      <c r="A14" s="285" t="s">
        <v>429</v>
      </c>
      <c r="B14" s="285" t="str">
        <f>B3 &amp; " " &amp; Options!B25 &amp; " " &amp; B7</f>
        <v>CREATE LIVE TABLE factVCSSLast90 TBLPROPERTIES ("myCompanyPipeline.quality" = "gold")</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F87"/>
  <sheetViews>
    <sheetView topLeftCell="A10" workbookViewId="0">
      <selection activeCell="C15" sqref="C15"/>
    </sheetView>
  </sheetViews>
  <sheetFormatPr defaultRowHeight="15"/>
  <cols>
    <col min="1" max="1" width="13.85546875" style="283" bestFit="1" customWidth="1"/>
    <col min="2" max="2" width="29.5703125" style="283" customWidth="1"/>
    <col min="3" max="3" width="174.140625" style="283" customWidth="1"/>
    <col min="4" max="4" width="94.42578125" style="283" customWidth="1"/>
    <col min="5" max="5" width="27" style="283" customWidth="1"/>
    <col min="6" max="6" width="68.85546875" style="283" customWidth="1"/>
  </cols>
  <sheetData>
    <row r="1" spans="1:6" s="284" customFormat="1" ht="36.75" customHeight="1">
      <c r="A1" s="299" t="str">
        <f>IF(Options!B7="UNLOAD",  "VCGS Team ODL -  UNLOAD  Version " &amp;Version!B1 &amp; "  " &amp; Version!B2 &amp; " - " &amp; Options!B25,"This sheet is only used when use case type is UNLOAD")</f>
        <v>This sheet is only used when use case type is UNLOAD</v>
      </c>
      <c r="B1" s="298"/>
      <c r="C1" s="298"/>
      <c r="D1" s="298"/>
      <c r="E1" s="298"/>
    </row>
    <row r="3" spans="1:6">
      <c r="B3" t="s">
        <v>806</v>
      </c>
      <c r="C3" t="s">
        <v>807</v>
      </c>
    </row>
    <row r="6" spans="1:6">
      <c r="A6" s="30" t="s">
        <v>393</v>
      </c>
      <c r="B6" s="30" t="s">
        <v>19</v>
      </c>
      <c r="C6" s="30" t="s">
        <v>808</v>
      </c>
      <c r="D6" s="30" t="s">
        <v>809</v>
      </c>
      <c r="E6" s="30" t="s">
        <v>153</v>
      </c>
      <c r="F6" s="30"/>
    </row>
    <row r="7" spans="1:6" ht="409.5" customHeight="1">
      <c r="A7" s="285" t="str">
        <f>IF(Options!B19=1,"1","")</f>
        <v/>
      </c>
      <c r="B7" s="285" t="str">
        <f>"Create Custom Source View"</f>
        <v>Create Custom Source View</v>
      </c>
      <c r="C7" s="285" t="str">
        <f>CLEAN(SUBSTITUTE(HELPER!B139,CHAR(10), " " ))</f>
        <v/>
      </c>
      <c r="D7" s="151" t="str">
        <f>SUBSTITUTE(SUBSTITUTE(C7,"[:date_yyyymmdd]","20231101"),"[:date_yyyy_mm_dd]","2023-11-01")</f>
        <v/>
      </c>
      <c r="E7" s="285" t="str">
        <f>"Create the source view"</f>
        <v>Create the source view</v>
      </c>
      <c r="F7" s="285" t="str">
        <f>HELPER!B127</f>
        <v xml:space="preserve">uc0039.source_factVCSSLast90_[:date_yyyymmdd]_v </v>
      </c>
    </row>
    <row r="8" spans="1:6" ht="282" customHeight="1">
      <c r="A8" s="285">
        <f>IF(A7="",1,A7+1)</f>
        <v>1</v>
      </c>
      <c r="B8" s="285" t="s">
        <v>810</v>
      </c>
      <c r="C8" s="285" t="str">
        <f>IF(Options!F7=33,"", IF(Options!B7=2, 'OUTPUT ICEBERG'!C16,""))</f>
        <v/>
      </c>
      <c r="D8" s="152" t="str">
        <f>IF(Options!F7=33,"", IF(Options!B7="UNLOAD",  VIEWHELPER!B2,""))</f>
        <v/>
      </c>
      <c r="E8" s="285" t="str">
        <f>IF(C8="","","Create the stage view.")</f>
        <v/>
      </c>
    </row>
    <row r="9" spans="1:6" ht="58.5" customHeight="1">
      <c r="A9" s="285"/>
      <c r="B9" s="285" t="str">
        <f>IF(Options!B79=0,"", "Drop target table. Please note that this step will not delete any S3 data. And that is a good thing!")</f>
        <v>Drop target table. Please note that this step will not delete any S3 data. And that is a good thing!</v>
      </c>
      <c r="C9" s="285" t="str">
        <f>IF(Options!B79=0,"",UNLOAD!B10)</f>
        <v>DROP TABLE IF EXISTS uc0039.factVCSSLast90</v>
      </c>
      <c r="D9" s="153"/>
      <c r="E9" s="285" t="str">
        <f>IF(Options!B79=1,"Drop the target table. No s3 data will be removed in this step!","")</f>
        <v>Drop the target table. No s3 data will be removed in this step!</v>
      </c>
    </row>
    <row r="10" spans="1:6" ht="330.75" customHeight="1">
      <c r="A10" s="285"/>
      <c r="B10" s="285" t="str">
        <f>IF(Options!B79=1,"Create Taget AWS Athena table","")</f>
        <v>Create Taget AWS Athena table</v>
      </c>
      <c r="C10" s="10"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D10" s="153"/>
      <c r="E10" s="285" t="str">
        <f>IF(Options!B79=1, "Create AWS Athena Table","")</f>
        <v>Create AWS Athena Table</v>
      </c>
    </row>
    <row r="11" spans="1:6">
      <c r="A11" s="285"/>
      <c r="B11" s="285" t="s">
        <v>811</v>
      </c>
      <c r="C11" s="285" t="str">
        <f>Options!B28</f>
        <v>uc0039-vgcs-odl-prod</v>
      </c>
      <c r="D11" s="153"/>
      <c r="E11" s="285" t="s">
        <v>812</v>
      </c>
    </row>
    <row r="12" spans="1:6" ht="70.5" customHeight="1">
      <c r="A12" s="285"/>
      <c r="B12" s="277" t="s">
        <v>813</v>
      </c>
      <c r="C12" s="149" t="str">
        <f ca="1">SUBSTITUTE(UNLOAD!B7,"$eq", "=")</f>
        <v>db/factVCSSLast90/lake_arrival_date=[:date_yyyy_mm_dd]</v>
      </c>
      <c r="D12" s="154"/>
      <c r="E12" s="150" t="s">
        <v>812</v>
      </c>
    </row>
    <row r="13" spans="1:6" ht="185.25" customHeight="1">
      <c r="A13" s="285"/>
      <c r="B13" s="285" t="s">
        <v>814</v>
      </c>
      <c r="C13" s="285" t="str">
        <f ca="1">SUBSTITUTE(UNLOAD!B9,"$eq","=")</f>
        <v>UNLOAD(SELECT wkVehicle, has_communicated_last_90_days, lake_arrival_date FROM uc0039.source_factVCSSLast90_[:date_yyyymmdd]_v   WHERE lake_arrival_date='[:date_yyyy_mm_dd]') TO  's3://uc0039-vgcs-odl-prod/db/factVCSSLast90/lake_arrival_date=[:date_yyyy_mm_dd]' WITH (format='parquet')</v>
      </c>
      <c r="D13" s="155" t="str">
        <f ca="1">UNLOAD!C9</f>
        <v>UNLOAD(SELECT wkVehicle, has_communicated_last_90_days, lake_arrival_date FROM uc0039.source_factVCSSLast90_20231101_v   WHERE lake_arrival_date='2023-11-01') TO  's3://uc0039-vgcs-odl-prod/db/factVCSSLast90/lake_arrival_date=2023-11-01' WITH (format='parquet')</v>
      </c>
      <c r="E13" s="285" t="s">
        <v>815</v>
      </c>
    </row>
    <row r="14" spans="1:6" ht="69" customHeight="1">
      <c r="A14" s="285"/>
      <c r="B14" s="285" t="str">
        <f>IF(Options!B79=0,"","ADD PARTITION (TARGET TABLE)")</f>
        <v>ADD PARTITION (TARGET TABLE)</v>
      </c>
      <c r="C14" s="285" t="str">
        <f ca="1">IF(Options!B79=0,"",UNLOAD!C11)</f>
        <v>ALTER TABLE uc0039.factVCSSLast90 ADD IF NOT EXISTS PARTITION  (lake_arrival_date='[:date_yyyy_mm_dd]')</v>
      </c>
      <c r="D14" s="151" t="str">
        <f ca="1">IF(Options!B79=0,"", UNLOAD!D11)</f>
        <v>ALTER TABLE uc0039.factVCSSLast90 ADD IF NOT EXISTS PARTITION  (lake_arrival_date='2023-11-01')</v>
      </c>
    </row>
    <row r="15" spans="1:6" ht="69" customHeight="1">
      <c r="A15" s="285"/>
      <c r="B15" s="285" t="s">
        <v>816</v>
      </c>
      <c r="C15" s="285" t="str">
        <f ca="1">UNLOAD!B33</f>
        <v>SELECT COUNT(*) FROM uc0039.factVCSSLast90 WHERE lake_arrival_date='[:date_yyyy_mm_dd]'</v>
      </c>
      <c r="D15" s="151" t="str">
        <f ca="1">UNLOAD!B34</f>
        <v>SELECT COUNT(*) FROM uc0039.factVCSSLast90 WHERE lake_arrival_date='2023-11-01'</v>
      </c>
    </row>
    <row r="16" spans="1:6" ht="30" customHeight="1">
      <c r="A16" s="285"/>
      <c r="B16" s="285" t="s">
        <v>817</v>
      </c>
      <c r="C16" s="285" t="str">
        <f>"drop view " &amp; HELPER!B124</f>
        <v>drop view staged.conrepo_activationdtp_p</v>
      </c>
      <c r="D16" s="153"/>
      <c r="E16" t="s">
        <v>818</v>
      </c>
    </row>
    <row r="17" spans="1:5">
      <c r="A17" s="285"/>
      <c r="B17" s="285" t="s">
        <v>819</v>
      </c>
      <c r="C17" s="285" t="str">
        <f>"drop view " &amp; HELPER!B129</f>
        <v xml:space="preserve">drop view uc0039.source_factVCSSLast90_[:date_yyyymmdd]_v </v>
      </c>
      <c r="D17" s="153"/>
      <c r="E17" t="s">
        <v>818</v>
      </c>
    </row>
    <row r="18" spans="1:5">
      <c r="A18" s="285"/>
      <c r="B18" s="285"/>
      <c r="C18" s="285"/>
    </row>
    <row r="19" spans="1:5">
      <c r="A19" s="285"/>
      <c r="B19" s="285"/>
      <c r="C19" s="285"/>
      <c r="E19" t="s">
        <v>820</v>
      </c>
    </row>
    <row r="20" spans="1:5">
      <c r="A20" s="285"/>
      <c r="B20" s="285"/>
      <c r="C20" s="285"/>
    </row>
    <row r="21" spans="1:5">
      <c r="A21" s="285"/>
      <c r="B21" s="285"/>
      <c r="C21" s="285"/>
    </row>
    <row r="22" spans="1:5">
      <c r="A22" s="285"/>
      <c r="B22" s="285"/>
      <c r="C22" s="285"/>
    </row>
    <row r="23" spans="1:5">
      <c r="A23" s="285"/>
      <c r="B23" s="285"/>
      <c r="C23" s="285"/>
    </row>
    <row r="24" spans="1:5">
      <c r="A24" s="285"/>
      <c r="B24" s="285"/>
      <c r="C24" s="285"/>
    </row>
    <row r="25" spans="1:5">
      <c r="A25" s="285"/>
      <c r="B25" s="285"/>
      <c r="C25" s="285"/>
    </row>
    <row r="26" spans="1:5">
      <c r="A26" s="285"/>
      <c r="B26" s="285"/>
      <c r="C26" s="285"/>
    </row>
    <row r="27" spans="1:5">
      <c r="A27" s="285"/>
      <c r="B27" s="285"/>
      <c r="C27" s="285" t="s">
        <v>821</v>
      </c>
    </row>
    <row r="28" spans="1:5">
      <c r="A28" s="285"/>
      <c r="B28" s="285"/>
      <c r="C28" s="285"/>
    </row>
    <row r="29" spans="1:5">
      <c r="A29" s="285"/>
      <c r="B29" s="285"/>
      <c r="C29" s="285" t="s">
        <v>822</v>
      </c>
    </row>
    <row r="30" spans="1:5">
      <c r="A30" s="285"/>
      <c r="B30" s="285"/>
      <c r="C30" s="285" t="s">
        <v>823</v>
      </c>
    </row>
    <row r="31" spans="1:5">
      <c r="A31" s="285"/>
      <c r="B31" s="285"/>
      <c r="C31" s="285"/>
    </row>
    <row r="32" spans="1:5">
      <c r="A32" s="285"/>
      <c r="B32" s="285"/>
      <c r="C32" s="285"/>
    </row>
    <row r="33" spans="1:3">
      <c r="A33" s="285"/>
      <c r="B33" s="285"/>
      <c r="C33" s="285"/>
    </row>
    <row r="34" spans="1:3">
      <c r="A34" s="285"/>
      <c r="B34" s="285"/>
      <c r="C34" s="285"/>
    </row>
    <row r="35" spans="1:3">
      <c r="A35" s="285"/>
      <c r="B35" s="285"/>
      <c r="C35" s="285"/>
    </row>
    <row r="36" spans="1:3">
      <c r="A36" s="285"/>
      <c r="B36" s="285"/>
      <c r="C36" s="285"/>
    </row>
    <row r="37" spans="1:3">
      <c r="A37" s="285"/>
      <c r="B37" s="285"/>
      <c r="C37" s="285"/>
    </row>
    <row r="38" spans="1:3">
      <c r="A38" s="285"/>
      <c r="B38" s="285"/>
      <c r="C38" s="285"/>
    </row>
    <row r="39" spans="1:3">
      <c r="A39" s="285"/>
      <c r="B39" s="285"/>
      <c r="C39" s="285"/>
    </row>
    <row r="40" spans="1:3">
      <c r="A40" s="285"/>
      <c r="B40" s="285"/>
      <c r="C40" s="285"/>
    </row>
    <row r="41" spans="1:3">
      <c r="A41" s="285"/>
      <c r="B41" s="285"/>
      <c r="C41" s="285"/>
    </row>
    <row r="42" spans="1:3">
      <c r="A42" s="285"/>
      <c r="B42" s="285"/>
      <c r="C42" s="285"/>
    </row>
    <row r="43" spans="1:3">
      <c r="A43" s="285"/>
      <c r="B43" s="285"/>
      <c r="C43" s="285"/>
    </row>
    <row r="44" spans="1:3">
      <c r="A44" s="285"/>
      <c r="B44" s="285"/>
      <c r="C44" s="285"/>
    </row>
    <row r="45" spans="1:3">
      <c r="A45" s="285"/>
      <c r="B45" s="285"/>
      <c r="C45" s="285"/>
    </row>
    <row r="46" spans="1:3">
      <c r="A46" s="285"/>
      <c r="B46" s="285"/>
      <c r="C46" s="285"/>
    </row>
    <row r="47" spans="1:3">
      <c r="A47" s="285"/>
      <c r="B47" s="285"/>
      <c r="C47" s="285"/>
    </row>
    <row r="48" spans="1:3">
      <c r="A48" s="285"/>
      <c r="B48" s="285"/>
      <c r="C48" s="285"/>
    </row>
    <row r="49" spans="1:3">
      <c r="A49" s="285"/>
      <c r="B49" s="285"/>
      <c r="C49" s="285"/>
    </row>
    <row r="50" spans="1:3">
      <c r="A50" s="285"/>
      <c r="B50" s="285"/>
      <c r="C50" s="285"/>
    </row>
    <row r="51" spans="1:3">
      <c r="A51" s="285"/>
      <c r="B51" s="285"/>
      <c r="C51" s="285"/>
    </row>
    <row r="52" spans="1:3">
      <c r="A52" s="285"/>
      <c r="B52" s="285"/>
      <c r="C52" s="285"/>
    </row>
    <row r="53" spans="1:3">
      <c r="A53" s="285"/>
      <c r="B53" s="285"/>
      <c r="C53" s="285"/>
    </row>
    <row r="54" spans="1:3">
      <c r="A54" s="285"/>
      <c r="B54" s="285"/>
      <c r="C54" s="285"/>
    </row>
    <row r="55" spans="1:3">
      <c r="A55" s="285"/>
      <c r="B55" s="285"/>
      <c r="C55" s="285"/>
    </row>
    <row r="56" spans="1:3">
      <c r="A56" s="285"/>
      <c r="B56" s="285"/>
      <c r="C56" s="285"/>
    </row>
    <row r="57" spans="1:3">
      <c r="A57" s="285"/>
      <c r="B57" s="285"/>
      <c r="C57" s="285"/>
    </row>
    <row r="58" spans="1:3">
      <c r="A58" s="285"/>
      <c r="B58" s="285"/>
      <c r="C58" s="285"/>
    </row>
    <row r="59" spans="1:3">
      <c r="A59" s="285"/>
      <c r="B59" s="285"/>
      <c r="C59" s="285"/>
    </row>
    <row r="60" spans="1:3">
      <c r="A60" s="285"/>
      <c r="B60" s="285"/>
      <c r="C60" s="285"/>
    </row>
    <row r="61" spans="1:3">
      <c r="A61" s="285"/>
      <c r="B61" s="285"/>
      <c r="C61" s="285"/>
    </row>
    <row r="62" spans="1:3">
      <c r="A62" s="285"/>
      <c r="B62" s="285"/>
      <c r="C62" s="285"/>
    </row>
    <row r="63" spans="1:3">
      <c r="A63" s="285"/>
      <c r="B63" s="285"/>
      <c r="C63" s="285"/>
    </row>
    <row r="64" spans="1:3">
      <c r="A64" s="285"/>
      <c r="B64" s="285"/>
      <c r="C64" s="285"/>
    </row>
    <row r="65" spans="1:3">
      <c r="A65" s="285"/>
      <c r="B65" s="285"/>
      <c r="C65" s="285"/>
    </row>
    <row r="66" spans="1:3">
      <c r="A66" s="285"/>
      <c r="B66" s="285"/>
      <c r="C66" s="285"/>
    </row>
    <row r="67" spans="1:3">
      <c r="A67" s="285"/>
      <c r="B67" s="285"/>
      <c r="C67" s="285"/>
    </row>
    <row r="68" spans="1:3">
      <c r="A68" s="285"/>
      <c r="B68" s="285"/>
      <c r="C68" s="285"/>
    </row>
    <row r="69" spans="1:3">
      <c r="A69" s="285"/>
      <c r="B69" s="285"/>
      <c r="C69" s="285"/>
    </row>
    <row r="70" spans="1:3">
      <c r="A70" s="285"/>
      <c r="B70" s="285"/>
      <c r="C70" s="285"/>
    </row>
    <row r="71" spans="1:3">
      <c r="A71" s="285"/>
      <c r="B71" s="285"/>
      <c r="C71" s="285"/>
    </row>
    <row r="72" spans="1:3">
      <c r="A72" s="285"/>
      <c r="B72" s="285"/>
      <c r="C72" s="285"/>
    </row>
    <row r="73" spans="1:3">
      <c r="A73" s="285"/>
      <c r="B73" s="285"/>
      <c r="C73" s="285"/>
    </row>
    <row r="74" spans="1:3">
      <c r="A74" s="285"/>
      <c r="B74" s="285"/>
      <c r="C74" s="285"/>
    </row>
    <row r="75" spans="1:3">
      <c r="A75" s="285"/>
      <c r="B75" s="285"/>
      <c r="C75" s="285"/>
    </row>
    <row r="76" spans="1:3">
      <c r="A76" s="285"/>
      <c r="B76" s="285"/>
      <c r="C76" s="285"/>
    </row>
    <row r="77" spans="1:3">
      <c r="A77" s="285"/>
      <c r="B77" s="285"/>
      <c r="C77" s="285"/>
    </row>
    <row r="78" spans="1:3">
      <c r="A78" s="285"/>
      <c r="B78" s="285"/>
      <c r="C78" s="285"/>
    </row>
    <row r="79" spans="1:3">
      <c r="A79" s="285"/>
      <c r="B79" s="285"/>
      <c r="C79" s="285"/>
    </row>
    <row r="80" spans="1:3">
      <c r="A80" s="285"/>
      <c r="B80" s="285"/>
      <c r="C80" s="285"/>
    </row>
    <row r="81" spans="1:3">
      <c r="A81" s="285"/>
      <c r="B81" s="285"/>
      <c r="C81" s="285"/>
    </row>
    <row r="82" spans="1:3">
      <c r="A82" s="285"/>
      <c r="B82" s="285"/>
      <c r="C82" s="285"/>
    </row>
    <row r="83" spans="1:3">
      <c r="A83" s="285"/>
      <c r="B83" s="285"/>
      <c r="C83" s="285"/>
    </row>
    <row r="84" spans="1:3">
      <c r="A84" s="285"/>
      <c r="B84" s="285"/>
      <c r="C84" s="285"/>
    </row>
    <row r="85" spans="1:3">
      <c r="A85" s="285"/>
      <c r="B85" s="285"/>
      <c r="C85" s="285"/>
    </row>
    <row r="86" spans="1:3">
      <c r="A86" s="285"/>
      <c r="B86" s="285"/>
      <c r="C86" s="285"/>
    </row>
    <row r="87" spans="1:3">
      <c r="A87" s="285"/>
      <c r="B87" s="285"/>
      <c r="C87" s="285"/>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K100"/>
  <sheetViews>
    <sheetView workbookViewId="0">
      <selection activeCell="B11" sqref="B11"/>
    </sheetView>
  </sheetViews>
  <sheetFormatPr defaultRowHeight="15"/>
  <cols>
    <col min="1" max="1" width="13.85546875" style="283" customWidth="1"/>
    <col min="2" max="2" width="38.42578125" style="283" customWidth="1"/>
    <col min="3" max="3" width="55.140625" style="285" customWidth="1"/>
    <col min="4" max="4" width="21" style="283" customWidth="1"/>
    <col min="5" max="5" width="13.28515625" style="283" bestFit="1" customWidth="1"/>
    <col min="6" max="6" width="23.7109375" style="283"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1" customFormat="1">
      <c r="A1" s="30" t="s">
        <v>430</v>
      </c>
      <c r="B1" s="30" t="s">
        <v>431</v>
      </c>
      <c r="C1" s="24" t="s">
        <v>19</v>
      </c>
      <c r="D1" s="30"/>
      <c r="E1" s="30"/>
      <c r="F1" s="30" t="s">
        <v>432</v>
      </c>
      <c r="G1" s="211" t="s">
        <v>433</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434</v>
      </c>
      <c r="C2" s="285" t="s">
        <v>435</v>
      </c>
      <c r="F2" t="s">
        <v>436</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437</v>
      </c>
      <c r="C3" s="285" t="s">
        <v>438</v>
      </c>
      <c r="F3" t="s">
        <v>436</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439</v>
      </c>
      <c r="C4" s="285" t="s">
        <v>440</v>
      </c>
      <c r="F4" t="s">
        <v>436</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441</v>
      </c>
      <c r="F11" t="s">
        <v>442</v>
      </c>
      <c r="G11" s="211">
        <f t="shared" si="0"/>
        <v>1</v>
      </c>
      <c r="H11" s="211" t="str">
        <f t="shared" si="1"/>
        <v>&lt;td&gt;10&lt;/td&gt;&lt;td&gt;DATA VAULT Load hub&lt;/td&gt;&lt;td&gt;&lt;/td&gt;&lt;td&gt;&lt;/td&gt;&lt;td&gt;&lt;/td&gt;&lt;td&gt;DEV&lt;/td&gt;</v>
      </c>
    </row>
    <row r="12" spans="1:11">
      <c r="A12">
        <v>11</v>
      </c>
      <c r="B12" t="s">
        <v>443</v>
      </c>
      <c r="F12" t="s">
        <v>442</v>
      </c>
      <c r="G12" s="211">
        <f t="shared" si="0"/>
        <v>1</v>
      </c>
      <c r="H12" s="211" t="str">
        <f t="shared" si="1"/>
        <v>&lt;td&gt;11&lt;/td&gt;&lt;td&gt;DATA VAULT Load sat&lt;/td&gt;&lt;td&gt;&lt;/td&gt;&lt;td&gt;&lt;/td&gt;&lt;td&gt;&lt;/td&gt;&lt;td&gt;DEV&lt;/td&gt;</v>
      </c>
    </row>
    <row r="13" spans="1:11">
      <c r="A13">
        <v>12</v>
      </c>
      <c r="B13" t="s">
        <v>444</v>
      </c>
      <c r="F13" t="s">
        <v>442</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445</v>
      </c>
      <c r="C21" s="285" t="s">
        <v>446</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447</v>
      </c>
      <c r="C34" s="285" t="s">
        <v>448</v>
      </c>
      <c r="D34" t="s">
        <v>449</v>
      </c>
      <c r="E34" t="s">
        <v>450</v>
      </c>
      <c r="F34" t="s">
        <v>436</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451</v>
      </c>
      <c r="C51" s="285" t="s">
        <v>452</v>
      </c>
      <c r="F51" t="s">
        <v>453</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1:B3"/>
  <sheetViews>
    <sheetView workbookViewId="0">
      <selection activeCell="B1" sqref="B1"/>
    </sheetView>
  </sheetViews>
  <sheetFormatPr defaultRowHeight="15"/>
  <cols>
    <col min="2" max="2" width="87.28515625" style="283" customWidth="1"/>
  </cols>
  <sheetData>
    <row r="1" spans="2:2" ht="128.25" customHeight="1">
      <c r="B1" s="285" t="s">
        <v>454</v>
      </c>
    </row>
    <row r="3" spans="2:2">
      <c r="B3" t="str">
        <f>"CREATE EXTERNAL TABLE "</f>
        <v xml:space="preserve">CREATE EXTERNAL TABLE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2:G192"/>
  <sheetViews>
    <sheetView topLeftCell="A122" workbookViewId="0">
      <selection activeCell="B125" sqref="B125"/>
    </sheetView>
  </sheetViews>
  <sheetFormatPr defaultRowHeight="15"/>
  <cols>
    <col min="1" max="1" width="37.28515625" style="220" customWidth="1"/>
    <col min="2" max="2" width="117.7109375" style="220" customWidth="1"/>
    <col min="3" max="3" width="85.42578125" style="283" customWidth="1"/>
    <col min="4" max="4" width="77" style="283" customWidth="1"/>
    <col min="5" max="5" width="61.140625" style="283" customWidth="1"/>
    <col min="6" max="6" width="95.42578125" style="283" customWidth="1"/>
    <col min="7" max="7" width="41.28515625" style="283" customWidth="1"/>
  </cols>
  <sheetData>
    <row r="2" spans="1:3">
      <c r="A2" s="220" t="s">
        <v>455</v>
      </c>
      <c r="B2" s="220" t="str">
        <f>Options!B25</f>
        <v>factVCSSLast90</v>
      </c>
    </row>
    <row r="3" spans="1:3">
      <c r="A3" s="5" t="s">
        <v>456</v>
      </c>
      <c r="B3" s="220" t="str">
        <f>IF(Options!B51=1,"CREATE TABLE IF NOT EXISTS ", "CREATE EXTERNAL TABLE ")</f>
        <v xml:space="preserve">CREATE TABLE IF NOT EXISTS </v>
      </c>
    </row>
    <row r="4" spans="1:3">
      <c r="A4" s="5" t="s">
        <v>457</v>
      </c>
      <c r="B4" s="220" t="str">
        <f>Options!B23 &amp; "." &amp;Options!B25</f>
        <v>uc0039.factVCSSLast90</v>
      </c>
      <c r="C4" t="str">
        <f>B4&amp; "_tmp"</f>
        <v>uc0039.factVCSSLast90_tmp</v>
      </c>
    </row>
    <row r="5" spans="1:3">
      <c r="A5" s="5" t="s">
        <v>458</v>
      </c>
      <c r="B5" s="220" t="str">
        <f>"stage_" &amp; B2&amp; "_v"</f>
        <v>stage_factVCSSLast90_v</v>
      </c>
    </row>
    <row r="6" spans="1:3">
      <c r="A6" s="5" t="s">
        <v>459</v>
      </c>
      <c r="B6" s="220" t="str">
        <f>"stage_" &amp; B2&amp; "_history_v"</f>
        <v>stage_factVCSSLast90_history_v</v>
      </c>
    </row>
    <row r="7" spans="1:3">
      <c r="A7" s="220" t="s">
        <v>460</v>
      </c>
      <c r="B7" s="220" t="str">
        <f ca="1">_xlfn.TEXTJOIN(", ",TRUE,COLHELPER!AE2:AE150)</f>
        <v>wkVehicle</v>
      </c>
      <c r="C7" s="190" t="str">
        <f ca="1">_xlfn.TEXTJOIN(", ",TRUE,COLHELPER!BX2:BX50)</f>
        <v>t3.wkVehicle</v>
      </c>
    </row>
    <row r="8" spans="1:3">
      <c r="A8" s="5" t="s">
        <v>461</v>
      </c>
      <c r="B8" s="220" t="str">
        <f ca="1">"concat(" &amp; _xlfn.TEXTJOIN(", '|',",TRUE,COLHELPER!AE2:AE150) &amp;",'|'," &amp;Options!B43 &amp; ")"</f>
        <v>concat(wkVehicle,'|',hashkey)</v>
      </c>
    </row>
    <row r="9" spans="1:3">
      <c r="A9" s="220" t="s">
        <v>462</v>
      </c>
      <c r="B9" s="220" t="str">
        <f ca="1">B7 &amp; ", MAX(" &amp; Options!B44  &amp; ") as max_" &amp; Options!B44</f>
        <v>wkVehicle, MAX(load_date) as max_load_date</v>
      </c>
    </row>
    <row r="10" spans="1:3">
      <c r="A10" s="220" t="s">
        <v>463</v>
      </c>
      <c r="B10" s="220" t="str">
        <f ca="1">_xlfn.TEXTJOIN(", ",TRUE,COLHELPER!A2:A150)</f>
        <v>wkVehicle, has_communicated_last_90_days, lake_arrival_date</v>
      </c>
    </row>
    <row r="11" spans="1:3" ht="195.75" customHeight="1">
      <c r="A11" s="285" t="s">
        <v>464</v>
      </c>
      <c r="B11" s="10" t="str">
        <f ca="1">_xlfn.TEXTJOIN(", ",TRUE,COLHELPER!A2:A150) &amp; "," &amp; C38 &amp; ", " &amp; Options!B44 &amp; ", " &amp; Options!B45</f>
        <v>wkVehicle, has_communicated_last_90_days, lake_arrival_date,CAST( '' as varchar(1)) as hashkey, load_date, last_modified_timestamp</v>
      </c>
    </row>
    <row r="12" spans="1:3" ht="195.75" customHeight="1">
      <c r="A12" s="285" t="s">
        <v>465</v>
      </c>
      <c r="B12" s="285" t="str">
        <f ca="1">_xlfn.TEXTJOIN(", ",TRUE,COLHELPER!A2:A150) &amp; "," &amp; C38 &amp; ", " &amp; Options!B44 &amp;  ", " &amp; Options!B45</f>
        <v>wkVehicle, has_communicated_last_90_days, lake_arrival_date,CAST( '' as varchar(1)) as hashkey, load_date, last_modified_timestamp</v>
      </c>
    </row>
    <row r="13" spans="1:3" ht="195.75" customHeight="1">
      <c r="A13" s="285" t="s">
        <v>466</v>
      </c>
      <c r="B13" s="285" t="str">
        <f ca="1">_xlfn.TEXTJOIN(", ",TRUE,COLHELPER!A2:A150) &amp; "," &amp; C38 &amp; ", " &amp; Options!B44  &amp; ", " &amp; Options!B45</f>
        <v>wkVehicle, has_communicated_last_90_days, lake_arrival_date,CAST( '' as varchar(1)) as hashkey, load_date, last_modified_timestamp</v>
      </c>
    </row>
    <row r="14" spans="1:3" ht="195.75" customHeight="1">
      <c r="A14" s="285" t="s">
        <v>467</v>
      </c>
      <c r="B14" s="285" t="str">
        <f ca="1">_xlfn.TEXTJOIN(",",TRUE,COLHELPER!B2:B150) &amp; "," &amp; C38 &amp; ", " &amp; Options!B44 &amp;  ", " &amp; Options!B45</f>
        <v>wkVehicle,1 AS has_communicated_last_90_days,lake_arrival_date,CAST( '' as varchar(1)) as hashkey, load_date, last_modified_timestamp</v>
      </c>
    </row>
    <row r="15" spans="1:3" ht="195.75" customHeight="1">
      <c r="A15" s="285" t="s">
        <v>468</v>
      </c>
      <c r="B15" s="10" t="str">
        <f ca="1">_xlfn.TEXTJOIN(", ",TRUE,COLHELPER!A2:A150) &amp; IF(Options!F7=33,"", "," &amp; C38 &amp; ", " &amp; Options!B44 &amp;  ", " &amp; Options!B45)</f>
        <v>wkVehicle, has_communicated_last_90_days, lake_arrival_date</v>
      </c>
      <c r="C15" s="10" t="str">
        <f>IF(Options!F7=33,"TEMPLATE 33 does not add any extra columns other than the one specified in columns.","")</f>
        <v>TEMPLATE 33 does not add any extra columns other than the one specified in columns.</v>
      </c>
    </row>
    <row r="16" spans="1:3" ht="195.75" customHeight="1">
      <c r="B16" s="285" t="str">
        <f ca="1">_xlfn.TEXTJOIN(", ",TRUE,COLHELPER!BJ2:BJ150) &amp; ",current_date,current_date,'',1"</f>
        <v>0, 0, 'missing',current_date,current_date,'',1</v>
      </c>
    </row>
    <row r="17" spans="1:3" ht="81" customHeight="1">
      <c r="A17" s="220" t="s">
        <v>469</v>
      </c>
      <c r="B17" s="285" t="str">
        <f>IF(Options!B31=1, "INSERT INTO "&amp;B133&amp;"("&amp;B18&amp;") VALUES ("&amp;B16&amp; ")","")</f>
        <v/>
      </c>
    </row>
    <row r="18" spans="1:3" ht="236.25" customHeight="1">
      <c r="A18" s="285" t="s">
        <v>470</v>
      </c>
      <c r="B18" s="10" t="str">
        <f ca="1">_xlfn.TEXTJOIN(", ",TRUE,COLHELPER!A2:A150)&amp;","&amp;Options!B44&amp;   IF(OR(Options!B31=1,Options!B7=3), ", "&amp;Options!B45,"") &amp;", "&amp;Options!B43&amp;IF(Options!B31=1,",  IsCurrent","")</f>
        <v>wkVehicle, has_communicated_last_90_days, lake_arrival_date,load_date, hashkey</v>
      </c>
      <c r="C18" s="12" t="str">
        <f ca="1">_xlfn.TEXTJOIN(",",TRUE,COLHELPER!A2:A150)&amp;","&amp;Options!B44&amp;   IF(OR(Options!B31=1,Options!B7=3), ", "&amp;Options!B45,"") &amp;", "&amp;Options!B43&amp;IF(Options!B31=1,",  IsCurrent","")</f>
        <v>wkVehicle,has_communicated_last_90_days,lake_arrival_date,load_date, hashkey</v>
      </c>
    </row>
    <row r="19" spans="1:3" ht="128.25" customHeight="1">
      <c r="A19" s="285" t="s">
        <v>471</v>
      </c>
      <c r="B19" s="285" t="str">
        <f ca="1">_xlfn.TEXTJOIN(", ",TRUE,COLHELPER!V2:V150)</f>
        <v>wkVehicle bigint, has_communicated_last_90_days bigint</v>
      </c>
    </row>
    <row r="20" spans="1:3" ht="128.25" customHeight="1">
      <c r="A20" s="285"/>
      <c r="B20" s="285"/>
    </row>
    <row r="21" spans="1:3" ht="128.25" customHeight="1">
      <c r="A21" s="220" t="s">
        <v>472</v>
      </c>
      <c r="B21" s="285" t="str">
        <f ca="1">_xlfn.TEXTJOIN(",",TRUE,COLHELPER!AT2:AT150)</f>
        <v/>
      </c>
    </row>
    <row r="22" spans="1:3" ht="128.25" customHeight="1">
      <c r="A22" s="285" t="s">
        <v>473</v>
      </c>
      <c r="B22" s="285" t="str">
        <f ca="1">IF(Options!B47=1,_xlfn.TEXTJOIN(", '|' , ",TRUE,COLHELPER!AA2:AA150))</f>
        <v/>
      </c>
      <c r="C22" s="237" t="str">
        <f ca="1">IF(Options!B47=1,_xlfn.TEXTJOIN(", '|' , ",TRUE,COLHELPER!AC2:AC150))</f>
        <v/>
      </c>
    </row>
    <row r="23" spans="1:3" ht="128.25" customHeight="1">
      <c r="A23" s="285" t="s">
        <v>474</v>
      </c>
      <c r="B23" s="285" t="str">
        <f>IF(Options!B47=0,_xlfn.TEXTJOIN(", '|' , ",TRUE,COLHELPER!AB2:AB150),"")</f>
        <v/>
      </c>
      <c r="C23" s="238"/>
    </row>
    <row r="24" spans="1:3" ht="180.75" customHeight="1">
      <c r="A24" s="285" t="s">
        <v>475</v>
      </c>
      <c r="B24" s="10" t="str">
        <f ca="1">IF(B22="",  IF(B23="","", "," &amp; B23),B22)</f>
        <v/>
      </c>
      <c r="C24" s="238" t="str">
        <f ca="1">IF(C22="",  IF(C23="","", "," &amp; C23),C22) &amp; ",''"</f>
        <v>,''</v>
      </c>
    </row>
    <row r="25" spans="1:3" ht="123" customHeight="1">
      <c r="A25" s="285" t="s">
        <v>476</v>
      </c>
      <c r="B25" s="15" t="s">
        <v>477</v>
      </c>
    </row>
    <row r="26" spans="1:3">
      <c r="A26" s="220" t="s">
        <v>478</v>
      </c>
      <c r="B26" s="220" t="str">
        <f ca="1">_xlfn.TEXTJOIN(",",TRUE,COLHELPER!Y2:Y150)</f>
        <v>lake_arrival_date string</v>
      </c>
    </row>
    <row r="27" spans="1:3">
      <c r="A27" s="220" t="s">
        <v>479</v>
      </c>
      <c r="B27" s="220" t="str">
        <f ca="1">IF(B26="","",A26 &amp; " (" &amp; B26 &amp; ")")</f>
        <v>PARTITIONED BY (lake_arrival_date string)</v>
      </c>
    </row>
    <row r="28" spans="1:3">
      <c r="A28" s="6" t="s">
        <v>480</v>
      </c>
      <c r="B28" s="220" t="str">
        <f ca="1">_xlfn.TEXTJOIN(",",TRUE,COLHELPER!Z2:Z80)</f>
        <v>lake_arrival_date</v>
      </c>
    </row>
    <row r="29" spans="1:3" ht="150" customHeight="1">
      <c r="A29" s="285" t="s">
        <v>481</v>
      </c>
      <c r="B29" s="285" t="str">
        <f ca="1">B19 &amp; "," &amp; Options!B43 &amp; " string, " &amp; Options!B44 &amp; " " &amp; " Timestamp, " &amp; Options!B45 &amp; " " &amp; " Timestamp"</f>
        <v>wkVehicle bigint, has_communicated_last_90_days bigint,hashkey string, load_date  Timestamp, last_modified_timestamp  Timestamp</v>
      </c>
      <c r="C29" s="285" t="str">
        <f ca="1">B19</f>
        <v>wkVehicle bigint, has_communicated_last_90_days bigint</v>
      </c>
    </row>
    <row r="30" spans="1:3" ht="150" customHeight="1">
      <c r="A30" s="285" t="s">
        <v>482</v>
      </c>
      <c r="B30" s="285" t="str">
        <f>Options!B43 &amp; " string, " &amp; Options!B44 &amp; " " &amp; " Timestamp, " &amp; Options!B45 &amp; " " &amp; " Timestamp, IsCurrent int"</f>
        <v>hashkey string, load_date  Timestamp, last_modified_timestamp  Timestamp, IsCurrent int</v>
      </c>
      <c r="C30" s="285"/>
    </row>
    <row r="31" spans="1:3" ht="150" customHeight="1">
      <c r="A31" s="285" t="s">
        <v>483</v>
      </c>
      <c r="B31" s="285" t="str">
        <f>Options!B43 &amp; ", " &amp; Options!B44 &amp; " " &amp; ", " &amp; Options!B45 &amp; " " &amp; " , IsCurrent"</f>
        <v>hashkey, load_date , last_modified_timestamp  , IsCurrent</v>
      </c>
      <c r="C31" s="285"/>
    </row>
    <row r="32" spans="1:3" ht="150" customHeight="1">
      <c r="A32" s="285" t="s">
        <v>484</v>
      </c>
      <c r="B32" s="285" t="str">
        <f>Options!B43 &amp; ", " &amp; Options!B44 &amp; " " &amp; ", " &amp; Options!B45 &amp; " " &amp; " , IsCurrent"</f>
        <v>hashkey, load_date , last_modified_timestamp  , IsCurrent</v>
      </c>
      <c r="C32" s="285"/>
    </row>
    <row r="33" spans="1:3" ht="121.5" customHeight="1">
      <c r="A33" s="285" t="s">
        <v>485</v>
      </c>
      <c r="B33" s="285" t="str">
        <f ca="1">_xlfn.TEXTJOIN(", ",TRUE, ,COLHELPER!S2:S150) &amp;  "," &amp; Options!B43 &amp; " string, " &amp; Options!B44 &amp; " " &amp; " Timestamp, " &amp; Options!B45 &amp; " " &amp; " Timestamp"</f>
        <v>wkVehicle bigint, has_communicated_last_90_days bigint, lake_arrival_date string,hashkey string, load_date  Timestamp, last_modified_timestamp  Timestamp</v>
      </c>
    </row>
    <row r="34" spans="1:3">
      <c r="A34" s="220" t="s">
        <v>486</v>
      </c>
      <c r="B34" s="220" t="str">
        <f>"s3://" &amp; HELPER!B134</f>
        <v>s3://uc0039-vgcs-odl-prod/db/factVCSSLast90</v>
      </c>
    </row>
    <row r="35" spans="1:3">
      <c r="B35" s="220">
        <v>1</v>
      </c>
    </row>
    <row r="38" spans="1:3" ht="129" customHeight="1">
      <c r="A38" s="10" t="s">
        <v>487</v>
      </c>
      <c r="B38" s="10" t="str">
        <f ca="1">IF(B24=""," CAST( '' as varchar(1)) ","lower(to_hex(md5(to_utf8(concat("&amp;B24&amp;")))))")&amp;" AS "&amp;Options!B43</f>
        <v xml:space="preserve"> CAST( '' as varchar(1))  AS hashkey</v>
      </c>
      <c r="C38" s="285" t="str">
        <f>IF(AND(Options!B31,Options!B32=1),B38,"CAST( '' as varchar(1)) as hashkey")</f>
        <v>CAST( '' as varchar(1)) as hashkey</v>
      </c>
    </row>
    <row r="39" spans="1:3" ht="129" customHeight="1">
      <c r="A39" s="10" t="s">
        <v>488</v>
      </c>
      <c r="B39" s="237" t="str">
        <f ca="1">IF(C24=""," CAST( '' as varchar(1)) ","lower(to_hex(md5(to_utf8(concat("&amp;C24&amp;")))))")</f>
        <v>lower(to_hex(md5(to_utf8(concat(,'')))))</v>
      </c>
      <c r="C39" s="285"/>
    </row>
    <row r="40" spans="1:3">
      <c r="A40" s="220" t="s">
        <v>489</v>
      </c>
      <c r="B40" s="7" t="s">
        <v>490</v>
      </c>
    </row>
    <row r="41" spans="1:3">
      <c r="B41" s="7" t="s">
        <v>491</v>
      </c>
    </row>
    <row r="42" spans="1:3">
      <c r="B42" s="7" t="s">
        <v>492</v>
      </c>
    </row>
    <row r="43" spans="1:3">
      <c r="B43" s="7" t="s">
        <v>493</v>
      </c>
    </row>
    <row r="44" spans="1:3">
      <c r="B44" s="7" t="s">
        <v>494</v>
      </c>
    </row>
    <row r="45" spans="1:3">
      <c r="B45" s="7" t="s">
        <v>495</v>
      </c>
    </row>
    <row r="47" spans="1:3">
      <c r="B47" s="220" t="str">
        <f>IF(Options!B51=0, B40 &amp; " '" &amp; B41 &amp; "' " &amp; B42 &amp; " '" &amp; B43 &amp; "' " &amp; B44 &amp; "'" &amp; B45 &amp; "'","")</f>
        <v/>
      </c>
    </row>
    <row r="49" spans="1:7">
      <c r="A49" s="220" t="s">
        <v>496</v>
      </c>
      <c r="B49" s="220" t="s">
        <v>116</v>
      </c>
    </row>
    <row r="53" spans="1:7" ht="102" customHeight="1">
      <c r="A53" s="8" t="s">
        <v>497</v>
      </c>
      <c r="B53" s="285" t="str">
        <f ca="1">_xlfn.TEXTJOIN(" AND ",TRUE,COLHELPER!AH2:AH150)</f>
        <v>trg.wkVehicle = src.wkVehicle</v>
      </c>
    </row>
    <row r="54" spans="1:7" ht="120.75" customHeight="1">
      <c r="A54" s="285" t="s">
        <v>498</v>
      </c>
      <c r="B54" s="285" t="str">
        <f ca="1">_xlfn.TEXTJOIN(" AND ",TRUE,COLHELPER!AH2:AH150) &amp; C54 &amp; " " &amp; D54</f>
        <v xml:space="preserve">trg.wkVehicle = src.wkVehicle </v>
      </c>
      <c r="C54" s="285" t="str">
        <f>IF(Options!B32="Z"," AND " &amp; B93 &amp; "." &amp; Options!B14 &amp; " &lt;&gt;  " &amp; B94 &amp; "." &amp; Options!B14,"")</f>
        <v/>
      </c>
      <c r="D54" s="285"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5" t="str">
        <f>IF(Options!B14="",Options!B45,Options!B14)</f>
        <v>timestamp</v>
      </c>
    </row>
    <row r="55" spans="1:7" ht="120.75" customHeight="1">
      <c r="A55" s="285" t="s">
        <v>358</v>
      </c>
      <c r="B55" s="285" t="str">
        <f ca="1">_xlfn.TEXTJOIN(" AND ",TRUE,COLHELPER!AH2:AH150) &amp; C54 &amp; " " &amp; D55</f>
        <v xml:space="preserve">trg.wkVehicle = src.wkVehicle </v>
      </c>
      <c r="C55" s="285"/>
      <c r="D55" s="285" t="str">
        <f>IF(Options!B32=1,"  AND " &amp;B93 &amp;  "." &amp; Options!B43 &amp; " = "  &amp; 'SCD4'!B17,"")</f>
        <v/>
      </c>
      <c r="F55" s="190"/>
      <c r="G55" s="285"/>
    </row>
    <row r="56" spans="1:7" ht="120.75" customHeight="1">
      <c r="A56" s="285" t="s">
        <v>499</v>
      </c>
      <c r="B56" s="285" t="str">
        <f ca="1">_xlfn.TEXTJOIN(" AND ",TRUE,COLHELPER!AH2:AH150)</f>
        <v>trg.wkVehicle = src.wkVehicle</v>
      </c>
    </row>
    <row r="57" spans="1:7" ht="120.75" customHeight="1">
      <c r="A57" s="285" t="s">
        <v>500</v>
      </c>
      <c r="B57" s="285"/>
    </row>
    <row r="58" spans="1:7" ht="365.25" customHeight="1">
      <c r="A58" s="285" t="s">
        <v>501</v>
      </c>
      <c r="B58" s="285" t="str">
        <f ca="1">IF(Options!B51=1,HELPER!B33,HELPER!B29) &amp; IF(OR(Options!B31=1, Options!B7=3),"" ) &amp;IF(USERINPUT_IS_DIMENSION_TABLE=1, " , IsCurrent int","")</f>
        <v>wkVehicle bigint, has_communicated_last_90_days bigint, lake_arrival_date string,hashkey string, load_date  Timestamp, last_modified_timestamp  TimestampFALSE</v>
      </c>
      <c r="C58" s="285" t="str">
        <f ca="1">COLHELPER!W152</f>
        <v/>
      </c>
    </row>
    <row r="59" spans="1:7" ht="177" customHeight="1">
      <c r="A59" s="285" t="s">
        <v>502</v>
      </c>
      <c r="B59" s="10" t="str">
        <f ca="1">IF(Options!F7=33,HELPER!C29, HELPER!B29) &amp;D1 &amp; IF(USERINPUT_IS_DIMENSION_TABLE=1, "  , IsCurrent int","")</f>
        <v>wkVehicle bigint, has_communicated_last_90_days bigint</v>
      </c>
      <c r="C59" s="10" t="str">
        <f>IF(Options!F7=33," Template 33 does not add any extra columns","")</f>
        <v xml:space="preserve"> Template 33 does not add any extra columns</v>
      </c>
      <c r="D59" t="str">
        <f>IF(OR( Options!B31=1, OR(Options!B7=3,Options!B7=2)), ","   &amp;Options!B45 &amp; " timestamp","")</f>
        <v/>
      </c>
    </row>
    <row r="60" spans="1:7">
      <c r="A60" s="220" t="s">
        <v>478</v>
      </c>
      <c r="B60" s="220" t="str">
        <f ca="1">IF(B28="","","PARTITIONED BY (" &amp; IF(Options!B51=1,B28,B26) &amp; ")")</f>
        <v>PARTITIONED BY (lake_arrival_date)</v>
      </c>
    </row>
    <row r="61" spans="1:7">
      <c r="A61" s="220" t="s">
        <v>503</v>
      </c>
      <c r="B61" s="220" t="str">
        <f ca="1">IF(B28="","","PARTITIONED BY (" &amp; IF(Options!B51="1",B28,B26) &amp; ")")</f>
        <v>PARTITIONED BY (lake_arrival_date string)</v>
      </c>
    </row>
    <row r="62" spans="1:7" ht="62.25" customHeight="1">
      <c r="A62" s="220" t="s">
        <v>504</v>
      </c>
      <c r="B62" s="285" t="str">
        <f>_xlfn.TEXTJOIN(", ",TRUE,HELPER!B141:B148)</f>
        <v>'vacuum_max_snapshot_age_seconds' = '259200', 'optimize_rewrite_delete_file_threshold' = '50', 'write_target_data_file_size_bytes' = '536870912'</v>
      </c>
    </row>
    <row r="69" spans="1:3">
      <c r="B69" s="220" t="str">
        <f>"'table_type'='iceberg'"</f>
        <v>'table_type'='iceberg'</v>
      </c>
    </row>
    <row r="70" spans="1:3">
      <c r="B70" s="220" t="str">
        <f>"'format'='parquet'"</f>
        <v>'format'='parquet'</v>
      </c>
    </row>
    <row r="72" spans="1:3" ht="141.75" customHeight="1">
      <c r="A72" s="220" t="s">
        <v>505</v>
      </c>
      <c r="B72" s="285" t="str">
        <f>IF(Options!B51=1, "TBLPROPERTIES ( " &amp;  _xlfn.TEXTJOIN(",",TRUE,B62:B70) &amp; ")","")</f>
        <v>TBLPROPERTIES ( 'vacuum_max_snapshot_age_seconds' = '259200', 'optimize_rewrite_delete_file_threshold' = '50', 'write_target_data_file_size_bytes' = '536870912','table_type'='iceberg','format'='parquet')</v>
      </c>
    </row>
    <row r="74" spans="1:3">
      <c r="B74" s="220" t="str">
        <f>IF(Options!B51=1,"TBLPROPERTIES ('table_type' = 'iceberg', 'format'='parquet' " &amp; ")","")</f>
        <v>TBLPROPERTIES ('table_type' = 'iceberg', 'format'='parquet' )</v>
      </c>
    </row>
    <row r="80" spans="1:3" ht="153.75" customHeight="1">
      <c r="A80" s="285" t="s">
        <v>506</v>
      </c>
      <c r="B80" s="10" t="str">
        <f ca="1">_xlfn.TEXTJOIN(", ",TRUE,COLHELPER!AU2:AU149)&amp;", "&amp;B94&amp;"."&amp;Options!B44&amp;","&amp;IF(OR(Options!B31=1,Options!B7=3), B94&amp;"."&amp;Options!B45&amp;", ","")&amp;B94&amp;"."&amp;Options!B43&amp;IF(Options!B31=1,",0","")</f>
        <v>src.wkVehicle, src.has_communicated_last_90_days, COALESCE(src.lake_arrival_date,''), src.load_date,src.hashkey</v>
      </c>
      <c r="C80" t="s">
        <v>507</v>
      </c>
    </row>
    <row r="81" spans="1:2" ht="137.25" customHeight="1">
      <c r="A81" s="220" t="s">
        <v>508</v>
      </c>
      <c r="B81" s="285" t="str">
        <f ca="1">_xlfn.TEXTJOIN(",",TRUE,COLHELPER!AP2:AP80)</f>
        <v>has_communicated_last_90_days =  src.has_communicated_last_90_days</v>
      </c>
    </row>
    <row r="82" spans="1:2" ht="231" customHeight="1">
      <c r="A82" s="285" t="s">
        <v>509</v>
      </c>
      <c r="B82" s="285" t="str">
        <f ca="1">IF(B81="","",B81 &amp;  ", ") &amp;  Options!B44 &amp; "= " &amp; B94 &amp; " ." &amp; Options!B44</f>
        <v>has_communicated_last_90_days =  src.has_communicated_last_90_days, load_date= src .load_date</v>
      </c>
    </row>
    <row r="83" spans="1:2">
      <c r="B83" s="220" t="str">
        <f>"t1." &amp; Options!B43 &amp; " &lt;&gt; " &amp; "d." &amp; Options!B43</f>
        <v>t1.hashkey &lt;&gt; d.hashkey</v>
      </c>
    </row>
    <row r="86" spans="1:2" ht="78" customHeight="1">
      <c r="A86" s="220" t="s">
        <v>510</v>
      </c>
      <c r="B86" s="220" t="str">
        <f ca="1">"MERGE INTO " &amp; HELPER!B133 &amp; " as " &amp; B93 &amp; " USING (SELECT " &amp; HELPER!B21 &amp; ", MAX(" &amp; Options!B44 &amp; ") As " &amp; Options!B44 &amp; " GROUP BY " &amp; B21 &amp; ") as " &amp; B94</f>
        <v>MERGE INTO uc0039.factVCSSLast90 as trg USING (SELECT , MAX(load_date) As load_date GROUP BY ) as src</v>
      </c>
    </row>
    <row r="89" spans="1:2">
      <c r="A89" s="220" t="s">
        <v>511</v>
      </c>
      <c r="B89" s="220" t="str">
        <f ca="1">_xlfn.TEXTJOIN(",",TRUE,COLHELPER!AT2:AT109)</f>
        <v/>
      </c>
    </row>
    <row r="92" spans="1:2">
      <c r="A92" s="16" t="s">
        <v>512</v>
      </c>
      <c r="B92" s="17"/>
    </row>
    <row r="93" spans="1:2">
      <c r="A93" s="220" t="s">
        <v>513</v>
      </c>
      <c r="B93" s="15" t="s">
        <v>514</v>
      </c>
    </row>
    <row r="94" spans="1:2">
      <c r="A94" s="220" t="s">
        <v>515</v>
      </c>
      <c r="B94" s="15" t="s">
        <v>516</v>
      </c>
    </row>
    <row r="98" spans="1:3">
      <c r="A98" s="220" t="s">
        <v>517</v>
      </c>
      <c r="B98" s="220" t="str">
        <f>Options!B23 &amp;"." &amp; Options!B25</f>
        <v>uc0039.factVCSSLast90</v>
      </c>
    </row>
    <row r="100" spans="1:3" ht="114.75" customHeight="1">
      <c r="A100" s="285" t="s">
        <v>518</v>
      </c>
      <c r="B100" s="10" t="str">
        <f ca="1">_xlfn.TEXTJOIN(", ",TRUE,COLHELPER!BM2:BM50)</f>
        <v>f.wkVehicle AS wkVehicle, 1 AS has_communicated_last_90_days, f.lake_arrival_date AS lake_arrival_date</v>
      </c>
    </row>
    <row r="101" spans="1:3" ht="135" customHeight="1">
      <c r="A101" s="220" t="s">
        <v>519</v>
      </c>
      <c r="B101" s="285" t="str">
        <f ca="1">_xlfn.TEXTJOIN(", ",TRUE,COLHELPER!BI2:BI80)</f>
        <v>f.wkVehicle AS wkVehicle, 1 AS has_communicated_last_90_days, f.lake_arrival_date AS lake_arrival_date</v>
      </c>
    </row>
    <row r="102" spans="1:3" ht="163.5" customHeight="1">
      <c r="A102" s="220" t="s">
        <v>520</v>
      </c>
      <c r="B102" s="285" t="str">
        <f ca="1">_xlfn.TEXTJOIN(", ",TRUE,COLHELPER!AY2:AY80)</f>
        <v>wkVehicle AS wkVehicle, 1 AS has_communicated_last_90_days AS has_communicated_last_90_days, lake_arrival_date AS lake_arrival_date</v>
      </c>
    </row>
    <row r="103" spans="1:3">
      <c r="B103" s="220" t="str">
        <f ca="1">"concat(" &amp; _xlfn.TEXTJOIN(", '|', ",TRUE,COLHELPER!BA2:BA237) &amp; ", ''" &amp; ")"</f>
        <v>concat(CAST(wkVehicle AS varchar(150)), '')</v>
      </c>
    </row>
    <row r="104" spans="1:3">
      <c r="A104" s="220" t="s">
        <v>521</v>
      </c>
      <c r="B104" s="220" t="str">
        <f ca="1">"CAST(" &amp; B103 &amp; " as varbinary)"</f>
        <v>CAST(concat(CAST(wkVehicle AS varchar(150)), '') as varbinary)</v>
      </c>
    </row>
    <row r="105" spans="1:3">
      <c r="A105" s="15" t="s">
        <v>522</v>
      </c>
      <c r="B105" s="220" t="s">
        <v>523</v>
      </c>
      <c r="C105" t="str">
        <f>"CAST(" &amp; B105 &amp; " as varbinary)"</f>
        <v>CAST(cast(uuid() as varchar) as varbinary)</v>
      </c>
    </row>
    <row r="106" spans="1:3">
      <c r="A106" s="15" t="s">
        <v>524</v>
      </c>
      <c r="B106" t="str">
        <f>"ABS(from_big_endian_64(xxhash64("&amp;C105&amp;"" &amp; ")))"</f>
        <v>ABS(from_big_endian_64(xxhash64(CAST(cast(uuid() as varchar) as varbinary))))</v>
      </c>
    </row>
    <row r="107" spans="1:3" ht="83.25" customHeight="1">
      <c r="A107" s="220" t="s">
        <v>525</v>
      </c>
      <c r="B107" s="10" t="str">
        <f ca="1">B106 &amp; " AS " &amp; COLHELPER!AT2</f>
        <v xml:space="preserve">ABS(from_big_endian_64(xxhash64(CAST(cast(uuid() as varchar) as varbinary)))) AS </v>
      </c>
    </row>
    <row r="108" spans="1:3">
      <c r="A108" s="6" t="s">
        <v>526</v>
      </c>
      <c r="B108" s="220" t="str">
        <f ca="1">_xlfn.TEXTJOIN(", ",TRUE,COLHELPER!BC2:BC106)</f>
        <v>COALESCE(wkVehicle,0) AS wkVehicle</v>
      </c>
    </row>
    <row r="109" spans="1:3" ht="50.25" customHeight="1">
      <c r="A109" s="220" t="s">
        <v>527</v>
      </c>
      <c r="B109" s="285" t="str">
        <f ca="1">_xlfn.TEXTJOIN(", ",TRUE,COLHELPER!BH2:BH106)</f>
        <v>COALESCE(wkVehicle,0) AS wkVehicle, 1 AS has_communicated_last_90_days, COALESCE(lake_arrival_date,'') AS lake_arrival_date</v>
      </c>
    </row>
    <row r="110" spans="1:3" ht="143.25" customHeight="1">
      <c r="A110" s="285" t="s">
        <v>528</v>
      </c>
      <c r="B110" s="10" t="str">
        <f ca="1">IF(B109="","",""&amp;B109)&amp;", "&amp; B112 &amp; ", " &amp; IF(C113="",B113,C113)</f>
        <v>COALESCE(wkVehicle,0) AS wkVehicle, 1 AS has_communicated_last_90_days, COALESCE(lake_arrival_date,'') AS lake_arrival_date,  CAST(timestamp AS timestamp)  AS last_modified_timestamp, CAST(read_out_date as timestamp) As load_date</v>
      </c>
      <c r="C110" s="188" t="str">
        <f ca="1">IF(B109="","",""&amp;B109)</f>
        <v>COALESCE(wkVehicle,0) AS wkVehicle, 1 AS has_communicated_last_90_days, COALESCE(lake_arrival_date,'') AS lake_arrival_date</v>
      </c>
    </row>
    <row r="111" spans="1:3" ht="50.25" customHeight="1">
      <c r="B111" s="10" t="str">
        <f>"CAST(current_timestamp AS timestamp)   AS " &amp; Options!B45</f>
        <v>CAST(current_timestamp AS timestamp)   AS last_modified_timestamp</v>
      </c>
    </row>
    <row r="112" spans="1:3" ht="50.25" customHeight="1">
      <c r="A112" s="220" t="s">
        <v>529</v>
      </c>
      <c r="B112" s="220" t="str">
        <f>IF(TRIM(Options!B14)="",B111,     IF(Options!B15="string", "CAST(from_iso8601_timestamp( " &amp; Options!B14 &amp; ") As timestamp) ",C112) &amp; " AS " &amp; Options!B45)</f>
        <v xml:space="preserve"> CAST(timestamp AS timestamp)  AS last_modified_timestamp</v>
      </c>
      <c r="C112" s="285" t="str">
        <f>IF(TRIM(Options!B14)="",B111,IF(Options!B15="timestamp"," CAST("&amp;Options!B14&amp;" AS timestamp) ",Options!B14))</f>
        <v xml:space="preserve"> CAST(timestamp AS timestamp) </v>
      </c>
    </row>
    <row r="113" spans="1:4" ht="50.25" customHeight="1">
      <c r="A113" s="220" t="s">
        <v>530</v>
      </c>
      <c r="B113" s="220" t="str">
        <f>"CAST(current_timestamp AS timestamp)  " &amp; " " &amp;  Options!B44</f>
        <v>CAST(current_timestamp AS timestamp)   load_date</v>
      </c>
      <c r="C113" s="240" t="str">
        <f>IF(USERINPUT_LOAD_DATE_COLUMN_NAME="","", "CAST(" &amp; USERINPUT_LOAD_DATE_COLUMN_NAME &amp; " as timestamp) As " &amp; Options!B44)</f>
        <v>CAST(read_out_date as timestamp) As load_date</v>
      </c>
    </row>
    <row r="114" spans="1:4" ht="50.25" customHeight="1">
      <c r="A114" s="220" t="s">
        <v>531</v>
      </c>
      <c r="B114" s="220" t="str">
        <f>IF(TRIM(Options!B14)="",B112, "CAST(from_iso8601_timestamp( " &amp; Options!B14 &amp; ") As timestamp) AS " &amp;Options!B14)</f>
        <v>CAST(from_iso8601_timestamp( timestamp) As timestamp) AS timestamp</v>
      </c>
    </row>
    <row r="115" spans="1:4" ht="292.5" customHeight="1">
      <c r="A115" s="285" t="s">
        <v>532</v>
      </c>
      <c r="B115" s="10" t="str">
        <f ca="1">IF('Volvo DMA'!B2=1,", ","WITH " ) &amp;"  t1 AS (SELECT "&amp;IF(Options!B17=1," DISTINCT ","")&amp;B110&amp;" FROM " &amp; IF('Volvo DMA'!B2=1,"_dma2", B124 ) &amp;"), t2 AS (SELECT "&amp;B107&amp;",* from t1)"</f>
        <v>WITH   t1 AS (SELECT  DISTINCT COALESCE(wkVehicle,0) AS wkVehicle, 1 AS has_communicated_last_90_days, COALESCE(lake_arrival_date,'') AS lake_arrival_date,  CAST(timestamp AS timestamp)  AS last_modified_timestamp, CAST(read_out_date as timestamp) As load_date FROM staged.conrepo_activationdtp_p),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COALESCE(wkVehicle,0) AS wkVehicle, 1 AS has_communicated_last_90_days, COALESCE(lake_arrival_date,'') AS lake_arrival_date,  CAST(timestamp AS timestamp)  AS last_modified_timestamp, CAST(read_out_date as timestamp) As load_date FROM staged.conrepo_activationdtp_p), t2 AS (SELECT ABS(from_big_endian_64(xxhash64(CAST(cast(uuid() as varchar) as varbinary)))) AS ,* from t1),t3 as (  SELECT wkVehicle, has_communicated_last_90_days, lake_arrival_date,CAST( '' as varchar(1)) as hashkey, load_date, last_modified_timestamp FROM t2 ), t4 as (SELECT t3.wkVehicle , MAX(last_modified_timestamp) as last_modified_timestamp FROM t3 GROUP BY t3.wkVehicle) SELECT t3.* FROM t3 INNER JOIN t4 on t3.wkVehicle = t4.wkVehicle and t3.last_modified_timestamp = t4.last_modified_timestamp</v>
      </c>
      <c r="D115" s="285" t="str">
        <f ca="1">_xlfn.TEXTJOIN(" AND ",TRUE,COLHELPER!BW2:BW50)</f>
        <v>t3.wkVehicle = t4.wkVehicle</v>
      </c>
    </row>
    <row r="116" spans="1:4" ht="161.25" customHeight="1">
      <c r="A116" s="220" t="s">
        <v>533</v>
      </c>
      <c r="B116" s="285" t="str">
        <f ca="1">B115 &amp; " SELECT * from t1 limit 10"</f>
        <v>WITH   t1 AS (SELECT  DISTINCT COALESCE(wkVehicle,0) AS wkVehicle, 1 AS has_communicated_last_90_days, COALESCE(lake_arrival_date,'') AS lake_arrival_date,  CAST(timestamp AS timestamp)  AS last_modified_timestamp, CAST(read_out_date as timestamp) As load_date FROM staged.conrepo_activationdtp_p), t2 AS (SELECT ABS(from_big_endian_64(xxhash64(CAST(cast(uuid() as varchar) as varbinary)))) AS ,* from t1) SELECT * from t1 limit 10</v>
      </c>
    </row>
    <row r="118" spans="1:4">
      <c r="B118" s="220" t="str">
        <f ca="1">_xlfn.TEXTJOIN(" AND ",TRUE,COLHELPER!BE2:BE120)</f>
        <v>t1.wkVehicle =  t2.wkVehicle</v>
      </c>
    </row>
    <row r="120" spans="1:4">
      <c r="A120" s="220" t="s">
        <v>534</v>
      </c>
      <c r="B120" s="220" t="str">
        <f ca="1">"t1." &amp; B21 &amp; ", t1." &amp; Options!B44 &amp; ",t2.*"</f>
        <v>t1., t1.load_date,t2.*</v>
      </c>
    </row>
    <row r="123" spans="1:4" ht="75" customHeight="1">
      <c r="A123" s="220" t="s">
        <v>535</v>
      </c>
      <c r="B123" s="285" t="str">
        <f ca="1">_xlfn.TEXTJOIN(", ",TRUE,COLHELPER!BF2:BF265)</f>
        <v>wkVehicle AS wkVehicle, 1 AS has_communicated_last_90_days AS has_communicated_last_90_days, lake_arrival_date AS lake_arrival_date</v>
      </c>
    </row>
    <row r="124" spans="1:4" ht="135" customHeight="1">
      <c r="A124" s="220" t="s">
        <v>536</v>
      </c>
      <c r="B124" s="285" t="str">
        <f>IF(B125="",B127,IF(B126="", B125,B126))</f>
        <v>staged.conrepo_activationdtp_p</v>
      </c>
    </row>
    <row r="125" spans="1:4">
      <c r="A125" s="220" t="s">
        <v>537</v>
      </c>
      <c r="B125" s="220" t="str">
        <f>IF(Options!B19=1,"", Options!B10 &amp; "." &amp; Options!B11)</f>
        <v>staged.conrepo_activationdtp_p</v>
      </c>
    </row>
    <row r="126" spans="1:4">
      <c r="A126" s="220" t="s">
        <v>538</v>
      </c>
      <c r="B126" s="220" t="str">
        <f>IF('STAGE VIEW 1'!B14="","", "(" &amp; 'STAGE VIEW 1'!B14 &amp; ")" )</f>
        <v/>
      </c>
    </row>
    <row r="127" spans="1:4">
      <c r="A127" s="220" t="s">
        <v>539</v>
      </c>
      <c r="B127" s="220" t="str">
        <f>Options!B4 &amp; "." &amp; "source_" &amp; Options!B25 &amp; IF(Options!F7=33,"_[:date_yyyymmdd]_v ","_v")</f>
        <v xml:space="preserve">uc0039.source_factVCSSLast90_[:date_yyyymmdd]_v </v>
      </c>
      <c r="D127" s="197" t="str">
        <f>IF(Options!F7=33,"Template 33 adds [:date_yyyymmdd] to the source view name","")</f>
        <v>Template 33 adds [:date_yyyymmdd] to the source view name</v>
      </c>
    </row>
    <row r="128" spans="1:4">
      <c r="A128" s="220" t="s">
        <v>540</v>
      </c>
      <c r="B128" s="239" t="str">
        <f>IF(Options!B7=33,HELPER!B127, Options!B4 &amp; "." &amp; Options!B5)</f>
        <v xml:space="preserve">uc0039.source_factVCSSLast90_[:date_yyyymmdd]_v </v>
      </c>
      <c r="D128" s="197"/>
    </row>
    <row r="129" spans="1:4">
      <c r="A129" s="15" t="s">
        <v>541</v>
      </c>
      <c r="B129" s="108" t="str">
        <f>IF(Options!B7=33,HELPER!B127, Options!B4 &amp; "." &amp; Options!B5)</f>
        <v xml:space="preserve">uc0039.source_factVCSSLast90_[:date_yyyymmdd]_v </v>
      </c>
      <c r="C129" t="str">
        <f>SUBSTITUTE(B129,"[:date_yyyymmdd]","20231101")</f>
        <v xml:space="preserve">uc0039.source_factVCSSLast90_20231101_v </v>
      </c>
      <c r="D129" s="197" t="str">
        <f>IF(Options!F7=33,"Template 33 does not use stage_view. So in this case the stage_view is the same as the source view","")</f>
        <v>Template 33 does not use stage_view. So in this case the stage_view is the same as the source view</v>
      </c>
    </row>
    <row r="130" spans="1:4" ht="77.25" customHeight="1">
      <c r="A130" s="15" t="s">
        <v>542</v>
      </c>
      <c r="B130" s="250" t="str">
        <f>"(select * from "&amp;B129&amp;"" &amp; " WHERE CAST(" &amp; Options!B44&amp; " as date) = CAST('[:date_yyyy_mm_dd]' as date))"</f>
        <v>(select * from uc0039.source_factVCSSLast90_[:date_yyyymmdd]_v  WHERE CAST(load_date as date) = CAST('[:date_yyyy_mm_dd]' as date))</v>
      </c>
    </row>
    <row r="131" spans="1:4" ht="77.25" customHeight="1">
      <c r="A131" s="15"/>
      <c r="B131" s="251" t="str">
        <f ca="1">"(" &amp;  'STAGE VIEW 1'!B24 &amp; ")"</f>
        <v>(SELECT wkVehicle, 1 AS has_communicated_last_90_days, lake_arrival_date FROM staged.conrepo_activationdtp_p WHERE lake_arrival_date='[:date_yyyy_mm_dd]')</v>
      </c>
      <c r="C131" t="s">
        <v>543</v>
      </c>
    </row>
    <row r="132" spans="1:4">
      <c r="A132" s="220" t="s">
        <v>544</v>
      </c>
      <c r="B132" s="9" t="str">
        <f>B133 &amp; "_temp"</f>
        <v>uc0039.factVCSSLast90_temp</v>
      </c>
    </row>
    <row r="133" spans="1:4">
      <c r="A133" s="220" t="s">
        <v>545</v>
      </c>
      <c r="B133" s="9" t="str">
        <f>Options!B23 &amp;"." &amp; Options!B25</f>
        <v>uc0039.factVCSSLast90</v>
      </c>
    </row>
    <row r="134" spans="1:4">
      <c r="A134" s="220" t="s">
        <v>546</v>
      </c>
      <c r="B134" s="9" t="str">
        <f>Options!B28 &amp;"/" &amp; Options!B29 &amp; "/" &amp; Options!B25</f>
        <v>uc0039-vgcs-odl-prod/db/factVCSSLast90</v>
      </c>
      <c r="C134" t="str">
        <f>"s3://" &amp; B134</f>
        <v>s3://uc0039-vgcs-odl-prod/db/factVCSSLast90</v>
      </c>
    </row>
    <row r="135" spans="1:4">
      <c r="A135" s="220" t="s">
        <v>547</v>
      </c>
      <c r="B135" s="9" t="str">
        <f ca="1">B134 &amp; "/" &amp;SUBSTITUTE( B137,"'","")</f>
        <v>uc0039-vgcs-odl-prod/db/factVCSSLast90/lake_arrival_date=[:date_yyyy_mm_dd]</v>
      </c>
      <c r="C135" t="str">
        <f ca="1">"s3://" &amp; B135</f>
        <v>s3://uc0039-vgcs-odl-prod/db/factVCSSLast90/lake_arrival_date=[:date_yyyy_mm_dd]</v>
      </c>
    </row>
    <row r="136" spans="1:4">
      <c r="A136" s="220" t="s">
        <v>548</v>
      </c>
      <c r="B136" s="9" t="str">
        <f ca="1">Options!B29 &amp; "/" &amp; Options!B25 &amp; "/" &amp; SUBSTITUTE( B137,"'","")</f>
        <v>db/factVCSSLast90/lake_arrival_date=[:date_yyyy_mm_dd]</v>
      </c>
    </row>
    <row r="137" spans="1:4">
      <c r="A137" s="220" t="s">
        <v>549</v>
      </c>
      <c r="B137" s="220" t="str">
        <f ca="1">SUBSTITUTE(SUBSTITUTE( SUBSTITUTE(_xlfn.TEXTJOIN(" AND ",TRUE,COLHELPER!BR2:BR50),"$eq"," = "),"$gt"," &gt; "),"$lt"," &lt;  ")</f>
        <v>lake_arrival_date='[:date_yyyy_mm_dd]'</v>
      </c>
    </row>
    <row r="138" spans="1:4">
      <c r="A138" s="220" t="s">
        <v>550</v>
      </c>
      <c r="B138" s="220" t="str">
        <f ca="1">IF(B137="",""," WHERE " &amp; B137)</f>
        <v xml:space="preserve"> WHERE lake_arrival_date='[:date_yyyy_mm_dd]'</v>
      </c>
    </row>
    <row r="139" spans="1:4" ht="409.5" customHeight="1">
      <c r="A139" s="220" t="s">
        <v>551</v>
      </c>
      <c r="B139" s="10" t="str">
        <f>IF(Options!B19=1, "Create Or Replace View " &amp; B127 &amp; " AS " &amp; 'Custom Source View'!A2,"")</f>
        <v/>
      </c>
    </row>
    <row r="140" spans="1:4" ht="15.75" customHeight="1" thickBot="1">
      <c r="B140" s="220" t="str">
        <f>"CREATE OR REPLACE VIEW " &amp; HELPER_FULL_TABLE_NAME &amp; " AS " &amp; 'Custom Source View'!A2</f>
        <v xml:space="preserve">CREATE OR REPLACE VIEW uc0039.factVCSSLast90 AS </v>
      </c>
      <c r="C140" t="str">
        <f>CLEAN(SUBSTITUTE(HELPER!B140,CHAR(10), " " ))</f>
        <v xml:space="preserve">CREATE OR REPLACE VIEW uc0039.factVCSSLast90 AS </v>
      </c>
    </row>
    <row r="141" spans="1:4">
      <c r="A141" s="79" t="s">
        <v>552</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0" t="s">
        <v>553</v>
      </c>
    </row>
    <row r="155" spans="1:2">
      <c r="A155" s="220" t="s">
        <v>554</v>
      </c>
      <c r="B155" s="220" t="str">
        <f ca="1">_xlfn.TEXTJOIN(" AND  ",TRUE,COLHELPER!BL2:BL50)</f>
        <v/>
      </c>
    </row>
    <row r="159" spans="1:2">
      <c r="A159" s="220" t="s">
        <v>555</v>
      </c>
      <c r="B159" s="220">
        <f ca="1">ErrorCodes!E183</f>
        <v>0</v>
      </c>
    </row>
    <row r="161" spans="1:2">
      <c r="A161" s="220" t="s">
        <v>556</v>
      </c>
      <c r="B161" s="220">
        <f ca="1">COLHELPER!BQ51</f>
        <v>0</v>
      </c>
    </row>
    <row r="163" spans="1:2">
      <c r="A163" s="220" t="s">
        <v>557</v>
      </c>
      <c r="B163" s="220">
        <f ca="1">SUM(COLHELPER!BV2:BV50)</f>
        <v>4</v>
      </c>
    </row>
    <row r="167" spans="1:2">
      <c r="A167" s="220" t="s">
        <v>558</v>
      </c>
    </row>
    <row r="168" spans="1:2">
      <c r="A168" s="220" t="s">
        <v>86</v>
      </c>
      <c r="B168" s="220" t="str">
        <f>"CAST(" &amp; Options!B44 &amp; " AS timestamp) AS " &amp; Options!B44</f>
        <v>CAST(load_date AS timestamp) AS load_date</v>
      </c>
    </row>
    <row r="169" spans="1:2">
      <c r="A169" s="220" t="s">
        <v>89</v>
      </c>
      <c r="B169" s="220" t="str">
        <f>"CAST(" &amp;Options!B45 &amp; " AS timestamp) AS " &amp; Options!B45</f>
        <v>CAST(last_modified_timestamp AS timestamp) AS last_modified_timestamp</v>
      </c>
    </row>
    <row r="170" spans="1:2" ht="46.5" customHeight="1">
      <c r="A170" s="220" t="s">
        <v>559</v>
      </c>
      <c r="B170" s="285" t="str">
        <f ca="1">_xlfn.TEXTJOIN(", ",TRUE,COLHELPER!A2:A82)&amp;","&amp;B168 &amp;   IF(Options!B31=1, ", "&amp;B169,"") &amp;", "&amp;Options!B43&amp;IF(Options!B31=1,",  IsCurrent","")</f>
        <v>wkVehicle, has_communicated_last_90_days, lake_arrival_date,CAST(load_date AS timestamp) AS load_date, hashkey</v>
      </c>
    </row>
    <row r="171" spans="1:2" ht="137.25" customHeight="1">
      <c r="A171" s="220" t="s">
        <v>560</v>
      </c>
      <c r="B171" s="285" t="str">
        <f ca="1">"UNLOAD (select " &amp; B170 &amp; " FROM " &amp;B133 &amp; ") TO '" &amp;B34 &amp; "_parquet' WITH (format='parquet')"</f>
        <v>UNLOAD (select wkVehicle, has_communicated_last_90_days, lake_arrival_date,CAST(load_date AS timestamp) AS load_date, hashkey FROM uc0039.factVCSSLast90) TO 's3://uc0039-vgcs-odl-prod/db/factVCSSLast90_parquet' WITH (format='parquet')</v>
      </c>
    </row>
    <row r="172" spans="1:2" ht="149.25" customHeight="1">
      <c r="A172" s="220" t="s">
        <v>561</v>
      </c>
      <c r="B172" s="285" t="str">
        <f ca="1">_xlfn.TEXTJOIN(", ",TRUE,COLHELPER!BF2:BF150)</f>
        <v>wkVehicle AS wkVehicle, 1 AS has_communicated_last_90_days AS has_communicated_last_90_days, lake_arrival_date AS lake_arrival_date</v>
      </c>
    </row>
    <row r="181" spans="1:2">
      <c r="A181" s="220" t="s">
        <v>562</v>
      </c>
      <c r="B181" s="220" t="str">
        <f>B4 &amp;"_cdc"</f>
        <v>uc0039.factVCSSLast90_cdc</v>
      </c>
    </row>
    <row r="182" spans="1:2" ht="102.75" customHeight="1">
      <c r="A182" s="220" t="s">
        <v>563</v>
      </c>
      <c r="B182" s="220" t="str">
        <f>"SELECT * FROM tbl2 WHERE (last_update_date &gt; (SELECT COALESCE(max(lake_arrival_date), '1900-01-01') FROM " &amp; B181&amp; "))"</f>
        <v>SELECT * FROM tbl2 WHERE (last_update_date &gt; (SELECT COALESCE(max(lake_arrival_date), '1900-01-01') FROM uc0039.factVCSSLast90_cdc))</v>
      </c>
    </row>
    <row r="183" spans="1:2" ht="102.75" customHeight="1">
      <c r="A183" s="220" t="s">
        <v>564</v>
      </c>
      <c r="B183" s="285"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uc0039.factVCSSLast90)</v>
      </c>
    </row>
    <row r="184" spans="1:2" ht="102.75" customHeight="1">
      <c r="A184" s="220" t="s">
        <v>565</v>
      </c>
      <c r="B184" s="285"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0" t="s">
        <v>566</v>
      </c>
      <c r="B185" s="285" t="str">
        <f>B183 &amp;", " &amp; B184 &amp; " " &amp; B182</f>
        <v>WITH tbl1 AS (SELECT * , (CASE WHEN (load_date &gt; last_modified_timestamp) THEN load_date ELSE last_modified_timestamp END last_update_timestamp FROM uc0039.factVCSSLast90), tbl2 AS ( SELECT * , CAST(current_date AS varchar) lake_arrival_date, CAST(CAST(last_update_timestamp AS date) AS varchar) last_update_date FROM tbl1) SELECT * FROM tbl2 WHERE (last_update_date &gt; (SELECT COALESCE(max(lake_arrival_date), '1900-01-01') FROM uc0039.factVCSSLast90_cdc))</v>
      </c>
    </row>
    <row r="186" spans="1:2">
      <c r="A186" s="220" t="s">
        <v>567</v>
      </c>
      <c r="B186" s="220" t="s">
        <v>157</v>
      </c>
    </row>
    <row r="191" spans="1:2">
      <c r="A191" s="220" t="s">
        <v>568</v>
      </c>
    </row>
    <row r="192" spans="1:2">
      <c r="A192" s="220" t="s">
        <v>569</v>
      </c>
      <c r="B192" s="220" t="str">
        <f>'RAW-TO-STAGED'!B2 &amp; "." &amp; 'RAW-TO-STAGED'!B3</f>
        <v>raw_tracking.raw_tracking</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D2"/>
  <sheetViews>
    <sheetView topLeftCell="B1" workbookViewId="0">
      <selection activeCell="C2" sqref="C2"/>
    </sheetView>
  </sheetViews>
  <sheetFormatPr defaultRowHeight="15"/>
  <cols>
    <col min="1" max="1" width="104" style="283" customWidth="1"/>
    <col min="2" max="2" width="66" style="283" customWidth="1"/>
    <col min="3" max="3" width="81.7109375" style="283" customWidth="1"/>
    <col min="4" max="4" width="110.42578125" style="283" customWidth="1"/>
  </cols>
  <sheetData>
    <row r="1" spans="1:4">
      <c r="A1" s="30" t="s">
        <v>570</v>
      </c>
      <c r="B1" s="30" t="s">
        <v>571</v>
      </c>
      <c r="C1" s="30" t="s">
        <v>572</v>
      </c>
      <c r="D1" s="30" t="s">
        <v>573</v>
      </c>
    </row>
    <row r="2" spans="1:4" ht="409.5" customHeight="1">
      <c r="A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B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C2" s="10"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D2" s="285"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3" sqref="A3"/>
    </sheetView>
  </sheetViews>
  <sheetFormatPr defaultRowHeight="15"/>
  <cols>
    <col min="1" max="1" width="159.85546875" style="283" customWidth="1"/>
  </cols>
  <sheetData>
    <row r="1" spans="1:1">
      <c r="A1" s="30" t="s">
        <v>574</v>
      </c>
    </row>
    <row r="2" spans="1:1" ht="300.75" customHeight="1">
      <c r="A2" s="195" t="str">
        <f ca="1">"CREATE OR REPLACE VIEW " &amp; HELPER!B127 &amp;" AS (SELECT "&amp;HELPER!B11&amp;" FROM "&amp;Options!B4&amp;"."&amp;Options!B5&amp;")"</f>
        <v>CREATE OR REPLACE VIEW uc0039.source_factVCSSLast90_[:date_yyyymmdd]_v  AS (SELECT wkVehicle, has_communicated_last_90_days, lake_arrival_date,CAST( '' as varchar(1)) as hashkey, load_date, last_modified_timestamp FROM uc0039.stage_factVCSSLast90_v)</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L92"/>
  <sheetViews>
    <sheetView topLeftCell="E1" workbookViewId="0">
      <selection activeCell="F2" sqref="F2"/>
    </sheetView>
  </sheetViews>
  <sheetFormatPr defaultRowHeight="15"/>
  <cols>
    <col min="1" max="1" width="33.28515625" style="283" customWidth="1"/>
    <col min="2" max="2" width="80.140625" style="220" customWidth="1"/>
    <col min="3" max="3" width="101.28515625" style="285" customWidth="1"/>
    <col min="4" max="4" width="84.28515625" style="285" customWidth="1"/>
    <col min="5" max="5" width="142.28515625" style="285" customWidth="1"/>
    <col min="6" max="6" width="107.28515625" style="285" customWidth="1"/>
    <col min="7" max="7" width="78.85546875" style="283" customWidth="1"/>
    <col min="8" max="8" width="64.42578125" style="283" customWidth="1"/>
    <col min="9" max="9" width="36.7109375" style="283" bestFit="1" customWidth="1"/>
    <col min="10" max="10" width="26.5703125" style="283" bestFit="1" customWidth="1"/>
    <col min="11" max="11" width="10.7109375" style="283" customWidth="1"/>
    <col min="12" max="12" width="49.42578125" style="283" customWidth="1"/>
  </cols>
  <sheetData>
    <row r="1" spans="1:12" ht="15.75" customHeight="1" thickBot="1">
      <c r="A1" s="30" t="s">
        <v>575</v>
      </c>
      <c r="B1" s="72" t="s">
        <v>576</v>
      </c>
      <c r="C1" s="24" t="s">
        <v>577</v>
      </c>
      <c r="D1" s="106"/>
      <c r="E1" s="24" t="s">
        <v>578</v>
      </c>
      <c r="F1" s="106"/>
      <c r="G1" s="192"/>
      <c r="H1" s="192"/>
      <c r="I1" s="192"/>
      <c r="J1" s="192"/>
      <c r="K1" s="30" t="s">
        <v>579</v>
      </c>
      <c r="L1" s="30" t="s">
        <v>580</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f.wkVehicle AS wkVehicle, 1 AS has_communicated_last_90_days, f.lake_arrival_date AS lake_arrival_date, CAST(f.timestamp as timestamp)  AS last_modified_timestamp</v>
      </c>
      <c r="F2" s="101" t="str">
        <f ca="1">_xlfn.TEXTJOIN(", ",TRUE,HELPER!B100)</f>
        <v>f.wkVehicle AS wkVehicle, 1 AS has_communicated_last_90_days, f.lake_arrival_date AS lake_arrival_date</v>
      </c>
      <c r="G2" s="62"/>
      <c r="H2" s="62"/>
      <c r="I2" s="62"/>
      <c r="J2" s="62"/>
      <c r="K2" s="62" t="str">
        <f t="array" aca="1" ref="K2" ca="1">IF(INDIRECT("COLUMNS!J2")="","",UPPER(INDIRECT("COLUMNS!J2")))</f>
        <v/>
      </c>
      <c r="L2" s="58" t="str">
        <f ca="1">IF(A2="","",IF(K2="","LEFT",K2))</f>
        <v/>
      </c>
    </row>
    <row r="3" spans="1:12" ht="66.75" customHeight="1">
      <c r="A3" s="102" t="str">
        <f ca="1">IF(DIMENSIONS!$C$2="","","dim2")</f>
        <v/>
      </c>
      <c r="B3" s="285" t="str">
        <f ca="1">IF(TRIM(DIMENSIONS!$C$2)="","", IF(L3="LEFT"," LEFT "," INNER ") &amp; " JOIN "  &amp; Options!B23 &amp; "." &amp;DIMENSIONS!$C$2&amp; " " &amp;A3 &amp;" ON " &amp; $E$26  &amp; " AND " &amp;A3 &amp; ".IsCurrent=1")</f>
        <v/>
      </c>
      <c r="C3" s="285"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5" t="str">
        <f ca="1">IF(DIMENSIONS!$E$2="","", IF(L4="LEFT"," LEFT "," INNER ") &amp; " JOIN "  &amp;Options!B23 &amp; "."   &amp;DIMENSIONS!$E$2&amp; " "&amp; A4  &amp;" ON " &amp; $E$41  &amp; " AND " &amp;A4 &amp; ".IsCurrent=1")</f>
        <v/>
      </c>
      <c r="C4" s="285"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5" t="str">
        <f ca="1">IF(DIMENSIONS!$G$2="","",IF(L5="LEFT"," LEFT "," INNER ") &amp; " JOIN " &amp;Options!B23 &amp; "." &amp; DIMENSIONS!$G$2 &amp; "  "&amp; A5 &amp; " ON " &amp; $E$56  &amp; " AND " &amp;A5 &amp; ".IsCurrent=1")</f>
        <v/>
      </c>
      <c r="C5" s="285"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5"/>
      <c r="F7" s="24" t="s">
        <v>581</v>
      </c>
      <c r="G7" s="30" t="s">
        <v>582</v>
      </c>
      <c r="H7" t="s">
        <v>583</v>
      </c>
    </row>
    <row r="8" spans="1:12" ht="250.5" customHeight="1">
      <c r="A8" s="285"/>
      <c r="F8" s="285" t="str">
        <f>F11 &amp; IF(F26="", "","," &amp;F26) &amp; IF(F41="","",  "," &amp; F41) &amp;IF(F56="","", "," &amp; F56)</f>
        <v/>
      </c>
      <c r="G8" s="10" t="str">
        <f ca="1">E2</f>
        <v>f.wkVehicle AS wkVehicle, 1 AS has_communicated_last_90_days, f.lake_arrival_date AS lake_arrival_date, CAST(f.timestamp as timestamp)  AS last_modified_timestamp</v>
      </c>
      <c r="H8" s="285" t="str">
        <f ca="1">_xlfn.TEXTJOIN(" ",TRUE,B2:B6)</f>
        <v/>
      </c>
    </row>
    <row r="10" spans="1:12" ht="15.75" customHeight="1">
      <c r="A10" s="20" t="str">
        <f ca="1">A2</f>
        <v/>
      </c>
      <c r="B10" s="22" t="s">
        <v>584</v>
      </c>
      <c r="C10" s="29" t="s">
        <v>585</v>
      </c>
      <c r="D10" s="26"/>
      <c r="E10" s="24" t="s">
        <v>586</v>
      </c>
      <c r="F10" s="24" t="s">
        <v>587</v>
      </c>
      <c r="J10" s="30"/>
    </row>
    <row r="11" spans="1:12" ht="15.75" customHeight="1">
      <c r="A11" s="21" t="str">
        <f>IF(TRIM(DIMENSIONS!A4)="","", DIMENSIONS!A4)</f>
        <v/>
      </c>
      <c r="B11" s="220" t="str">
        <f>IF(A11="","", $A$10 &amp; "." &amp; DIMENSIONS!B4)</f>
        <v/>
      </c>
      <c r="C11" s="285" t="str">
        <f>IF(A11="","","COALESCE(CAST(f."&amp;DIMHELPER!A11&amp;" as varchar(" &amp;Options!$B$49 &amp; ")),'')")</f>
        <v/>
      </c>
      <c r="D11" s="27" t="str">
        <f>IF(Options!$B$47=0,  IF(A11="","","lower(" &amp; B11 &amp; ")=lower(" &amp; C11 &amp; ")"),IF(A11="","","CAST(" &amp; B11 &amp; " as varchar("&amp;Options!$B$49&amp;")) = " &amp; C11 &amp; " "))</f>
        <v/>
      </c>
      <c r="E11" s="285" t="str">
        <f>_xlfn.TEXTJOIN(" AND ",TRUE,D11:D24)</f>
        <v/>
      </c>
      <c r="F11" s="285" t="str">
        <f>_xlfn.TEXTJOIN(", ",TRUE,C11:C24)</f>
        <v/>
      </c>
    </row>
    <row r="12" spans="1:12" ht="15.75" customHeight="1">
      <c r="A12" s="21" t="str">
        <f>IF(TRIM(DIMENSIONS!A5)="","", DIMENSIONS!A5)</f>
        <v/>
      </c>
      <c r="B12" s="220" t="str">
        <f>IF(A12="","", $A$10 &amp; "." &amp; DIMENSIONS!B5)</f>
        <v/>
      </c>
      <c r="C12" s="285"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0" t="str">
        <f>IF(A13="","", $A$10 &amp; "." &amp; DIMENSIONS!B6)</f>
        <v/>
      </c>
      <c r="C13" s="285"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0" t="str">
        <f>IF(A14="","", $A$10 &amp; "." &amp; DIMENSIONS!B7)</f>
        <v/>
      </c>
      <c r="C14" s="285"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0" t="str">
        <f>IF(A15="","", $A$10 &amp; "." &amp; DIMENSIONS!B8)</f>
        <v/>
      </c>
      <c r="C15" s="285"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0" t="str">
        <f>IF(A16="","", $A$10 &amp; "." &amp; DIMENSIONS!B9)</f>
        <v/>
      </c>
      <c r="C16" s="285"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0" t="str">
        <f>IF(A17="","", $A$10 &amp; "." &amp; DIMENSIONS!B10)</f>
        <v/>
      </c>
      <c r="C17" s="285"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0" t="str">
        <f>IF(A18="","", $A$10 &amp; "." &amp; DIMENSIONS!B11)</f>
        <v/>
      </c>
      <c r="C18" s="285"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0" t="str">
        <f>IF(A19="","", $A$10 &amp; "." &amp; DIMENSIONS!B12)</f>
        <v/>
      </c>
      <c r="C19" s="285"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0" t="str">
        <f>IF(A20="","", $A$10 &amp; "." &amp; DIMENSIONS!B13)</f>
        <v/>
      </c>
      <c r="C20" s="285"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0" t="str">
        <f>IF(A21="","", $A$10 &amp; "." &amp; DIMENSIONS!B14)</f>
        <v/>
      </c>
      <c r="C21" s="285"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0" t="str">
        <f>IF(A22="","", $A$10 &amp; "." &amp; DIMENSIONS!B15)</f>
        <v/>
      </c>
      <c r="C22" s="285"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0" t="str">
        <f>IF(A23="","", $A$10 &amp; "." &amp; DIMENSIONS!B16)</f>
        <v/>
      </c>
      <c r="C23" s="285"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0" t="str">
        <f>IF(A24="","", $A$10 &amp; "." &amp; DIMENSIONS!B17)</f>
        <v/>
      </c>
      <c r="C24" s="285"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584</v>
      </c>
      <c r="C25" s="29" t="s">
        <v>585</v>
      </c>
      <c r="D25" s="26"/>
      <c r="E25" s="24" t="s">
        <v>586</v>
      </c>
      <c r="F25" s="24" t="s">
        <v>587</v>
      </c>
      <c r="G25" t="str">
        <f>_xlfn.TEXTJOIN(",",TRUE,DIMENSIONS!D18:D166)</f>
        <v/>
      </c>
    </row>
    <row r="26" spans="1:7" ht="45" customHeight="1">
      <c r="A26" s="220" t="str">
        <f>IF(TRIM(DIMENSIONS!C4)="","", DIMENSIONS!C4)</f>
        <v/>
      </c>
      <c r="B26" s="220" t="str">
        <f>IF(A26="","", $A$25 &amp; "." &amp; DIMENSIONS!D4)</f>
        <v/>
      </c>
      <c r="C26" s="285" t="str">
        <f>IF(A26="","", "COALESCE(CAST(f." &amp; DIMHELPER!A26 &amp; " as varchar(" &amp;Options!$B$49 &amp; ")),'')" )</f>
        <v/>
      </c>
      <c r="D26" s="285" t="str">
        <f>IF(Options!$B$47=0,  IF(A26="","","lower(" &amp; B26 &amp; ")=lower(" &amp; C26 &amp; ")"),IF(A26="","","CAST(" &amp; B26 &amp; " as varchar("&amp;Options!$B$49&amp;")) = " &amp; C26 &amp; " "))</f>
        <v/>
      </c>
      <c r="E26" s="285" t="str">
        <f>_xlfn.TEXTJOIN(" AND ",TRUE,D26:D39)</f>
        <v/>
      </c>
      <c r="F26" s="285" t="str">
        <f>_xlfn.TEXTJOIN(",",TRUE,C26:C39)</f>
        <v/>
      </c>
      <c r="G26" t="str">
        <f>_xlfn.TEXTJOIN(",",TRUE,DIMENSIONS!D19:D167)</f>
        <v/>
      </c>
    </row>
    <row r="27" spans="1:7" ht="30" customHeight="1">
      <c r="A27" s="220" t="str">
        <f>IF(TRIM(DIMENSIONS!C5)="","", DIMENSIONS!C5)</f>
        <v/>
      </c>
      <c r="B27" s="220" t="str">
        <f>IF(A27="","", $A$25 &amp; "." &amp; DIMENSIONS!D5)</f>
        <v/>
      </c>
      <c r="C27" s="285" t="str">
        <f>IF(A27="","", "COALESCE(CAST(f." &amp; DIMHELPER!A27 &amp; " as varchar(" &amp;Options!$B$49 &amp; ")),'')" )</f>
        <v/>
      </c>
      <c r="D27" s="285" t="str">
        <f>IF(Options!$B$47=0,  IF(A27="","","lower(" &amp; B27 &amp; ")=lower(" &amp; C27 &amp; ")"),IF(A27="","","CAST(" &amp; B27 &amp; " as varchar("&amp;Options!$B$49&amp;")) = " &amp; C27 &amp; " "))</f>
        <v/>
      </c>
      <c r="F27" s="285" t="str">
        <f>IF(E27="","", DIMENSIONS!C19 &amp; "." &amp; DIMHELPER!E27)</f>
        <v/>
      </c>
      <c r="G27" t="str">
        <f>_xlfn.TEXTJOIN(",",TRUE,DIMENSIONS!D20:D168)</f>
        <v/>
      </c>
    </row>
    <row r="28" spans="1:7" ht="30" customHeight="1">
      <c r="A28" s="220" t="str">
        <f>IF(TRIM(DIMENSIONS!C6)="","", DIMENSIONS!C6)</f>
        <v/>
      </c>
      <c r="B28" s="220" t="str">
        <f>IF(A28="","", $A$25 &amp; "." &amp; DIMENSIONS!D6)</f>
        <v/>
      </c>
      <c r="C28" s="285" t="str">
        <f>IF(A28="","", "COALESCE(CAST(f." &amp; DIMHELPER!A28 &amp; " as varchar(" &amp;Options!$B$49 &amp; ")),'')" )</f>
        <v/>
      </c>
      <c r="D28" s="285" t="str">
        <f>IF(Options!$B$47=0,  IF(A28="","","lower(" &amp; B28 &amp; ")=lower(" &amp; C28 &amp; ")"),IF(A28="","","CAST(" &amp; B28 &amp; " as varchar("&amp;Options!$B$49&amp;")) = " &amp; C28 &amp; " "))</f>
        <v/>
      </c>
      <c r="F28" s="285" t="str">
        <f>IF(E28="","", DIMENSIONS!C20 &amp; "." &amp; DIMHELPER!E28)</f>
        <v/>
      </c>
      <c r="G28" t="str">
        <f>_xlfn.TEXTJOIN(",",TRUE,DIMENSIONS!D21:D169)</f>
        <v/>
      </c>
    </row>
    <row r="29" spans="1:7" ht="30" customHeight="1">
      <c r="A29" s="220" t="str">
        <f>IF(TRIM(DIMENSIONS!C7)="","", DIMENSIONS!C7)</f>
        <v/>
      </c>
      <c r="B29" s="220" t="str">
        <f>IF(A29="","", $A$25 &amp; "." &amp; DIMENSIONS!D7)</f>
        <v/>
      </c>
      <c r="C29" s="285" t="str">
        <f>IF(A29="","", "COALESCE(CAST(f." &amp; DIMHELPER!A29 &amp; " as varchar(" &amp;Options!$B$49 &amp; ")),'')" )</f>
        <v/>
      </c>
      <c r="D29" s="285" t="str">
        <f>IF(Options!$B$47=0,  IF(A29="","","lower(" &amp; B29 &amp; ")=lower(" &amp; C29 &amp; ")"),IF(A29="","","CAST(" &amp; B29 &amp; " as varchar("&amp;Options!$B$49&amp;")) = " &amp; C29 &amp; " "))</f>
        <v/>
      </c>
      <c r="F29" s="285" t="str">
        <f>IF(E29="","", DIMENSIONS!C21 &amp; "." &amp; DIMHELPER!E29)</f>
        <v/>
      </c>
      <c r="G29" t="str">
        <f>_xlfn.TEXTJOIN(",",TRUE,DIMENSIONS!D22:D170)</f>
        <v/>
      </c>
    </row>
    <row r="30" spans="1:7">
      <c r="A30" s="220" t="str">
        <f>IF(TRIM(DIMENSIONS!C8)="","", DIMENSIONS!C8)</f>
        <v/>
      </c>
      <c r="B30" s="220" t="str">
        <f>IF(A30="","", $A$25 &amp; "." &amp; DIMENSIONS!D8)</f>
        <v/>
      </c>
      <c r="C30" s="285" t="str">
        <f>IF(A30="","", "COALESCE(CAST(f." &amp; DIMHELPER!A30 &amp; " as varchar(" &amp;Options!$B$49 &amp; ")),'')" )</f>
        <v/>
      </c>
      <c r="D30" s="285" t="str">
        <f>IF(Options!$B$47=0,  IF(A30="","","lower(" &amp; B30 &amp; ")=lower(" &amp; C30 &amp; ")"),IF(A30="","","CAST(" &amp; B30 &amp; " as varchar("&amp;Options!$B$49&amp;")) = " &amp; C30 &amp; " "))</f>
        <v/>
      </c>
      <c r="F30" s="285" t="str">
        <f>IF(E30="","", DIMENSIONS!C22 &amp; "." &amp; DIMHELPER!E30)</f>
        <v/>
      </c>
      <c r="G30" t="str">
        <f>_xlfn.TEXTJOIN(",",TRUE,DIMENSIONS!D23:D171)</f>
        <v/>
      </c>
    </row>
    <row r="31" spans="1:7">
      <c r="A31" s="220" t="str">
        <f>IF(TRIM(DIMENSIONS!C9)="","", DIMENSIONS!C9)</f>
        <v/>
      </c>
      <c r="B31" s="220" t="str">
        <f>IF(A31="","", $A$25 &amp; "." &amp; DIMENSIONS!D9)</f>
        <v/>
      </c>
      <c r="C31" s="285" t="str">
        <f>IF(A31="","", "COALESCE(CAST(f." &amp; DIMHELPER!A31 &amp; " as varchar(" &amp;Options!$B$49 &amp; ")),'')" )</f>
        <v/>
      </c>
      <c r="D31" s="285" t="str">
        <f>IF(Options!$B$47=0,  IF(A31="","","lower(" &amp; B31 &amp; ")=lower(" &amp; C31 &amp; ")"),IF(A31="","","CAST(" &amp; B31 &amp; " as varchar("&amp;Options!$B$49&amp;")) = " &amp; C31 &amp; " "))</f>
        <v/>
      </c>
      <c r="F31" s="285" t="str">
        <f>IF(E31="","", DIMENSIONS!C23 &amp; "." &amp; DIMHELPER!E31)</f>
        <v/>
      </c>
      <c r="G31" t="str">
        <f>_xlfn.TEXTJOIN(",",TRUE,DIMENSIONS!D24:D172)</f>
        <v/>
      </c>
    </row>
    <row r="32" spans="1:7">
      <c r="A32" s="220" t="str">
        <f>IF(TRIM(DIMENSIONS!C10)="","", DIMENSIONS!C10)</f>
        <v/>
      </c>
      <c r="B32" s="220" t="str">
        <f>IF(A32="","", $A$25 &amp; "." &amp; DIMENSIONS!D10)</f>
        <v/>
      </c>
      <c r="C32" s="285" t="str">
        <f>IF(A32="","", "COALESCE(CAST(f." &amp; DIMHELPER!A32 &amp; " as varchar(" &amp;Options!$B$49 &amp; ")),'')" )</f>
        <v/>
      </c>
      <c r="D32" s="285" t="str">
        <f>IF(Options!$B$47=0,  IF(A32="","","lower(" &amp; B32 &amp; ")=lower(" &amp; C32 &amp; ")"),IF(A32="","","CAST(" &amp; B32 &amp; " as varchar("&amp;Options!$B$49&amp;")) = " &amp; C32 &amp; " "))</f>
        <v/>
      </c>
      <c r="F32" s="285" t="str">
        <f>IF(E32="","", DIMENSIONS!C24 &amp; "." &amp; DIMHELPER!E32)</f>
        <v/>
      </c>
      <c r="G32" t="str">
        <f>_xlfn.TEXTJOIN(",",TRUE,DIMENSIONS!D25:D173)</f>
        <v/>
      </c>
    </row>
    <row r="33" spans="1:7">
      <c r="A33" s="220" t="str">
        <f>IF(TRIM(DIMENSIONS!C11)="","", DIMENSIONS!C11)</f>
        <v/>
      </c>
      <c r="B33" s="220" t="str">
        <f>IF(A33="","", $A$25 &amp; "." &amp; DIMENSIONS!D11)</f>
        <v/>
      </c>
      <c r="C33" s="285" t="str">
        <f>IF(A33="","", "COALESCE(CAST(f." &amp; DIMHELPER!A33 &amp; " as varchar(" &amp;Options!$B$49 &amp; ")),'')" )</f>
        <v/>
      </c>
      <c r="D33" s="285" t="str">
        <f>IF(Options!$B$47=0,  IF(A33="","","lower(" &amp; B33 &amp; ")=lower(" &amp; C33 &amp; ")"),IF(A33="","","CAST(" &amp; B33 &amp; " as varchar("&amp;Options!$B$49&amp;")) = " &amp; C33 &amp; " "))</f>
        <v/>
      </c>
      <c r="F33" s="285" t="str">
        <f>IF(E33="","", DIMENSIONS!C25 &amp; "." &amp; DIMHELPER!E33)</f>
        <v/>
      </c>
      <c r="G33" t="str">
        <f>_xlfn.TEXTJOIN(",",TRUE,DIMENSIONS!D26:D174)</f>
        <v/>
      </c>
    </row>
    <row r="34" spans="1:7">
      <c r="A34" s="220" t="str">
        <f>IF(TRIM(DIMENSIONS!C12)="","", DIMENSIONS!C12)</f>
        <v/>
      </c>
      <c r="B34" s="220" t="str">
        <f>IF(A34="","", $A$25 &amp; "." &amp; DIMENSIONS!D12)</f>
        <v/>
      </c>
      <c r="C34" s="285" t="str">
        <f>IF(A34="","", "COALESCE(CAST(f." &amp; DIMHELPER!A34 &amp; " as varchar(" &amp;Options!$B$49 &amp; ")),'')" )</f>
        <v/>
      </c>
      <c r="D34" s="285" t="str">
        <f>IF(Options!$B$47=0,  IF(A34="","","lower(" &amp; B34 &amp; ")=lower(" &amp; C34 &amp; ")"),IF(A34="","","CAST(" &amp; B34 &amp; " as varchar("&amp;Options!$B$49&amp;")) = " &amp; C34 &amp; " "))</f>
        <v/>
      </c>
      <c r="F34" s="285" t="str">
        <f>IF(E34="","", DIMENSIONS!C26 &amp; "." &amp; DIMHELPER!E34)</f>
        <v/>
      </c>
      <c r="G34" t="str">
        <f>_xlfn.TEXTJOIN(",",TRUE,DIMENSIONS!D27:D175)</f>
        <v/>
      </c>
    </row>
    <row r="35" spans="1:7">
      <c r="A35" s="220" t="str">
        <f>IF(TRIM(DIMENSIONS!C13)="","", DIMENSIONS!C13)</f>
        <v/>
      </c>
      <c r="B35" s="220" t="str">
        <f>IF(A35="","", $A$25 &amp; "." &amp; DIMENSIONS!D13)</f>
        <v/>
      </c>
      <c r="C35" s="285" t="str">
        <f>IF(A35="","", "COALESCE(CAST(f." &amp; DIMHELPER!A35 &amp; " as varchar(" &amp;Options!$B$49 &amp; ")),'')" )</f>
        <v/>
      </c>
      <c r="D35" s="285" t="str">
        <f>IF(Options!$B$47=0,  IF(A35="","","lower(" &amp; B35 &amp; ")=lower(" &amp; C35 &amp; ")"),IF(A35="","","CAST(" &amp; B35 &amp; " as varchar("&amp;Options!$B$49&amp;")) = " &amp; C35 &amp; " "))</f>
        <v/>
      </c>
      <c r="F35" s="285" t="str">
        <f>IF(E35="","", DIMENSIONS!C27 &amp; "." &amp; DIMHELPER!E35)</f>
        <v/>
      </c>
      <c r="G35" t="str">
        <f>_xlfn.TEXTJOIN(",",TRUE,DIMENSIONS!D28:D176)</f>
        <v/>
      </c>
    </row>
    <row r="36" spans="1:7">
      <c r="A36" s="220" t="str">
        <f>IF(TRIM(DIMENSIONS!C14)="","", DIMENSIONS!C14)</f>
        <v/>
      </c>
      <c r="B36" s="220" t="str">
        <f>IF(A36="","", $A$25 &amp; "." &amp; DIMENSIONS!D14)</f>
        <v/>
      </c>
      <c r="C36" s="285" t="str">
        <f>IF(A36="","", "COALESCE(CAST(f." &amp; DIMHELPER!A36 &amp; " as varchar(" &amp;Options!$B$49 &amp; ")),'')" )</f>
        <v/>
      </c>
      <c r="D36" s="285" t="str">
        <f>IF(Options!$B$47=0,  IF(A36="","","lower(" &amp; B36 &amp; ")=lower(" &amp; C36 &amp; ")"),IF(A36="","","CAST(" &amp; B36 &amp; " as varchar("&amp;Options!$B$49&amp;")) = " &amp; C36 &amp; " "))</f>
        <v/>
      </c>
      <c r="F36" s="285" t="str">
        <f>IF(E36="","", DIMENSIONS!C28 &amp; "." &amp; DIMHELPER!E36)</f>
        <v/>
      </c>
      <c r="G36" t="str">
        <f>_xlfn.TEXTJOIN(",",TRUE,DIMENSIONS!D29:D177)</f>
        <v/>
      </c>
    </row>
    <row r="37" spans="1:7">
      <c r="A37" s="220" t="str">
        <f>IF(TRIM(DIMENSIONS!C15)="","", DIMENSIONS!C15)</f>
        <v/>
      </c>
      <c r="B37" s="220" t="str">
        <f>IF(A37="","", $A$25 &amp; "." &amp; DIMENSIONS!D15)</f>
        <v/>
      </c>
      <c r="C37" s="285" t="str">
        <f>IF(A37="","", "COALESCE(CAST(f." &amp; DIMHELPER!A37 &amp; " as varchar(" &amp;Options!$B$49 &amp; ")),'')" )</f>
        <v/>
      </c>
      <c r="D37" s="285" t="str">
        <f>IF(Options!$B$47=0,  IF(A37="","","lower(" &amp; B37 &amp; ")=lower(" &amp; C37 &amp; ")"),IF(A37="","","CAST(" &amp; B37 &amp; " as varchar("&amp;Options!$B$49&amp;")) = " &amp; C37 &amp; " "))</f>
        <v/>
      </c>
      <c r="F37" s="285" t="str">
        <f>IF(E37="","", DIMENSIONS!C29 &amp; "." &amp; DIMHELPER!E37)</f>
        <v/>
      </c>
      <c r="G37" t="str">
        <f>_xlfn.TEXTJOIN(",",TRUE,DIMENSIONS!D30:D178)</f>
        <v/>
      </c>
    </row>
    <row r="38" spans="1:7">
      <c r="A38" s="220" t="str">
        <f>IF(TRIM(DIMENSIONS!C16)="","", DIMENSIONS!C16)</f>
        <v/>
      </c>
      <c r="B38" s="220" t="str">
        <f>IF(A38="","", $A$25 &amp; "." &amp; DIMENSIONS!D16)</f>
        <v/>
      </c>
      <c r="C38" s="285" t="str">
        <f>IF(A38="","", "COALESCE(CAST(f." &amp; DIMHELPER!A38 &amp; " as varchar(" &amp;Options!$B$49 &amp; ")),'')" )</f>
        <v/>
      </c>
      <c r="D38" s="285" t="str">
        <f>IF(Options!$B$47=0,  IF(A38="","","lower(" &amp; B38 &amp; ")=lower(" &amp; C38 &amp; ")"),IF(A38="","","CAST(" &amp; B38 &amp; " as varchar("&amp;Options!$B$49&amp;")) = " &amp; C38 &amp; " "))</f>
        <v/>
      </c>
    </row>
    <row r="39" spans="1:7">
      <c r="A39" s="220" t="str">
        <f>IF(TRIM(DIMENSIONS!C17)="","", DIMENSIONS!C17)</f>
        <v/>
      </c>
      <c r="B39" s="220" t="str">
        <f>IF(A39="","", $A$25 &amp; "." &amp; DIMENSIONS!D17)</f>
        <v/>
      </c>
      <c r="C39" s="285" t="str">
        <f>IF(A39="","", "COALESCE(CAST(f." &amp; DIMHELPER!A39 &amp; " as varchar(" &amp;Options!$B$49 &amp; ")),'')" )</f>
        <v/>
      </c>
      <c r="D39" s="285" t="str">
        <f>IF(Options!$B$47=0,  IF(A39="","","lower(" &amp; B39 &amp; ")=lower(" &amp; C39 &amp; ")"),IF(A39="","","CAST(" &amp; B39 &amp; " as varchar("&amp;Options!$B$49&amp;")) = " &amp; C39 &amp; " "))</f>
        <v/>
      </c>
    </row>
    <row r="40" spans="1:7">
      <c r="A40" s="49" t="str">
        <f ca="1">A4</f>
        <v/>
      </c>
      <c r="B40" s="23"/>
      <c r="C40" s="106"/>
      <c r="D40" s="28"/>
      <c r="E40" s="24" t="s">
        <v>586</v>
      </c>
      <c r="F40" s="24" t="s">
        <v>587</v>
      </c>
    </row>
    <row r="41" spans="1:7">
      <c r="A41" t="str">
        <f>IF(TRIM(DIMENSIONS!E4)="","", DIMENSIONS!E4)</f>
        <v/>
      </c>
      <c r="B41" s="220" t="str">
        <f>IF(A41="","", $A$40 &amp; "." &amp; DIMENSIONS!F4)</f>
        <v/>
      </c>
      <c r="C41" s="285" t="str">
        <f>IF(A41="","", "COALESCE(CAST(f." &amp; DIMHELPER!A41 &amp; " as varchar(" &amp; Options!$B$49&amp; ")),'')" )</f>
        <v/>
      </c>
      <c r="D41" s="285" t="str">
        <f>IF(Options!$B$47=0,  IF(A41="","","lower(" &amp; B41 &amp; ")=lower(" &amp; C41 &amp; ")"),IF(A41="","","" &amp; B41 &amp; "=" &amp; C41 &amp; ""))</f>
        <v/>
      </c>
      <c r="E41" s="285" t="str">
        <f>_xlfn.TEXTJOIN(" AND ",TRUE,D41:D54)</f>
        <v/>
      </c>
      <c r="F41" s="25" t="str">
        <f>_xlfn.TEXTJOIN(",",TRUE,C41:C54)</f>
        <v/>
      </c>
    </row>
    <row r="42" spans="1:7">
      <c r="A42" t="str">
        <f>IF(TRIM(DIMENSIONS!E5)="","", DIMENSIONS!E5)</f>
        <v/>
      </c>
      <c r="B42" s="220" t="str">
        <f>IF(A42="","", $A$40 &amp; "." &amp; DIMENSIONS!F5)</f>
        <v/>
      </c>
      <c r="C42" s="285" t="str">
        <f>IF(A42="","", "COALESCE(CAST(f." &amp; DIMHELPER!A42 &amp; " as varchar(" &amp; Options!$B$49&amp; ")),'')" )</f>
        <v/>
      </c>
      <c r="D42" s="285" t="str">
        <f>IF(Options!$B$47=0,  IF(A42="","","lower(" &amp; B42 &amp; ")=lower(" &amp; C42 &amp; ")"),IF(A42="","","" &amp; B42 &amp; "=" &amp; C42 &amp; ""))</f>
        <v/>
      </c>
    </row>
    <row r="43" spans="1:7">
      <c r="A43" t="str">
        <f>IF(TRIM(DIMENSIONS!E6)="","", DIMENSIONS!E6)</f>
        <v/>
      </c>
      <c r="B43" s="220" t="str">
        <f>IF(A43="","", $A$40 &amp; "." &amp; DIMENSIONS!F6)</f>
        <v/>
      </c>
      <c r="C43" s="285" t="str">
        <f>IF(A43="","", "COALESCE(CAST(f." &amp; DIMHELPER!A43 &amp; " as varchar(" &amp; Options!$B$49&amp; ")),'')" )</f>
        <v/>
      </c>
      <c r="D43" s="285" t="str">
        <f>IF(Options!$B$47=0,  IF(A43="","","lower(" &amp; B43 &amp; ")=lower(" &amp; C43 &amp; ")"),IF(A43="","","" &amp; B43 &amp; "=" &amp; C43 &amp; ""))</f>
        <v/>
      </c>
    </row>
    <row r="44" spans="1:7">
      <c r="A44" t="str">
        <f>IF(TRIM(DIMENSIONS!E7)="","", DIMENSIONS!E7)</f>
        <v/>
      </c>
      <c r="B44" s="220" t="str">
        <f>IF(A44="","", $A$40 &amp; "." &amp; DIMENSIONS!F7)</f>
        <v/>
      </c>
      <c r="C44" s="285" t="str">
        <f>IF(A44="","", "COALESCE(CAST(f." &amp; DIMHELPER!A44 &amp; " as varchar(" &amp; Options!$B$49&amp; ")),'')" )</f>
        <v/>
      </c>
      <c r="D44" s="285" t="str">
        <f>IF(Options!$B$47=0,  IF(A44="","","lower(" &amp; B44 &amp; ")=lower(" &amp; C44 &amp; ")"),IF(A44="","","" &amp; B44 &amp; "=" &amp; C44 &amp; ""))</f>
        <v/>
      </c>
    </row>
    <row r="45" spans="1:7">
      <c r="A45" t="str">
        <f>IF(TRIM(DIMENSIONS!E8)="","", DIMENSIONS!E8)</f>
        <v/>
      </c>
      <c r="B45" s="220" t="str">
        <f>IF(A45="","", $A$40 &amp; "." &amp; DIMENSIONS!F8)</f>
        <v/>
      </c>
      <c r="C45" s="285" t="str">
        <f>IF(A45="","", "COALESCE(CAST(f." &amp; DIMHELPER!A45 &amp; " as varchar(" &amp; Options!$B$49&amp; ")),'')" )</f>
        <v/>
      </c>
      <c r="D45" s="285" t="str">
        <f>IF(Options!$B$47=0,  IF(A45="","","lower(" &amp; B45 &amp; ")=lower(" &amp; C45 &amp; ")"),IF(A45="","","" &amp; B45 &amp; "=" &amp; C45 &amp; ""))</f>
        <v/>
      </c>
    </row>
    <row r="46" spans="1:7">
      <c r="A46" t="str">
        <f>IF(TRIM(DIMENSIONS!E9)="","", DIMENSIONS!E9)</f>
        <v/>
      </c>
      <c r="B46" s="220" t="str">
        <f>IF(A46="","", $A$40 &amp; "." &amp; DIMENSIONS!F9)</f>
        <v/>
      </c>
      <c r="C46" s="285" t="str">
        <f>IF(A46="","", "COALESCE(CAST(f." &amp; DIMHELPER!A46 &amp; " as varchar(" &amp; Options!$B$49&amp; ")),'')" )</f>
        <v/>
      </c>
      <c r="D46" s="285" t="str">
        <f>IF(Options!$B$47=0,  IF(A46="","","lower(" &amp; B46 &amp; ")=lower(" &amp; C46 &amp; ")"),IF(A46="","","" &amp; B46 &amp; "=" &amp; C46 &amp; ""))</f>
        <v/>
      </c>
    </row>
    <row r="47" spans="1:7">
      <c r="A47" t="str">
        <f>IF(TRIM(DIMENSIONS!E10)="","", DIMENSIONS!E10)</f>
        <v/>
      </c>
      <c r="B47" s="220" t="str">
        <f>IF(A47="","", $A$40 &amp; "." &amp; DIMENSIONS!F10)</f>
        <v/>
      </c>
      <c r="C47" s="285" t="str">
        <f>IF(A47="","", "COALESCE(CAST(f." &amp; DIMHELPER!A47 &amp; " as varchar(" &amp; Options!$B$49&amp; ")),'')" )</f>
        <v/>
      </c>
      <c r="D47" s="285" t="str">
        <f>IF(Options!$B$47=0,  IF(A47="","","lower(" &amp; B47 &amp; ")=lower(" &amp; C47 &amp; ")"),IF(A47="","","" &amp; B47 &amp; "=" &amp; C47 &amp; ""))</f>
        <v/>
      </c>
    </row>
    <row r="48" spans="1:7">
      <c r="A48" t="str">
        <f>IF(TRIM(DIMENSIONS!E11)="","", DIMENSIONS!E11)</f>
        <v/>
      </c>
      <c r="B48" s="220" t="str">
        <f>IF(A48="","", $A$40 &amp; "." &amp; DIMENSIONS!F11)</f>
        <v/>
      </c>
      <c r="C48" s="285" t="str">
        <f>IF(A48="","", "COALESCE(CAST(f." &amp; DIMHELPER!A48 &amp; " as varchar(" &amp; Options!$B$49&amp; ")),'')" )</f>
        <v/>
      </c>
      <c r="D48" s="285" t="str">
        <f>IF(Options!$B$47=0,  IF(A48="","","lower(" &amp; B48 &amp; ")=lower(" &amp; C48 &amp; ")"),IF(A48="","","" &amp; B48 &amp; "=" &amp; C48 &amp; ""))</f>
        <v/>
      </c>
    </row>
    <row r="49" spans="1:6">
      <c r="A49" t="str">
        <f>IF(TRIM(DIMENSIONS!E12)="","", DIMENSIONS!E12)</f>
        <v/>
      </c>
      <c r="B49" s="220" t="str">
        <f>IF(A49="","", $A$40 &amp; "." &amp; DIMENSIONS!F12)</f>
        <v/>
      </c>
      <c r="C49" s="285" t="str">
        <f>IF(A49="","", "COALESCE(CAST(f." &amp; DIMHELPER!A49 &amp; " as varchar(" &amp; Options!$B$49&amp; ")),'')" )</f>
        <v/>
      </c>
      <c r="D49" s="285" t="str">
        <f>IF(Options!$B$47=0,  IF(A49="","","lower(" &amp; B49 &amp; ")=lower(" &amp; C49 &amp; ")"),IF(A49="","","" &amp; B49 &amp; "=" &amp; C49 &amp; ""))</f>
        <v/>
      </c>
    </row>
    <row r="50" spans="1:6">
      <c r="A50" t="str">
        <f>IF(TRIM(DIMENSIONS!E13)="","", DIMENSIONS!E13)</f>
        <v/>
      </c>
      <c r="B50" s="220" t="str">
        <f>IF(A50="","", $A$40 &amp; "." &amp; DIMENSIONS!F13)</f>
        <v/>
      </c>
      <c r="C50" s="285" t="str">
        <f>IF(A50="","", "COALESCE(CAST(f." &amp; DIMHELPER!A50 &amp; " as varchar(" &amp; Options!$B$49&amp; ")),'')" )</f>
        <v/>
      </c>
      <c r="D50" s="285" t="str">
        <f>IF(Options!$B$47=0,  IF(A50="","","lower(" &amp; B50 &amp; ")=lower(" &amp; C50 &amp; ")"),IF(A50="","","" &amp; B50 &amp; "=" &amp; C50 &amp; ""))</f>
        <v/>
      </c>
    </row>
    <row r="51" spans="1:6">
      <c r="A51" t="str">
        <f>IF(TRIM(DIMENSIONS!E14)="","", DIMENSIONS!E14)</f>
        <v/>
      </c>
      <c r="B51" s="220" t="str">
        <f>IF(A51="","", $A$40 &amp; "." &amp; DIMENSIONS!F14)</f>
        <v/>
      </c>
      <c r="C51" s="285" t="str">
        <f>IF(A51="","", "COALESCE(CAST(f." &amp; DIMHELPER!A51 &amp; " as varchar(" &amp; Options!$B$49&amp; ")),'')" )</f>
        <v/>
      </c>
      <c r="D51" s="285" t="str">
        <f>IF(Options!$B$47=0,  IF(A51="","","lower(" &amp; B51 &amp; ")=lower(" &amp; C51 &amp; ")"),IF(A51="","","" &amp; B51 &amp; "=" &amp; C51 &amp; ""))</f>
        <v/>
      </c>
    </row>
    <row r="52" spans="1:6">
      <c r="A52" t="str">
        <f>IF(TRIM(DIMENSIONS!E15)="","", DIMENSIONS!E15)</f>
        <v/>
      </c>
      <c r="B52" s="220" t="str">
        <f>IF(A52="","", $A$40 &amp; "." &amp; DIMENSIONS!F15)</f>
        <v/>
      </c>
      <c r="C52" s="285" t="str">
        <f>IF(A52="","", "COALESCE(CAST(f." &amp; DIMHELPER!A52 &amp; " as varchar(" &amp; Options!$B$49&amp; ")),'')" )</f>
        <v/>
      </c>
      <c r="D52" s="285" t="str">
        <f>IF(Options!$B$47=0,  IF(A52="","","lower(" &amp; B52 &amp; ")=lower(" &amp; C52 &amp; ")"),IF(A52="","","" &amp; B52 &amp; "=" &amp; C52 &amp; ""))</f>
        <v/>
      </c>
    </row>
    <row r="53" spans="1:6">
      <c r="A53" t="str">
        <f>IF(TRIM(DIMENSIONS!E16)="","", DIMENSIONS!E16)</f>
        <v/>
      </c>
      <c r="B53" s="220" t="str">
        <f>IF(A53="","", $A$40 &amp; "." &amp; DIMENSIONS!F16)</f>
        <v/>
      </c>
      <c r="C53" s="285" t="str">
        <f>IF(A53="","", "COALESCE(CAST(f." &amp; DIMHELPER!A53 &amp; " as varchar(" &amp; Options!$B$49&amp; ")),'')" )</f>
        <v/>
      </c>
      <c r="D53" s="285" t="str">
        <f>IF(Options!$B$47=0,  IF(A53="","","lower(" &amp; B53 &amp; ")=lower(" &amp; C53 &amp; ")"),IF(A53="","","" &amp; B53 &amp; "=" &amp; C53 &amp; ""))</f>
        <v/>
      </c>
    </row>
    <row r="54" spans="1:6">
      <c r="A54" t="str">
        <f>IF(TRIM(DIMENSIONS!E17)="","", DIMENSIONS!E17)</f>
        <v/>
      </c>
      <c r="B54" s="220" t="str">
        <f>IF(A54="","", $A$40 &amp; "." &amp; DIMENSIONS!F17)</f>
        <v/>
      </c>
      <c r="C54" s="285" t="str">
        <f>IF(A54="","", "COALESCE(CAST(f." &amp; DIMHELPER!A54 &amp; " as varchar(" &amp; Options!$B$49&amp; ")),'')" )</f>
        <v/>
      </c>
      <c r="D54" s="285" t="str">
        <f>IF(Options!$B$47=0,  IF(A54="","","lower(" &amp; B54 &amp; ")=lower(" &amp; C54 &amp; ")"),IF(A54="","","" &amp; B54 &amp; "=" &amp; C54 &amp; ""))</f>
        <v/>
      </c>
    </row>
    <row r="55" spans="1:6">
      <c r="A55" s="49" t="str">
        <f ca="1">A5</f>
        <v/>
      </c>
      <c r="B55" s="23"/>
      <c r="C55" s="106"/>
      <c r="D55" s="28"/>
      <c r="E55" s="24" t="s">
        <v>586</v>
      </c>
      <c r="F55" s="24" t="s">
        <v>587</v>
      </c>
    </row>
    <row r="56" spans="1:6" ht="23.25" customHeight="1">
      <c r="A56" t="str">
        <f>IF(TRIM(DIMENSIONS!G4)="","",DIMENSIONS!G4)</f>
        <v/>
      </c>
      <c r="B56" s="220" t="str">
        <f>IF(A56="","", $A$55 &amp; "." &amp; DIMENSIONS!H4)</f>
        <v/>
      </c>
      <c r="C56" s="285" t="str">
        <f>IF(A56="","", "COALESCE(CAST(f." &amp; DIMHELPER!A56 &amp; " as varchar(" &amp;Options!$B$49 &amp; ")),'')" )</f>
        <v/>
      </c>
      <c r="D56" s="285" t="str">
        <f>IF(Options!$B$47=0,  IF(A56="","","lower(" &amp; B56 &amp; ")=lower(" &amp; C56 &amp; ")"),IF(A56="","","" &amp; B56 &amp; "=" &amp; C56 &amp; ""))</f>
        <v/>
      </c>
      <c r="E56" s="285" t="str">
        <f>_xlfn.TEXTJOIN(" AND ",TRUE,D56:D69)</f>
        <v/>
      </c>
      <c r="F56" s="285" t="str">
        <f>_xlfn.TEXTJOIN(",",TRUE,C56:C69)</f>
        <v/>
      </c>
    </row>
    <row r="57" spans="1:6" ht="23.25" customHeight="1">
      <c r="A57" t="str">
        <f>IF(TRIM(DIMENSIONS!G5)="","",DIMENSIONS!G5)</f>
        <v/>
      </c>
      <c r="B57" s="220" t="str">
        <f>IF(A57="","", $A$55 &amp; "." &amp; DIMENSIONS!H5)</f>
        <v/>
      </c>
      <c r="C57" s="285" t="str">
        <f>IF(A57="","", "COALESCE(CAST(f." &amp; DIMHELPER!A57 &amp; " as varchar(" &amp;Options!$B$49 &amp; ")),'')" )</f>
        <v/>
      </c>
      <c r="D57" s="285" t="str">
        <f>IF(Options!$B$47=0,  IF(A57="","","lower(" &amp; B57 &amp; ")=lower(" &amp; C57 &amp; ")"),IF(A57="","","" &amp; B57 &amp; "=" &amp; C57 &amp; ""))</f>
        <v/>
      </c>
    </row>
    <row r="58" spans="1:6" ht="23.25" customHeight="1">
      <c r="A58" t="str">
        <f>IF(TRIM(DIMENSIONS!G6)="","",DIMENSIONS!G6)</f>
        <v/>
      </c>
      <c r="B58" s="220" t="str">
        <f>IF(A58="","", $A$55 &amp; "." &amp; DIMENSIONS!H6)</f>
        <v/>
      </c>
      <c r="C58" s="285" t="str">
        <f>IF(A58="","", "COALESCE(CAST(f." &amp; DIMHELPER!A58 &amp; " as varchar(" &amp;Options!$B$49 &amp; ")),'')" )</f>
        <v/>
      </c>
      <c r="D58" s="285" t="str">
        <f>IF(Options!$B$47=0,  IF(A58="","","lower(" &amp; B58 &amp; ")=lower(" &amp; C58 &amp; ")"),IF(A58="","","" &amp; B58 &amp; "=" &amp; C58 &amp; ""))</f>
        <v/>
      </c>
    </row>
    <row r="59" spans="1:6" ht="23.25" customHeight="1">
      <c r="A59" t="str">
        <f>IF(TRIM(DIMENSIONS!G7)="","",DIMENSIONS!G7)</f>
        <v/>
      </c>
      <c r="B59" s="220" t="str">
        <f>IF(A59="","", $A$55 &amp; "." &amp; DIMENSIONS!H7)</f>
        <v/>
      </c>
      <c r="C59" s="285" t="str">
        <f>IF(A59="","", "COALESCE(CAST(f." &amp; DIMHELPER!A59 &amp; " as varchar(" &amp;Options!$B$49 &amp; ")),'')" )</f>
        <v/>
      </c>
      <c r="D59" s="285" t="str">
        <f>IF(Options!$B$47=0,  IF(A59="","","lower(" &amp; B59 &amp; ")=lower(" &amp; C59 &amp; ")"),IF(A59="","","" &amp; B59 &amp; "=" &amp; C59 &amp; ""))</f>
        <v/>
      </c>
    </row>
    <row r="60" spans="1:6">
      <c r="A60" t="str">
        <f>IF(TRIM(DIMENSIONS!G8)="","",DIMENSIONS!G8)</f>
        <v/>
      </c>
      <c r="B60" s="220" t="str">
        <f>IF(A60="","", $A$55 &amp; "." &amp; DIMENSIONS!H8)</f>
        <v/>
      </c>
      <c r="C60" s="285" t="str">
        <f>IF(A60="","", "COALESCE(CAST(f." &amp; DIMHELPER!A60 &amp; " as varchar(" &amp;Options!$B$49 &amp; ")),'')" )</f>
        <v/>
      </c>
      <c r="D60" s="285" t="str">
        <f>IF(Options!$B$47=0,  IF(A60="","","lower(" &amp; B60 &amp; ")=lower(" &amp; C60 &amp; ")"),IF(A60="","","" &amp; B60 &amp; "=" &amp; C60 &amp; ""))</f>
        <v/>
      </c>
    </row>
    <row r="61" spans="1:6">
      <c r="A61" t="str">
        <f>IF(TRIM(DIMENSIONS!G9)="","",DIMENSIONS!G9)</f>
        <v/>
      </c>
      <c r="B61" s="220" t="str">
        <f>IF(A61="","", $A$55 &amp; "." &amp; DIMENSIONS!H9)</f>
        <v/>
      </c>
      <c r="C61" s="285" t="str">
        <f>IF(A61="","", "COALESCE(CAST(f." &amp; DIMHELPER!A61 &amp; " as varchar(" &amp;Options!$B$49 &amp; ")),'')" )</f>
        <v/>
      </c>
      <c r="D61" s="285" t="str">
        <f>IF(Options!$B$47=0,  IF(A61="","","lower(" &amp; B61 &amp; ")=lower(" &amp; C61 &amp; ")"),IF(A61="","","" &amp; B61 &amp; "=" &amp; C61 &amp; ""))</f>
        <v/>
      </c>
    </row>
    <row r="62" spans="1:6">
      <c r="A62" t="str">
        <f>IF(TRIM(DIMENSIONS!G10)="","",DIMENSIONS!G10)</f>
        <v/>
      </c>
      <c r="B62" s="220" t="str">
        <f>IF(A62="","", $A$55 &amp; "." &amp; DIMENSIONS!H10)</f>
        <v/>
      </c>
      <c r="C62" s="285" t="str">
        <f>IF(A62="","", "COALESCE(CAST(f." &amp; DIMHELPER!A62 &amp; " as varchar(" &amp;Options!$B$49 &amp; ")),'')" )</f>
        <v/>
      </c>
      <c r="D62" s="285" t="str">
        <f>IF(Options!$B$47=0,  IF(A62="","","lower(" &amp; B62 &amp; ")=lower(" &amp; C62 &amp; ")"),IF(A62="","","" &amp; B62 &amp; "=" &amp; C62 &amp; ""))</f>
        <v/>
      </c>
    </row>
    <row r="63" spans="1:6">
      <c r="A63" t="str">
        <f>IF(TRIM(DIMENSIONS!G11)="","",DIMENSIONS!G11)</f>
        <v/>
      </c>
      <c r="B63" s="220" t="str">
        <f>IF(A63="","", $A$55 &amp; "." &amp; DIMENSIONS!H11)</f>
        <v/>
      </c>
      <c r="C63" s="285" t="str">
        <f>IF(A63="","", "COALESCE(CAST(f." &amp; DIMHELPER!A63 &amp; " as varchar(" &amp;Options!$B$49 &amp; ")),'')" )</f>
        <v/>
      </c>
      <c r="D63" s="285" t="str">
        <f>IF(Options!$B$47=0,  IF(A63="","","lower(" &amp; B63 &amp; ")=lower(" &amp; C63 &amp; ")"),IF(A63="","","" &amp; B63 &amp; "=" &amp; C63 &amp; ""))</f>
        <v/>
      </c>
    </row>
    <row r="64" spans="1:6">
      <c r="A64" t="str">
        <f>IF(TRIM(DIMENSIONS!G12)="","",DIMENSIONS!G12)</f>
        <v/>
      </c>
      <c r="B64" s="220" t="str">
        <f>IF(A64="","", $A$55 &amp; "." &amp; DIMENSIONS!H12)</f>
        <v/>
      </c>
      <c r="C64" s="285" t="str">
        <f>IF(A64="","", "COALESCE(CAST(f." &amp; DIMHELPER!A64 &amp; " as varchar(" &amp;Options!$B$49 &amp; ")),'')" )</f>
        <v/>
      </c>
      <c r="D64" s="285" t="str">
        <f>IF(Options!$B$47=0,  IF(A64="","","lower(" &amp; B64 &amp; ")=lower(" &amp; C64 &amp; ")"),IF(A64="","","" &amp; B64 &amp; "=" &amp; C64 &amp; ""))</f>
        <v/>
      </c>
    </row>
    <row r="65" spans="1:6">
      <c r="A65" t="str">
        <f>IF(TRIM(DIMENSIONS!G13)="","",DIMENSIONS!G13)</f>
        <v/>
      </c>
      <c r="B65" s="220" t="str">
        <f>IF(A65="","", $A$55 &amp; "." &amp; DIMENSIONS!H13)</f>
        <v/>
      </c>
      <c r="C65" s="285" t="str">
        <f>IF(A65="","", "COALESCE(CAST(f." &amp; DIMHELPER!A65 &amp; " as varchar(" &amp;Options!$B$49 &amp; ")),'')" )</f>
        <v/>
      </c>
      <c r="D65" s="285" t="str">
        <f>IF(Options!$B$47=0,  IF(A65="","","lower(" &amp; B65 &amp; ")=lower(" &amp; C65 &amp; ")"),IF(A65="","","" &amp; B65 &amp; "=" &amp; C65 &amp; ""))</f>
        <v/>
      </c>
    </row>
    <row r="66" spans="1:6">
      <c r="A66" t="str">
        <f>IF(TRIM(DIMENSIONS!G14)="","",DIMENSIONS!G14)</f>
        <v/>
      </c>
      <c r="B66" s="220" t="str">
        <f>IF(A66="","", $A$55 &amp; "." &amp; DIMENSIONS!H14)</f>
        <v/>
      </c>
      <c r="C66" s="285" t="str">
        <f>IF(A66="","", "COALESCE(CAST(f." &amp; DIMHELPER!A66 &amp; " as varchar(" &amp;Options!$B$49 &amp; ")),'')" )</f>
        <v/>
      </c>
      <c r="D66" s="285" t="str">
        <f>IF(Options!$B$47=0,  IF(A66="","","lower(" &amp; B66 &amp; ")=lower(" &amp; C66 &amp; ")"),IF(A66="","","" &amp; B66 &amp; "=" &amp; C66 &amp; ""))</f>
        <v/>
      </c>
    </row>
    <row r="67" spans="1:6">
      <c r="A67" t="str">
        <f>IF(TRIM(DIMENSIONS!G15)="","",DIMENSIONS!G15)</f>
        <v/>
      </c>
      <c r="B67" s="220" t="str">
        <f>IF(A67="","", $A$55 &amp; "." &amp; DIMENSIONS!H15)</f>
        <v/>
      </c>
      <c r="C67" s="285" t="str">
        <f>IF(A67="","", "COALESCE(CAST(f." &amp; DIMHELPER!A67 &amp; " as varchar(" &amp;Options!$B$49 &amp; ")),'')" )</f>
        <v/>
      </c>
      <c r="D67" s="285" t="str">
        <f>IF(Options!$B$47=0,  IF(A67="","","lower(" &amp; B67 &amp; ")=lower(" &amp; C67 &amp; ")"),IF(A67="","","" &amp; B67 &amp; "=" &amp; C67 &amp; ""))</f>
        <v/>
      </c>
    </row>
    <row r="68" spans="1:6">
      <c r="A68" t="str">
        <f>IF(TRIM(DIMENSIONS!G16)="","",DIMENSIONS!G16)</f>
        <v/>
      </c>
      <c r="B68" s="220" t="str">
        <f>IF(A68="","", $A$55 &amp; "." &amp; DIMENSIONS!H16)</f>
        <v/>
      </c>
      <c r="C68" s="285" t="str">
        <f>IF(A68="","", "COALESCE(CAST(f." &amp; DIMHELPER!A68 &amp; " as varchar(" &amp;Options!$B$49 &amp; ")),'')" )</f>
        <v/>
      </c>
      <c r="D68" s="285" t="str">
        <f>IF(Options!$B$47=0,  IF(A68="","","lower(" &amp; B68 &amp; ")=lower(" &amp; C68 &amp; ")"),IF(A68="","","" &amp; B68 &amp; "=" &amp; C68 &amp; ""))</f>
        <v/>
      </c>
    </row>
    <row r="69" spans="1:6">
      <c r="A69" t="str">
        <f>IF(TRIM(DIMENSIONS!G17)="","",DIMENSIONS!G17)</f>
        <v/>
      </c>
      <c r="B69" s="220" t="str">
        <f>IF(A69="","", $A$55 &amp; "." &amp; DIMENSIONS!H17)</f>
        <v/>
      </c>
      <c r="C69" s="285" t="str">
        <f>IF(A69="","", "COALESCE(CAST(f." &amp; DIMHELPER!A69 &amp; " as varchar(" &amp;Options!$B$49 &amp; ")),'')" )</f>
        <v/>
      </c>
      <c r="D69" s="285" t="str">
        <f>IF(Options!$B$47=0,  IF(A69="","","lower(" &amp; B69 &amp; ")=lower(" &amp; C69 &amp; ")"),IF(A69="","","" &amp; B69 &amp; "=" &amp; C69 &amp; ""))</f>
        <v/>
      </c>
    </row>
    <row r="70" spans="1:6" s="221" customFormat="1">
      <c r="A70" s="30" t="str">
        <f ca="1">A6</f>
        <v/>
      </c>
      <c r="B70" s="72"/>
      <c r="C70" s="24" t="str">
        <f ca="1">IF(A70="","", "f." &amp; DIMHELPER!A70)</f>
        <v/>
      </c>
      <c r="D70" s="24"/>
      <c r="E70" s="24" t="s">
        <v>586</v>
      </c>
      <c r="F70" s="71"/>
    </row>
    <row r="71" spans="1:6">
      <c r="A71" t="str">
        <f>IF(TRIM(DIMENSIONS!I4)="","",DIMENSIONS!I4)</f>
        <v/>
      </c>
      <c r="B71" s="220" t="str">
        <f>IF(A71="","", $A$55 &amp; "." &amp; DIMHELPER!A71)</f>
        <v/>
      </c>
    </row>
    <row r="72" spans="1:6">
      <c r="A72" t="str">
        <f>IF(TRIM(DIMENSIONS!I5)="","",DIMENSIONS!I5)</f>
        <v/>
      </c>
      <c r="B72" s="220" t="str">
        <f>IF(A72="","", $A$55 &amp; "." &amp; DIMHELPER!A72)</f>
        <v/>
      </c>
    </row>
    <row r="73" spans="1:6">
      <c r="A73" t="str">
        <f>IF(TRIM(DIMENSIONS!I6)="","",DIMENSIONS!I6)</f>
        <v/>
      </c>
      <c r="B73" s="220"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24"/>
  <sheetViews>
    <sheetView topLeftCell="B4" workbookViewId="0">
      <selection activeCell="C5" sqref="C5"/>
    </sheetView>
  </sheetViews>
  <sheetFormatPr defaultRowHeight="15"/>
  <cols>
    <col min="1" max="1" width="7" style="283" customWidth="1"/>
    <col min="2" max="2" width="202.85546875" style="283" customWidth="1"/>
    <col min="3" max="3" width="106.85546875" style="283" customWidth="1"/>
  </cols>
  <sheetData>
    <row r="1" spans="1:3" s="30" customFormat="1">
      <c r="B1" s="30" t="s">
        <v>588</v>
      </c>
      <c r="C1" s="11" t="s">
        <v>589</v>
      </c>
    </row>
    <row r="2" spans="1:3" ht="193.5" customHeight="1">
      <c r="A2" s="285"/>
      <c r="B2" s="10" t="str">
        <f ca="1">"SELECT  "  &amp;IF(Options!B17=1," DISTINCT ","")  &amp;HELPER!B123 &amp; " FROM "&amp;Options!B10&amp;"."&amp;Options!B11</f>
        <v>SELECT   DISTINCT wkVehicle AS wkVehicle, 1 AS has_communicated_last_90_days AS has_communicated_last_90_days, lake_arrival_date AS lake_arrival_date FROM staged.conrepo_activationdtp_p</v>
      </c>
      <c r="C2" s="285"/>
    </row>
    <row r="4" spans="1:3">
      <c r="B4" s="30" t="s">
        <v>590</v>
      </c>
    </row>
    <row r="5" spans="1:3" ht="368.25" customHeight="1">
      <c r="B5" s="195" t="str">
        <f ca="1">IF(Options!B31=1,"", "CREATE OR REPLACE VIEW " &amp; HELPER!B129 &amp; " AS WITH t1 as (SELECT " &amp; DIMHELPER!G8 &amp; "  FROM " &amp;HELPER!B124 &amp; " f " &amp; DIMHELPER!H8) &amp; ")  SELECT "&amp;HELPER!B11&amp;" FROM t1"</f>
        <v>CREATE OR REPLACE VIEW uc0039.source_factVCSSLast90_[:date_yyyymmdd]_v  AS 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c r="C5" s="285" t="str">
        <f ca="1">IF(Options!B31=1,"", "WITH t1 as (SELECT " &amp; DIMHELPER!G8 &amp; "  FROM " &amp;HELPER!B124 &amp; " f " &amp; DIMHELPER!H8) &amp; ")  SELECT "&amp;HELPER!B11&amp;" FROM t1"</f>
        <v>WITH t1 as (SELECT f.wkVehicle AS wkVehicle, 1 AS has_communicated_last_90_days, f.lake_arrival_date AS lake_arrival_date, CAST(f.timestamp as timestamp)  AS last_modified_timestamp  FROM staged.conrepo_activationdtp_p f )  SELECT wkVehicle, has_communicated_last_90_days, lake_arrival_date,CAST( '' as varchar(1)) as hashkey, load_date, last_modified_timestamp FROM t1</v>
      </c>
    </row>
    <row r="7" spans="1:3">
      <c r="B7" t="s">
        <v>591</v>
      </c>
    </row>
    <row r="8" spans="1:3" ht="387.75" customHeight="1">
      <c r="B8" s="195" t="str">
        <f>IF(Options!B31=0,"",  IF('Volvo DMA'!B2=1,'Volvo DMA'!A25 &amp; " ","") &amp;  HELPER!B115&amp; " SELECT " &amp; HELPER!B11 &amp; " FROM t2")</f>
        <v/>
      </c>
    </row>
    <row r="11" spans="1:3">
      <c r="B11" t="s">
        <v>572</v>
      </c>
    </row>
    <row r="12" spans="1:3" ht="213" customHeight="1">
      <c r="B12" s="285" t="str">
        <f>IF(Options!B31=0,"",IF('Volvo DMA'!B2=1,'Volvo DMA'!A25&amp;" ","")&amp;HELPER!C115)</f>
        <v/>
      </c>
    </row>
    <row r="14" spans="1:3">
      <c r="B14" t="str">
        <f>IF(B20="","",B20)</f>
        <v/>
      </c>
    </row>
    <row r="18" spans="2:2">
      <c r="B18" t="s">
        <v>592</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593</v>
      </c>
    </row>
    <row r="24" spans="2:2" ht="109.5" customHeight="1">
      <c r="B24" s="249" t="str">
        <f ca="1">IF(USERINPUT_USE_SOURCE_VIEW=1,"","SELECT "&amp;COLHELPER!B152&amp;" FROM "&amp;USERINPUT_CREATE_ATHENA_TABLE&amp;"."&amp;Options!B11&amp;IF(COLHELPER!BR152="",""," WHERE "&amp;COLHELPER!BR152))</f>
        <v>SELECT wkVehicle, 1 AS has_communicated_last_90_days, lake_arrival_date FROM staged.conrepo_activationdtp_p WHERE lake_arrival_date='[:date_yyyy_mm_dd]'</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A2"/>
  <sheetViews>
    <sheetView workbookViewId="0">
      <selection activeCell="A2" sqref="A2"/>
    </sheetView>
  </sheetViews>
  <sheetFormatPr defaultRowHeight="15"/>
  <cols>
    <col min="1" max="1" width="185.42578125" style="283" customWidth="1"/>
  </cols>
  <sheetData>
    <row r="1" spans="1:1">
      <c r="A1" s="30" t="s">
        <v>594</v>
      </c>
    </row>
    <row r="2" spans="1:1" ht="395.25" customHeight="1">
      <c r="A2" s="195" t="str">
        <f ca="1">HELPER!B3&amp;" "&amp;HELPER!B4&amp;"("&amp;HELPER!B58&amp;") " &amp;HELPER!B60  &amp; " "  &amp;  HELPER!B47 &amp;  " " &amp; " LOCATION '" &amp; HELPER!B34 &amp; "' " &amp; HELPER!B72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K150"/>
  <sheetViews>
    <sheetView topLeftCell="G1" workbookViewId="0">
      <selection activeCell="H1" sqref="H1:H1048576"/>
    </sheetView>
  </sheetViews>
  <sheetFormatPr defaultRowHeight="15"/>
  <cols>
    <col min="3" max="3" width="91.42578125" style="283" customWidth="1"/>
    <col min="4" max="6" width="40.5703125" style="283" customWidth="1"/>
    <col min="7" max="7" width="75.42578125" style="283" bestFit="1" customWidth="1"/>
    <col min="8" max="8" width="71.7109375" style="190" customWidth="1"/>
    <col min="9" max="9" width="41.7109375" style="283" customWidth="1"/>
    <col min="10" max="11" width="71.7109375" style="283" customWidth="1"/>
    <col min="12" max="12" width="126.42578125" style="283" customWidth="1"/>
    <col min="13" max="13" width="97" style="283" bestFit="1" customWidth="1"/>
  </cols>
  <sheetData>
    <row r="1" spans="2:37">
      <c r="C1" t="s">
        <v>138</v>
      </c>
      <c r="F1" t="s">
        <v>595</v>
      </c>
      <c r="G1" t="s">
        <v>596</v>
      </c>
      <c r="I1" t="s">
        <v>597</v>
      </c>
      <c r="J1" t="s">
        <v>598</v>
      </c>
      <c r="K1" t="s">
        <v>599</v>
      </c>
      <c r="L1" t="s">
        <v>600</v>
      </c>
      <c r="M1" t="s">
        <v>601</v>
      </c>
      <c r="Q1" s="130" t="s">
        <v>602</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603</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604</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605</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604</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606</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F0"/>
  </sheetPr>
  <dimension ref="A1:CD426"/>
  <sheetViews>
    <sheetView topLeftCell="BQ1" zoomScaleNormal="100" workbookViewId="0">
      <selection activeCell="BS11" sqref="BS11"/>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3" customWidth="1"/>
    <col min="19" max="19" width="45.7109375" style="283" bestFit="1" customWidth="1"/>
    <col min="20" max="20" width="42.5703125" style="283" customWidth="1"/>
    <col min="21" max="21" width="65.85546875" style="283" customWidth="1"/>
    <col min="22" max="22" width="48" style="283" bestFit="1" customWidth="1"/>
    <col min="23" max="24" width="64.85546875" style="283" customWidth="1"/>
    <col min="25" max="25" width="36.140625" style="283" customWidth="1"/>
    <col min="26" max="26" width="21.140625" style="283" bestFit="1" customWidth="1"/>
    <col min="27" max="27" width="81.28515625" style="283" customWidth="1"/>
    <col min="28" max="28" width="26.5703125" style="283" customWidth="1"/>
    <col min="29" max="29" width="98.42578125" style="283" customWidth="1"/>
    <col min="30" max="30" width="68.42578125" style="283" customWidth="1"/>
    <col min="31" max="31" width="43.85546875" style="283" customWidth="1"/>
    <col min="32" max="32" width="66.7109375" style="283" customWidth="1"/>
    <col min="33" max="33" width="33" style="283" customWidth="1"/>
    <col min="34" max="37" width="85.42578125" style="283" customWidth="1"/>
    <col min="38" max="38" width="43.28515625" style="283" customWidth="1"/>
    <col min="39" max="39" width="73.7109375" style="283" customWidth="1"/>
    <col min="40" max="40" width="31.7109375" style="283" bestFit="1" customWidth="1"/>
    <col min="41" max="41" width="27.28515625" style="283" bestFit="1" customWidth="1"/>
    <col min="42" max="42" width="73.42578125" style="283" customWidth="1"/>
    <col min="43" max="44" width="67.7109375" style="283" customWidth="1"/>
    <col min="45" max="45" width="45.5703125" style="283" customWidth="1"/>
    <col min="46" max="46" width="29.85546875" style="283" customWidth="1"/>
    <col min="47" max="47" width="51.42578125" style="283" customWidth="1"/>
    <col min="48" max="48" width="51.42578125" style="190" customWidth="1"/>
    <col min="49" max="49" width="51.42578125" style="283" customWidth="1"/>
    <col min="50" max="50" width="39.28515625" style="283" customWidth="1"/>
    <col min="51" max="51" width="96.7109375" style="283" customWidth="1"/>
    <col min="52" max="52" width="30" style="283" customWidth="1"/>
    <col min="53" max="53" width="47.140625" style="283" customWidth="1"/>
    <col min="54" max="54" width="28.5703125" style="283" bestFit="1" customWidth="1"/>
    <col min="55" max="55" width="48.28515625" style="283" customWidth="1"/>
    <col min="56" max="56" width="19.85546875" style="283" customWidth="1"/>
    <col min="57" max="57" width="26.140625" style="283" customWidth="1"/>
    <col min="58" max="58" width="87.140625" style="283" customWidth="1"/>
    <col min="59" max="59" width="29.28515625" style="283" customWidth="1"/>
    <col min="60" max="60" width="103.85546875" style="283" customWidth="1"/>
    <col min="61" max="61" width="52.85546875" style="283" customWidth="1"/>
    <col min="62" max="62" width="22.5703125" style="283" customWidth="1"/>
    <col min="63" max="63" width="21.28515625" style="283" customWidth="1"/>
    <col min="64" max="64" width="46.42578125" style="283" customWidth="1"/>
    <col min="65" max="66" width="97.42578125" style="283" customWidth="1"/>
    <col min="67" max="67" width="38.42578125" style="283" customWidth="1"/>
    <col min="68" max="68" width="28.140625" style="283" bestFit="1" customWidth="1"/>
    <col min="69" max="69" width="34.7109375" style="283" bestFit="1" customWidth="1"/>
    <col min="70" max="70" width="40.140625" style="283" bestFit="1" customWidth="1"/>
    <col min="71" max="71" width="41.5703125" style="283" customWidth="1"/>
    <col min="72" max="72" width="54.42578125" style="283" customWidth="1"/>
    <col min="73" max="73" width="50" style="283" customWidth="1"/>
    <col min="74" max="74" width="25.5703125" style="283" bestFit="1" customWidth="1"/>
    <col min="75" max="75" width="49.42578125" style="283" customWidth="1"/>
    <col min="76" max="76" width="49.140625" style="283" customWidth="1"/>
    <col min="77" max="77" width="88.5703125" style="283" customWidth="1"/>
    <col min="78" max="78" width="27.28515625" style="283" customWidth="1"/>
    <col min="79" max="79" width="25.85546875" style="283" bestFit="1" customWidth="1"/>
    <col min="80" max="80" width="234.85546875" style="283" customWidth="1"/>
    <col min="81" max="81" width="27" style="283" bestFit="1" customWidth="1"/>
    <col min="82" max="82" width="78.140625" style="283" customWidth="1"/>
  </cols>
  <sheetData>
    <row r="1" spans="1:82" s="168" customFormat="1" ht="23.25" customHeight="1">
      <c r="A1" s="167" t="str">
        <f>COLUMNS!A1</f>
        <v>Target Column Name</v>
      </c>
      <c r="B1" s="167" t="str">
        <f>COLUMNS!B1</f>
        <v>Source Column Name</v>
      </c>
      <c r="C1" s="167" t="str">
        <f>COLUMNS!C1</f>
        <v>Target Data Type</v>
      </c>
      <c r="D1" s="167" t="s">
        <v>141</v>
      </c>
      <c r="E1" s="167" t="s">
        <v>607</v>
      </c>
      <c r="F1" s="167" t="str">
        <f>COLUMNS!G1</f>
        <v>Partition by</v>
      </c>
      <c r="G1" s="167" t="s">
        <v>143</v>
      </c>
      <c r="H1" s="167" t="s">
        <v>460</v>
      </c>
      <c r="I1" s="167" t="s">
        <v>608</v>
      </c>
      <c r="J1" s="167" t="str">
        <f>COLUMNS!J1</f>
        <v>Lookup Dimension</v>
      </c>
      <c r="K1" s="167" t="str">
        <f>COLUMNS!K1</f>
        <v>JOIN TYPE (LEFT or INNER)</v>
      </c>
      <c r="L1" s="167" t="str">
        <f>COLUMNS!L1</f>
        <v>Inferred Members</v>
      </c>
      <c r="M1" s="167" t="s">
        <v>609</v>
      </c>
      <c r="N1" s="167" t="str">
        <f>COLUMNS!N1</f>
        <v xml:space="preserve">Sample Condition </v>
      </c>
      <c r="O1" s="191" t="s">
        <v>610</v>
      </c>
      <c r="P1" s="191" t="s">
        <v>611</v>
      </c>
      <c r="Q1" s="191" t="s">
        <v>612</v>
      </c>
      <c r="R1" s="191" t="s">
        <v>613</v>
      </c>
      <c r="S1" s="165" t="s">
        <v>614</v>
      </c>
      <c r="T1" s="165" t="s">
        <v>615</v>
      </c>
      <c r="U1" s="165" t="s">
        <v>616</v>
      </c>
      <c r="V1" s="165" t="s">
        <v>617</v>
      </c>
      <c r="W1" s="165" t="s">
        <v>618</v>
      </c>
      <c r="X1" s="165" t="s">
        <v>619</v>
      </c>
      <c r="Y1" s="165" t="s">
        <v>620</v>
      </c>
      <c r="Z1" s="165" t="s">
        <v>621</v>
      </c>
      <c r="AA1" s="165" t="s">
        <v>622</v>
      </c>
      <c r="AB1" s="165" t="s">
        <v>623</v>
      </c>
      <c r="AC1" s="165" t="s">
        <v>624</v>
      </c>
      <c r="AD1" s="165" t="s">
        <v>625</v>
      </c>
      <c r="AE1" s="165" t="s">
        <v>460</v>
      </c>
      <c r="AF1" s="165" t="s">
        <v>626</v>
      </c>
      <c r="AG1" s="165" t="s">
        <v>627</v>
      </c>
      <c r="AH1" s="165" t="s">
        <v>628</v>
      </c>
      <c r="AI1" s="165" t="s">
        <v>629</v>
      </c>
      <c r="AJ1" s="165" t="s">
        <v>630</v>
      </c>
      <c r="AK1" s="165" t="s">
        <v>631</v>
      </c>
      <c r="AL1" s="165" t="s">
        <v>632</v>
      </c>
      <c r="AM1" s="165" t="s">
        <v>633</v>
      </c>
      <c r="AN1" s="165" t="s">
        <v>634</v>
      </c>
      <c r="AO1" s="165" t="s">
        <v>635</v>
      </c>
      <c r="AP1" s="165" t="s">
        <v>636</v>
      </c>
      <c r="AQ1" s="165" t="s">
        <v>637</v>
      </c>
      <c r="AR1" s="165"/>
      <c r="AS1" s="165" t="s">
        <v>506</v>
      </c>
      <c r="AT1" s="165" t="s">
        <v>638</v>
      </c>
      <c r="AU1" s="165" t="s">
        <v>639</v>
      </c>
      <c r="AV1" s="165" t="s">
        <v>640</v>
      </c>
      <c r="AW1" s="165" t="s">
        <v>641</v>
      </c>
      <c r="AX1" s="165"/>
      <c r="AY1" s="165" t="s">
        <v>642</v>
      </c>
      <c r="AZ1" s="165" t="s">
        <v>643</v>
      </c>
      <c r="BA1" s="165"/>
      <c r="BB1" s="165" t="s">
        <v>644</v>
      </c>
      <c r="BC1" s="165" t="s">
        <v>645</v>
      </c>
      <c r="BD1" s="165" t="s">
        <v>646</v>
      </c>
      <c r="BE1" s="165"/>
      <c r="BF1" s="165" t="s">
        <v>647</v>
      </c>
      <c r="BG1" s="166" t="s">
        <v>648</v>
      </c>
      <c r="BH1" s="165" t="s">
        <v>649</v>
      </c>
      <c r="BI1" s="165" t="s">
        <v>650</v>
      </c>
      <c r="BJ1" s="165" t="s">
        <v>651</v>
      </c>
      <c r="BK1" s="165" t="s">
        <v>652</v>
      </c>
      <c r="BL1" s="165" t="s">
        <v>653</v>
      </c>
      <c r="BM1" s="165" t="s">
        <v>654</v>
      </c>
      <c r="BN1" s="165"/>
      <c r="BO1" s="165" t="s">
        <v>655</v>
      </c>
      <c r="BP1" s="165" t="s">
        <v>656</v>
      </c>
      <c r="BQ1" s="165" t="s">
        <v>657</v>
      </c>
      <c r="BR1" s="165" t="s">
        <v>658</v>
      </c>
      <c r="BS1" s="165" t="s">
        <v>659</v>
      </c>
      <c r="BT1" s="165" t="s">
        <v>660</v>
      </c>
      <c r="BU1" s="165" t="s">
        <v>661</v>
      </c>
      <c r="BV1" s="165" t="s">
        <v>662</v>
      </c>
      <c r="BW1" s="30" t="s">
        <v>663</v>
      </c>
      <c r="BX1" s="30" t="s">
        <v>664</v>
      </c>
      <c r="BY1" s="30" t="s">
        <v>665</v>
      </c>
      <c r="BZ1" s="165" t="s">
        <v>666</v>
      </c>
      <c r="CA1" s="165" t="s">
        <v>667</v>
      </c>
      <c r="CB1" s="168" t="s">
        <v>668</v>
      </c>
      <c r="CC1" s="168" t="s">
        <v>669</v>
      </c>
      <c r="CD1" s="168" t="s">
        <v>670</v>
      </c>
    </row>
    <row r="2" spans="1:82">
      <c r="A2" s="161" t="str">
        <f t="array" aca="1" ref="A2" ca="1">IF(TRIM(INDIRECT("Columns!A2")) ="","",TRIM(INDIRECT("Columns!A2")))</f>
        <v>wkVehicle</v>
      </c>
      <c r="B2" s="161" t="str">
        <f t="shared" ref="B2:B33" ca="1" si="0">IF(I2="1","",IF(O2="",IF(G2="",A2,G2 &amp; " AS " &amp; A2),O2))</f>
        <v>wkVehicle</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7" t="str">
        <f t="array" aca="1" ref="O2" ca="1">IF(TRIM(INDIRECT("Columns!B2"))="","",TRIM(INDIRECT("Columns!B2")))</f>
        <v/>
      </c>
      <c r="P2" s="227" t="str">
        <f t="array" aca="1" ref="P2" ca="1">IF(TRIM(INDIRECT("Columns!C2"))="","",TRIM(INDIRECT("Columns!C2")))</f>
        <v>bigint</v>
      </c>
      <c r="Q2" s="227" t="str">
        <f t="array" aca="1" ref="Q2" ca="1">IF(TRIM(INDIRECT("Columns!D2"))="","",TRIM(INDIRECT("Columns!D2")))</f>
        <v/>
      </c>
      <c r="R2" s="227" t="str">
        <f t="array" aca="1" ref="R2" ca="1">IF(TRIM(INDIRECT("Columns!O2"))="","",TRIM(INDIRECT("Columns!O2")))</f>
        <v/>
      </c>
      <c r="S2" t="str">
        <f t="shared" ref="S2:S33" ca="1" si="3">IF(A2="","",A2 &amp; " " &amp; IF(C2="array&lt;varchar&gt;","array&lt;string&gt;",C2))</f>
        <v>wkVehicle bigint</v>
      </c>
      <c r="T2" t="str">
        <f t="shared" ref="T2:T33" ca="1" si="4">IF(AND(H2="1",I2=""),B2,"")</f>
        <v>wkVehicle</v>
      </c>
      <c r="U2" t="str">
        <f t="shared" ref="U2:U33" ca="1" si="5">IF(AND(H2="1",I2=""),IF(G2="",B2,A2),"")</f>
        <v>wkVehicle</v>
      </c>
      <c r="V2" t="str">
        <f t="shared" ref="V2:V33" ca="1" si="6">IF(A2="","",IF(F2&lt;&gt;"1",S2,""))</f>
        <v>wkVehicle bigint</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wkVehicle</v>
      </c>
      <c r="AF2" t="str">
        <f ca="1">IF(AE2&lt;&gt;"", HELPER!$B$93 &amp;  "." &amp; AE2,"")</f>
        <v>trg.wkVehicle</v>
      </c>
      <c r="AG2" t="str">
        <f ca="1">IF(AE2&lt;&gt;"", HELPER!$B$94 &amp; "." &amp; AE2,"")</f>
        <v>src.wkVehicle</v>
      </c>
      <c r="AH2" t="str">
        <f t="shared" ref="AH2:AH30" ca="1" si="11">IF(AE2&lt;&gt;"",AF2&amp;" = "&amp;AU2,"")</f>
        <v>trg.wkVehicle = src.wkVehicle</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
      </c>
      <c r="AU2" t="str">
        <f t="shared" ref="AU2:AU33" ca="1" si="18">IF(C2="string","COALESCE(" &amp; AS2 &amp; ",'')",AS2)</f>
        <v>src.wkVehicle</v>
      </c>
      <c r="AV2" s="190" t="str">
        <f t="shared" ref="AV2:AV33" ca="1" si="19">IF(OR(H2="1",I2="1",E2="4",F2="1"),A2,"")</f>
        <v>wkVehicle</v>
      </c>
      <c r="AW2" t="str">
        <f t="shared" ref="AW2:AW33" ca="1" si="20">IF(OR(H2="1",I2="1",E2="4",F2="1"),AU2,"")</f>
        <v>src.wkVehicle</v>
      </c>
      <c r="AX2" t="str">
        <f ca="1">IF(J2="","","LEFT JOIN "&amp; Options!$B$23 &amp; "." &amp; J2 &amp; " ON ")</f>
        <v/>
      </c>
      <c r="AY2" t="str">
        <f t="shared" ref="AY2:AY33" ca="1" si="21">IF(A2="","",IF(I2="1","", IF(B2="",A2, B2) &amp;" AS "&amp;A2))</f>
        <v>wkVehicle AS wkVehicle</v>
      </c>
      <c r="AZ2" t="str">
        <f t="shared" ref="AZ2:AZ33" ca="1" si="22">IF(I2="1","",IF(H2="1",IF(B2="",A2,B2),""))</f>
        <v>wkVehicle</v>
      </c>
      <c r="BA2" t="str">
        <f ca="1">IF(AZ2="","", "CAST(" &amp; AZ2 &amp; " AS varchar(" &amp; Options!$B$49 &amp; "))")</f>
        <v>CAST(wkVehicle AS varchar(150))</v>
      </c>
      <c r="BB2" t="str">
        <f t="shared" ref="BB2:BB33" ca="1" si="23">IF(F2="1",IF(B2="",A2,B2),"")</f>
        <v/>
      </c>
      <c r="BC2" t="str">
        <f ca="1">IF(AZ2="","","COALESCE(" &amp;  AZ2 &amp; "," &amp; IF(C2="string","''",0  ) &amp; ") AS " &amp; A2)</f>
        <v>COALESCE(wkVehicle,0) AS wkVehicle</v>
      </c>
      <c r="BE2" t="str">
        <f t="shared" ref="BE2:BE33" ca="1" si="24">IF(AE2="","","t1." &amp; AE2 &amp; " =  t2." &amp; AE2)</f>
        <v>t1.wkVehicle =  t2.wkVehicle</v>
      </c>
      <c r="BF2" t="str">
        <f t="shared" ref="BF2:BF33" ca="1" si="25">IF(A2="","",IF(I2="1","",B2&amp;" AS "&amp;A2))</f>
        <v>wkVehicle AS wkVehicle</v>
      </c>
      <c r="BG2" t="str">
        <f t="shared" ref="BG2:BG33" ca="1" si="26">IF(AT2="","",AT2 &amp; "=-1")</f>
        <v/>
      </c>
      <c r="BH2" s="285" t="str">
        <f ca="1">IF(G2="",   IF(B2="","","COALESCE(" &amp;  B2 &amp; "," &amp; IF(C2="string","''",0  ) &amp; ") AS " &amp; A2),G2 &amp; " AS " &amp;A2 )</f>
        <v>COALESCE(wkVehicle,0) AS wkVehicle</v>
      </c>
      <c r="BI2" t="str">
        <f t="shared" ref="BI2:BI33" ca="1" si="27">IF(G2="", IF(A2="","",IF(I2="1","", IF(B2="","f." &amp; A2, "f." &amp; B2) &amp;" AS "&amp;A2)),BH2)</f>
        <v>f.wkVehicle AS wkVehicle</v>
      </c>
      <c r="BJ2" t="str">
        <f t="shared" ref="BJ2:BJ33" ca="1" si="28">IF(A2="","",IF(I2="1","-1",IF(C2="string","'missing'","0")))</f>
        <v>0</v>
      </c>
      <c r="BK2" t="str">
        <f ca="1">IF(A2="","", IF(OR(F2="1",E2="4", I2="1",H2="1"),  IF(I2="1","-1",IF(C2="string","'missing'","0")),""))</f>
        <v>0</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f.wkVehicle AS wkVehicle</v>
      </c>
      <c r="BN2" t="str">
        <f ca="1">IF(A2="","",IF(I2="1","",IF(C2&lt;&gt;D2,  IF(AND(D2="string",C2="timestamp"),"cast(from_iso8601_timestamp(" &amp; BO2 &amp; ") as timestamp) AS " &amp; A2, IF(AND(D2="string",C2="date"),"cast( from_iso8601_timestamp(" &amp; BO2 &amp;") as date) AS " &amp; A2,"")),BO2 &amp; " AS " &amp; A2)))</f>
        <v>f.wkVehicle AS wkVehicle</v>
      </c>
      <c r="BO2" t="str">
        <f t="shared" ref="BO2:BO33" ca="1" si="30">IF(G2="", IF(B2="","","f." &amp; B2),G2)</f>
        <v>f.wkVehicle</v>
      </c>
      <c r="BP2" t="b">
        <f ca="1">COUNTIF(COLHELPER!A2:'COLHELPER'!A2,COLHELPER!A2)&gt;1</f>
        <v>0</v>
      </c>
      <c r="BQ2">
        <f t="shared" ref="BQ2:BQ33" ca="1" si="31">IF(BP2=TRUE,1,0)</f>
        <v>0</v>
      </c>
      <c r="BR2" s="290" t="str">
        <f t="shared" ref="BR2:BR3" ca="1" si="32">SUBSTITUTE(IF(M2&lt;&gt;"",A2 &amp; M2,""),"$eq","=")</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t3.wkVehicle = t4.wkVehicle</v>
      </c>
      <c r="BX2" t="str">
        <f t="shared" ref="BX2:BX33" ca="1" si="37">IF(AE2="","", "t3." &amp;AE2 )</f>
        <v>t3.wkVehicle</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&lt;tr&gt;&lt;td&gt;wkVehicle&lt;td&gt;wkVehicle&lt;td&gt;bigint&lt;td&gt;bigint&lt;td&gt;&lt;td&gt;&lt;td&gt;&lt;td&gt;1&lt;td&gt;&lt;td&gt;&lt;td&gt;&lt;/td&gt;&lt;/tr&gt;</v>
      </c>
      <c r="CC2">
        <f t="shared" ref="CC2:CC33" ca="1" si="39">IF(E2="4",1,0)</f>
        <v>0</v>
      </c>
      <c r="CD2" t="str">
        <f ca="1">IF(J2="","",Options!$B$23 &amp; "." &amp; J2)</f>
        <v/>
      </c>
    </row>
    <row r="3" spans="1:82">
      <c r="A3" s="161" t="str">
        <f t="array" aca="1" ref="A3" ca="1">IF(TRIM(INDIRECT("Columns!A3")) ="","",TRIM(INDIRECT("Columns!A3")))</f>
        <v>has_communicated_last_90_days</v>
      </c>
      <c r="B3" s="161" t="str">
        <f t="shared" ca="1" si="0"/>
        <v>1 AS has_communicated_last_90_days</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1</v>
      </c>
      <c r="H3" s="161" t="str">
        <f t="array" aca="1" ref="H3" ca="1">IF(TRIM(INDIRECT("Columns!H3"))="","",TRIM(INDIRECT("Columns!H3")))</f>
        <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7" t="str">
        <f t="array" aca="1" ref="O3" ca="1">IF(TRIM(INDIRECT("Columns!B3"))="","",TRIM(INDIRECT("Columns!B3")))</f>
        <v/>
      </c>
      <c r="P3" s="227" t="str">
        <f t="array" aca="1" ref="P3" ca="1">IF(TRIM(INDIRECT("Columns!C3"))="","",TRIM(INDIRECT("Columns!C3")))</f>
        <v>bigint</v>
      </c>
      <c r="Q3" s="227" t="str">
        <f t="array" aca="1" ref="Q3" ca="1">IF(TRIM(INDIRECT("Columns!D3"))="","",TRIM(INDIRECT("Columns!D3")))</f>
        <v/>
      </c>
      <c r="R3" s="227" t="str">
        <f t="array" aca="1" ref="R3" ca="1">IF(TRIM(INDIRECT("Columns!O3"))="","",TRIM(INDIRECT("Columns!O3")))</f>
        <v/>
      </c>
      <c r="S3" t="str">
        <f t="shared" ca="1" si="3"/>
        <v>has_communicated_last_90_days bigint</v>
      </c>
      <c r="T3" t="str">
        <f t="shared" ca="1" si="4"/>
        <v/>
      </c>
      <c r="U3" t="str">
        <f t="shared" ca="1" si="5"/>
        <v/>
      </c>
      <c r="V3" t="str">
        <f t="shared" ca="1" si="6"/>
        <v>has_communicated_last_90_days bigint</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has_communicated_last_90_days</v>
      </c>
      <c r="AO3" t="str">
        <f ca="1">IF(A3&lt;&gt;"", IF(OR(F3="1",H3="1",I3="1"),""," "&amp; HELPER!$B$94 &amp; "." &amp; A3),"")</f>
        <v xml:space="preserve"> src.has_communicated_last_90_days</v>
      </c>
      <c r="AP3" t="str">
        <f t="shared" ca="1" si="16"/>
        <v>has_communicated_last_90_days =  src.has_communicated_last_90_days</v>
      </c>
      <c r="AS3" t="str">
        <f ca="1">IF(A3="","",  HELPER!$B$94 &amp;  "." &amp; A3)</f>
        <v>src.has_communicated_last_90_days</v>
      </c>
      <c r="AT3" t="str">
        <f t="shared" ca="1" si="17"/>
        <v/>
      </c>
      <c r="AU3" t="str">
        <f t="shared" ca="1" si="18"/>
        <v>src.has_communicated_last_90_days</v>
      </c>
      <c r="AV3" s="190" t="str">
        <f t="shared" ca="1" si="19"/>
        <v/>
      </c>
      <c r="AW3" t="str">
        <f t="shared" ca="1" si="20"/>
        <v/>
      </c>
      <c r="AX3" t="str">
        <f ca="1">IF(J3="","","LEFT JOIN "&amp; Options!$B$23 &amp; "." &amp; J3 &amp; " ON ")</f>
        <v/>
      </c>
      <c r="AY3" t="str">
        <f t="shared" ca="1" si="21"/>
        <v>1 AS has_communicated_last_90_days AS has_communicated_last_90_days</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1 AS has_communicated_last_90_days AS has_communicated_last_90_days</v>
      </c>
      <c r="BG3" t="str">
        <f t="shared" ca="1" si="26"/>
        <v/>
      </c>
      <c r="BH3" s="285" t="str">
        <f t="shared" ref="BH3:BH33" ca="1" si="42">IF(G3="", IF(B3="","","COALESCE(" &amp; B3 &amp; "," &amp; IF(C3="string","''",0 ) &amp; ") AS " &amp; A3),G3 &amp; " AS " &amp;A3 )</f>
        <v>1 AS has_communicated_last_90_days</v>
      </c>
      <c r="BI3" t="str">
        <f t="shared" ca="1" si="27"/>
        <v>1 AS has_communicated_last_90_days</v>
      </c>
      <c r="BJ3" t="str">
        <f t="shared" ca="1" si="28"/>
        <v>0</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1 AS has_communicated_last_90_days</v>
      </c>
      <c r="BN3" t="str">
        <f t="shared" ref="BN3:BN33" ca="1" si="45">IF(A3="","",IF(I3="1","",IF(C3&lt;&gt;D3, IF(AND(D3="string",C3="timestamp"),"cast(from_iso8601_timestamp(" &amp; BO3 &amp; ") as timestamp) AS " &amp; A3, IF(AND(D3="string",C3="date"),"cast( from_iso8601_timestamp(" &amp; BO3 &amp;") as date) AS " &amp; A3,"")),BO3 &amp; " AS " &amp; A3)))</f>
        <v>1 AS has_communicated_last_90_days</v>
      </c>
      <c r="BO3" t="str">
        <f t="shared" ca="1" si="30"/>
        <v>1</v>
      </c>
      <c r="BP3" t="b">
        <f ca="1">COUNTIF(COLHELPER!A3:'COLHELPER'!A3,COLHELPER!A3)&gt;1</f>
        <v>0</v>
      </c>
      <c r="BQ3">
        <f t="shared" ca="1" si="31"/>
        <v>0</v>
      </c>
      <c r="BR3" s="290"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&lt;tr&gt;&lt;td&gt;has_communicated_last_90_days&lt;td&gt;1 AS has_communicated_last_90_days&lt;td&gt;bigint&lt;td&gt;bigint&lt;td&gt;&lt;td&gt;&lt;td&gt;1&lt;td&gt;&lt;td&gt;&lt;td&gt;&lt;td&gt;&lt;/td&gt;&lt;/tr&gt;</v>
      </c>
      <c r="CC3">
        <f t="shared" ca="1" si="39"/>
        <v>0</v>
      </c>
      <c r="CD3" t="str">
        <f ca="1">IF(J3="","",Options!$B$23 &amp; "." &amp; J3)</f>
        <v/>
      </c>
    </row>
    <row r="4" spans="1:82">
      <c r="A4" s="161" t="str">
        <f t="array" aca="1" ref="A4" ca="1">IF(TRIM(INDIRECT("Columns!A4")) ="","",TRIM(INDIRECT("Columns!A4")))</f>
        <v>lake_arrival_date</v>
      </c>
      <c r="B4" s="161" t="str">
        <f t="shared" ca="1" si="0"/>
        <v>lake_arrival_date</v>
      </c>
      <c r="C4" s="161" t="str">
        <f t="shared" ca="1" si="1"/>
        <v>string</v>
      </c>
      <c r="D4" s="161" t="str">
        <f t="shared" ca="1" si="2"/>
        <v>string</v>
      </c>
      <c r="E4" s="161" t="str">
        <f t="array" aca="1" ref="E4" ca="1">IF(TRIM(INDIRECT("Columns!E4"))="","",TRIM(INDIRECT("Columns!E4")))</f>
        <v/>
      </c>
      <c r="F4" s="161" t="str">
        <f t="array" aca="1" ref="F4" ca="1">IF(TRIM(INDIRECT("Columns!G4"))="","",TRIM(INDIRECT("Columns!G4")))</f>
        <v>1</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$eq'[:date_yyyy_mm_dd]'</v>
      </c>
      <c r="N4" s="161" t="str">
        <f t="array" aca="1" ref="N4" ca="1">IF(TRIM(INDIRECT("Columns!N4"))="","",TRIM(INDIRECT("Columns!N4")))</f>
        <v>2023-11-01</v>
      </c>
      <c r="O4" s="227" t="str">
        <f t="array" aca="1" ref="O4" ca="1">IF(TRIM(INDIRECT("Columns!B4"))="","",TRIM(INDIRECT("Columns!B4")))</f>
        <v/>
      </c>
      <c r="P4" s="227" t="str">
        <f t="array" aca="1" ref="P4" ca="1">IF(TRIM(INDIRECT("Columns!C4"))="","",TRIM(INDIRECT("Columns!C4")))</f>
        <v>string</v>
      </c>
      <c r="Q4" s="227" t="str">
        <f t="array" aca="1" ref="Q4" ca="1">IF(TRIM(INDIRECT("Columns!D4"))="","",TRIM(INDIRECT("Columns!D4")))</f>
        <v/>
      </c>
      <c r="R4" s="227" t="str">
        <f t="array" aca="1" ref="R4" ca="1">IF(TRIM(INDIRECT("Columns!O4"))="","",TRIM(INDIRECT("Columns!O4")))</f>
        <v/>
      </c>
      <c r="S4" t="str">
        <f t="shared" ca="1" si="3"/>
        <v>lake_arrival_date string</v>
      </c>
      <c r="T4" t="str">
        <f t="shared" ca="1" si="4"/>
        <v/>
      </c>
      <c r="U4" t="str">
        <f t="shared" ca="1" si="5"/>
        <v/>
      </c>
      <c r="V4" t="str">
        <f t="shared" ca="1" si="6"/>
        <v/>
      </c>
      <c r="W4" t="str">
        <f t="shared" ca="1" si="7"/>
        <v/>
      </c>
      <c r="X4" t="str">
        <f t="shared" ca="1" si="8"/>
        <v/>
      </c>
      <c r="Y4" t="str">
        <f t="shared" ca="1" si="9"/>
        <v>lake_arrival_date string</v>
      </c>
      <c r="Z4" t="str">
        <f t="shared" ca="1" si="40"/>
        <v>lake_arrival_date</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src.lake_arrival_date</v>
      </c>
      <c r="AT4" t="str">
        <f t="shared" ca="1" si="17"/>
        <v/>
      </c>
      <c r="AU4" t="str">
        <f t="shared" ca="1" si="18"/>
        <v>COALESCE(src.lake_arrival_date,'')</v>
      </c>
      <c r="AV4" s="190" t="str">
        <f t="shared" ca="1" si="19"/>
        <v>lake_arrival_date</v>
      </c>
      <c r="AW4" t="str">
        <f t="shared" ca="1" si="20"/>
        <v>COALESCE(src.lake_arrival_date,'')</v>
      </c>
      <c r="AX4" t="str">
        <f ca="1">IF(J4="","","LEFT JOIN "&amp; Options!$B$23 &amp; "." &amp; J4 &amp; " ON ")</f>
        <v/>
      </c>
      <c r="AY4" t="str">
        <f t="shared" ca="1" si="21"/>
        <v>lake_arrival_date AS lake_arrival_date</v>
      </c>
      <c r="AZ4" t="str">
        <f t="shared" ca="1" si="22"/>
        <v/>
      </c>
      <c r="BA4" t="str">
        <f ca="1">IF(AZ4="","", "CAST(" &amp; AZ4 &amp; " AS varchar(" &amp; Options!$B$49 &amp; "))")</f>
        <v/>
      </c>
      <c r="BB4" t="str">
        <f t="shared" ca="1" si="23"/>
        <v>lake_arrival_date</v>
      </c>
      <c r="BC4" t="str">
        <f t="shared" ca="1" si="41"/>
        <v/>
      </c>
      <c r="BE4" t="str">
        <f t="shared" ca="1" si="24"/>
        <v/>
      </c>
      <c r="BF4" t="str">
        <f t="shared" ca="1" si="25"/>
        <v>lake_arrival_date AS lake_arrival_date</v>
      </c>
      <c r="BG4" t="str">
        <f t="shared" ca="1" si="26"/>
        <v/>
      </c>
      <c r="BH4" s="285" t="str">
        <f t="shared" ca="1" si="42"/>
        <v>COALESCE(lake_arrival_date,'') AS lake_arrival_date</v>
      </c>
      <c r="BI4" t="str">
        <f t="shared" ca="1" si="27"/>
        <v>f.lake_arrival_date AS lake_arrival_date</v>
      </c>
      <c r="BJ4" t="str">
        <f t="shared" ca="1" si="28"/>
        <v>'missing'</v>
      </c>
      <c r="BK4" t="str">
        <f t="shared" ca="1" si="43"/>
        <v>'missing'</v>
      </c>
      <c r="BL4" t="str">
        <f t="shared" ca="1" si="29"/>
        <v/>
      </c>
      <c r="BM4" t="str">
        <f t="shared" ca="1" si="44"/>
        <v>f.lake_arrival_date AS lake_arrival_date</v>
      </c>
      <c r="BN4" t="str">
        <f t="shared" ca="1" si="45"/>
        <v>f.lake_arrival_date AS lake_arrival_date</v>
      </c>
      <c r="BO4" t="str">
        <f t="shared" ca="1" si="30"/>
        <v>f.lake_arrival_date</v>
      </c>
      <c r="BP4" t="b">
        <f ca="1">COUNTIF(COLHELPER!A4:'COLHELPER'!A4,COLHELPER!A4)&gt;1</f>
        <v>0</v>
      </c>
      <c r="BQ4">
        <f t="shared" ca="1" si="31"/>
        <v>0</v>
      </c>
      <c r="BR4" s="289" t="str">
        <f ca="1">SUBSTITUTE(IF(M4&lt;&gt;"",A4 &amp; M4,""),"$eq","=")</f>
        <v>lake_arrival_date='[:date_yyyy_mm_dd]'</v>
      </c>
      <c r="BS4" t="str">
        <f t="shared" ca="1" si="33"/>
        <v>lake_arrival_date=[:date_yyyy_mm_dd]</v>
      </c>
      <c r="BT4" t="str">
        <f t="shared" ca="1" si="46"/>
        <v>lake_arrival_date='2023-11-01'</v>
      </c>
      <c r="BU4" t="str">
        <f t="shared" ca="1" si="34"/>
        <v>lake_arrival_date=2023-11-01</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&lt;tr&gt;&lt;td&gt;lake_arrival_date&lt;td&gt;lake_arrival_date&lt;td&gt;string&lt;td&gt;string&lt;td&gt;&lt;td&gt;1&lt;td&gt;&lt;td&gt;&lt;td&gt;&lt;td&gt;&lt;td&gt;&lt;/td&gt;&lt;/tr&gt;</v>
      </c>
      <c r="CC4">
        <f t="shared" ca="1" si="39"/>
        <v>0</v>
      </c>
      <c r="CD4" t="str">
        <f ca="1">IF(J4="","",Options!$B$23 &amp; "." &amp; J4)</f>
        <v/>
      </c>
    </row>
    <row r="5" spans="1:82">
      <c r="A5" s="161" t="str">
        <f t="array" aca="1" ref="A5" ca="1">IF(TRIM(INDIRECT("Columns!A5")) ="","",TRIM(INDIRECT("Columns!A5")))</f>
        <v/>
      </c>
      <c r="B5" s="161" t="str">
        <f t="shared" ca="1" si="0"/>
        <v/>
      </c>
      <c r="C5" s="161" t="str">
        <f t="shared" ca="1" si="1"/>
        <v/>
      </c>
      <c r="D5" s="161" t="str">
        <f t="shared" ca="1" si="2"/>
        <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7" t="str">
        <f t="array" aca="1" ref="O5" ca="1">IF(TRIM(INDIRECT("Columns!B5"))="","",TRIM(INDIRECT("Columns!B5")))</f>
        <v/>
      </c>
      <c r="P5" s="227" t="str">
        <f t="array" aca="1" ref="P5" ca="1">IF(TRIM(INDIRECT("Columns!C5"))="","",TRIM(INDIRECT("Columns!C5")))</f>
        <v/>
      </c>
      <c r="Q5" s="227" t="str">
        <f t="array" aca="1" ref="Q5" ca="1">IF(TRIM(INDIRECT("Columns!D5"))="","",TRIM(INDIRECT("Columns!D5")))</f>
        <v/>
      </c>
      <c r="R5" s="227"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0"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5"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s="290" t="str">
        <f t="shared" ref="BR5:BR68" ca="1" si="48">SUBSTITUTE(IF(M5&lt;&gt;"",A5 &amp; M5,""),"$eq","=")</f>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c r="CD5" t="str">
        <f ca="1">IF(J5="","",Options!$B$23 &amp; "." &amp; J5)</f>
        <v/>
      </c>
    </row>
    <row r="6" spans="1:82">
      <c r="A6" s="161" t="str">
        <f t="array" aca="1" ref="A6" ca="1">IF(TRIM(INDIRECT("Columns!A6")) ="","",TRIM(INDIRECT("Columns!A6")))</f>
        <v/>
      </c>
      <c r="B6" s="161" t="str">
        <f t="shared" ca="1" si="0"/>
        <v/>
      </c>
      <c r="C6" s="161" t="str">
        <f t="shared" ca="1" si="1"/>
        <v/>
      </c>
      <c r="D6" s="161" t="str">
        <f t="shared" ca="1" si="2"/>
        <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7" t="str">
        <f t="array" aca="1" ref="O6" ca="1">IF(TRIM(INDIRECT("Columns!B6"))="","",TRIM(INDIRECT("Columns!B6")))</f>
        <v/>
      </c>
      <c r="P6" s="227" t="str">
        <f t="array" aca="1" ref="P6" ca="1">IF(TRIM(INDIRECT("Columns!C6"))="","",TRIM(INDIRECT("Columns!C6")))</f>
        <v/>
      </c>
      <c r="Q6" s="227" t="str">
        <f t="array" aca="1" ref="Q6" ca="1">IF(TRIM(INDIRECT("Columns!D6"))="","",TRIM(INDIRECT("Columns!D6")))</f>
        <v/>
      </c>
      <c r="R6" s="227"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0"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5"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s="290" t="str">
        <f t="shared" ca="1" si="48"/>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c r="CD6" t="str">
        <f ca="1">IF(J6="","",Options!$B$23 &amp; "." &amp; J6)</f>
        <v/>
      </c>
    </row>
    <row r="7" spans="1:82" ht="14.25" customHeight="1">
      <c r="A7" s="161" t="str">
        <f t="array" aca="1" ref="A7" ca="1">IF(TRIM(INDIRECT("Columns!A7")) ="","",TRIM(INDIRECT("Columns!A7")))</f>
        <v/>
      </c>
      <c r="B7" s="161" t="str">
        <f t="shared" ca="1" si="0"/>
        <v/>
      </c>
      <c r="C7" s="161" t="str">
        <f t="shared" ca="1" si="1"/>
        <v/>
      </c>
      <c r="D7" s="161" t="str">
        <f t="shared" ca="1" si="2"/>
        <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7" t="str">
        <f t="array" aca="1" ref="O7" ca="1">IF(TRIM(INDIRECT("Columns!B7"))="","",TRIM(INDIRECT("Columns!B7")))</f>
        <v/>
      </c>
      <c r="P7" s="227" t="str">
        <f t="array" aca="1" ref="P7" ca="1">IF(TRIM(INDIRECT("Columns!C7"))="","",TRIM(INDIRECT("Columns!C7")))</f>
        <v/>
      </c>
      <c r="Q7" s="227" t="str">
        <f t="array" aca="1" ref="Q7" ca="1">IF(TRIM(INDIRECT("Columns!D7"))="","",TRIM(INDIRECT("Columns!D7")))</f>
        <v/>
      </c>
      <c r="R7" s="227"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0"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5"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s="290" t="str">
        <f t="shared" ca="1" si="48"/>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c r="CD7" t="str">
        <f ca="1">IF(J7="","",Options!$B$23 &amp; "." &amp; J7)</f>
        <v/>
      </c>
    </row>
    <row r="8" spans="1:82">
      <c r="A8" s="161" t="str">
        <f t="array" aca="1" ref="A8" ca="1">IF(TRIM(INDIRECT("Columns!A8")) ="","",TRIM(INDIRECT("Columns!A8")))</f>
        <v/>
      </c>
      <c r="B8" s="161" t="str">
        <f t="shared" ca="1" si="0"/>
        <v/>
      </c>
      <c r="C8" s="161" t="str">
        <f t="shared" ca="1" si="1"/>
        <v/>
      </c>
      <c r="D8" s="161" t="str">
        <f t="shared" ca="1" si="2"/>
        <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7" t="str">
        <f t="array" aca="1" ref="O8" ca="1">IF(TRIM(INDIRECT("Columns!B8"))="","",TRIM(INDIRECT("Columns!B8")))</f>
        <v/>
      </c>
      <c r="P8" s="227" t="str">
        <f t="array" aca="1" ref="P8" ca="1">IF(TRIM(INDIRECT("Columns!C8"))="","",TRIM(INDIRECT("Columns!C8")))</f>
        <v/>
      </c>
      <c r="Q8" s="227" t="str">
        <f t="array" aca="1" ref="Q8" ca="1">IF(TRIM(INDIRECT("Columns!D8"))="","",TRIM(INDIRECT("Columns!D8")))</f>
        <v/>
      </c>
      <c r="R8" s="227"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0"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5"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s="290" t="str">
        <f t="shared" ca="1" si="48"/>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c r="CD8" t="str">
        <f ca="1">IF(J8="","",Options!$B$23 &amp; "." &amp; J8)</f>
        <v/>
      </c>
    </row>
    <row r="9" spans="1:82">
      <c r="A9" s="161" t="str">
        <f t="array" aca="1" ref="A9" ca="1">IF(TRIM(INDIRECT("Columns!A9")) ="","",TRIM(INDIRECT("Columns!A9")))</f>
        <v/>
      </c>
      <c r="B9" s="161" t="str">
        <f t="shared" ca="1" si="0"/>
        <v/>
      </c>
      <c r="C9" s="161" t="str">
        <f t="shared" ca="1" si="1"/>
        <v/>
      </c>
      <c r="D9" s="161" t="str">
        <f t="shared" ca="1" si="2"/>
        <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7" t="str">
        <f t="array" aca="1" ref="O9" ca="1">IF(TRIM(INDIRECT("Columns!B9"))="","",TRIM(INDIRECT("Columns!B9")))</f>
        <v/>
      </c>
      <c r="P9" s="227" t="str">
        <f t="array" aca="1" ref="P9" ca="1">IF(TRIM(INDIRECT("Columns!C9"))="","",TRIM(INDIRECT("Columns!C9")))</f>
        <v/>
      </c>
      <c r="Q9" s="227" t="str">
        <f t="array" aca="1" ref="Q9" ca="1">IF(TRIM(INDIRECT("Columns!D9"))="","",TRIM(INDIRECT("Columns!D9")))</f>
        <v/>
      </c>
      <c r="R9" s="227"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0"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5"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s="290" t="str">
        <f t="shared" ca="1" si="48"/>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c r="CD9" t="str">
        <f ca="1">IF(J9="","",Options!$B$23 &amp; "." &amp; J9)</f>
        <v/>
      </c>
    </row>
    <row r="10" spans="1:82">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7" t="str">
        <f t="array" aca="1" ref="O10" ca="1">IF(TRIM(INDIRECT("Columns!B10"))="","",TRIM(INDIRECT("Columns!B10")))</f>
        <v/>
      </c>
      <c r="P10" s="227" t="str">
        <f t="array" aca="1" ref="P10" ca="1">IF(TRIM(INDIRECT("Columns!C10"))="","",TRIM(INDIRECT("Columns!C10")))</f>
        <v/>
      </c>
      <c r="Q10" s="227" t="str">
        <f t="array" aca="1" ref="Q10" ca="1">IF(TRIM(INDIRECT("Columns!D10"))="","",TRIM(INDIRECT("Columns!D10")))</f>
        <v/>
      </c>
      <c r="R10" s="227"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0"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5"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s="290" t="str">
        <f t="shared" ca="1" si="48"/>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c r="CD10" t="str">
        <f ca="1">IF(J10="","",Options!$B$23 &amp; "." &amp; J10)</f>
        <v/>
      </c>
    </row>
    <row r="11" spans="1:82">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7" t="str">
        <f t="array" aca="1" ref="O11" ca="1">IF(TRIM(INDIRECT("Columns!B11"))="","",TRIM(INDIRECT("Columns!B11")))</f>
        <v/>
      </c>
      <c r="P11" s="227" t="str">
        <f t="array" aca="1" ref="P11" ca="1">IF(TRIM(INDIRECT("Columns!C11"))="","",TRIM(INDIRECT("Columns!C11")))</f>
        <v/>
      </c>
      <c r="Q11" s="227" t="str">
        <f t="array" aca="1" ref="Q11" ca="1">IF(TRIM(INDIRECT("Columns!D11"))="","",TRIM(INDIRECT("Columns!D11")))</f>
        <v/>
      </c>
      <c r="R11" s="227"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0"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5"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s="290" t="str">
        <f t="shared" ca="1" si="48"/>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c r="CD11" t="str">
        <f ca="1">IF(J11="","",Options!$B$23 &amp; "." &amp; J11)</f>
        <v/>
      </c>
    </row>
    <row r="12" spans="1:82">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7" t="str">
        <f t="array" aca="1" ref="O12" ca="1">IF(TRIM(INDIRECT("Columns!B12"))="","",TRIM(INDIRECT("Columns!B12")))</f>
        <v/>
      </c>
      <c r="P12" s="227" t="str">
        <f t="array" aca="1" ref="P12" ca="1">IF(TRIM(INDIRECT("Columns!C12"))="","",TRIM(INDIRECT("Columns!C12")))</f>
        <v/>
      </c>
      <c r="Q12" s="227" t="str">
        <f t="array" aca="1" ref="Q12" ca="1">IF(TRIM(INDIRECT("Columns!D12"))="","",TRIM(INDIRECT("Columns!D12")))</f>
        <v/>
      </c>
      <c r="R12" s="227"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0"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5"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s="290" t="str">
        <f t="shared" ca="1" si="48"/>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c r="CD12" t="str">
        <f ca="1">IF(J12="","",Options!$B$23 &amp; "." &amp; J12)</f>
        <v/>
      </c>
    </row>
    <row r="13" spans="1:82">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7" t="str">
        <f t="array" aca="1" ref="O13" ca="1">IF(TRIM(INDIRECT("Columns!B13"))="","",TRIM(INDIRECT("Columns!B13")))</f>
        <v/>
      </c>
      <c r="P13" s="227" t="str">
        <f t="array" aca="1" ref="P13" ca="1">IF(TRIM(INDIRECT("Columns!C13"))="","",TRIM(INDIRECT("Columns!C13")))</f>
        <v/>
      </c>
      <c r="Q13" s="227" t="str">
        <f t="array" aca="1" ref="Q13" ca="1">IF(TRIM(INDIRECT("Columns!D13"))="","",TRIM(INDIRECT("Columns!D13")))</f>
        <v/>
      </c>
      <c r="R13" s="227"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0"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5"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s="290" t="str">
        <f t="shared" ca="1" si="48"/>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c r="CD13" t="str">
        <f ca="1">IF(J13="","",Options!$B$23 &amp; "." &amp; J13)</f>
        <v/>
      </c>
    </row>
    <row r="14" spans="1:82">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7" t="str">
        <f t="array" aca="1" ref="O14" ca="1">IF(TRIM(INDIRECT("Columns!B14"))="","",TRIM(INDIRECT("Columns!B14")))</f>
        <v/>
      </c>
      <c r="P14" s="227" t="str">
        <f t="array" aca="1" ref="P14" ca="1">IF(TRIM(INDIRECT("Columns!C14"))="","",TRIM(INDIRECT("Columns!C14")))</f>
        <v/>
      </c>
      <c r="Q14" s="227" t="str">
        <f t="array" aca="1" ref="Q14" ca="1">IF(TRIM(INDIRECT("Columns!D14"))="","",TRIM(INDIRECT("Columns!D14")))</f>
        <v/>
      </c>
      <c r="R14" s="227"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0"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5"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s="290" t="str">
        <f t="shared" ca="1" si="48"/>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c r="CD14" t="str">
        <f ca="1">IF(J14="","",Options!$B$23 &amp; "." &amp; J14)</f>
        <v/>
      </c>
    </row>
    <row r="15" spans="1:82">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7" t="str">
        <f t="array" aca="1" ref="O15" ca="1">IF(TRIM(INDIRECT("Columns!B15"))="","",TRIM(INDIRECT("Columns!B15")))</f>
        <v/>
      </c>
      <c r="P15" s="227" t="str">
        <f t="array" aca="1" ref="P15" ca="1">IF(TRIM(INDIRECT("Columns!C15"))="","",TRIM(INDIRECT("Columns!C15")))</f>
        <v/>
      </c>
      <c r="Q15" s="227" t="str">
        <f t="array" aca="1" ref="Q15" ca="1">IF(TRIM(INDIRECT("Columns!D15"))="","",TRIM(INDIRECT("Columns!D15")))</f>
        <v/>
      </c>
      <c r="R15" s="227"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0"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5"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s="290" t="str">
        <f t="shared" ca="1" si="48"/>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c r="CD15" t="str">
        <f ca="1">IF(J15="","",Options!$B$23 &amp; "." &amp; J15)</f>
        <v/>
      </c>
    </row>
    <row r="16" spans="1:82">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7" t="str">
        <f t="array" aca="1" ref="O16" ca="1">IF(TRIM(INDIRECT("Columns!B16"))="","",TRIM(INDIRECT("Columns!B16")))</f>
        <v/>
      </c>
      <c r="P16" s="227" t="str">
        <f t="array" aca="1" ref="P16" ca="1">IF(TRIM(INDIRECT("Columns!C16"))="","",TRIM(INDIRECT("Columns!C16")))</f>
        <v/>
      </c>
      <c r="Q16" s="227" t="str">
        <f t="array" aca="1" ref="Q16" ca="1">IF(TRIM(INDIRECT("Columns!D16"))="","",TRIM(INDIRECT("Columns!D16")))</f>
        <v/>
      </c>
      <c r="R16" s="227"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0"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5"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s="290" t="str">
        <f t="shared" ca="1" si="48"/>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c r="CD16" t="str">
        <f ca="1">IF(J16="","",Options!$B$23 &amp; "." &amp; J16)</f>
        <v/>
      </c>
    </row>
    <row r="17" spans="1:82">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7" t="str">
        <f t="array" aca="1" ref="O17" ca="1">IF(TRIM(INDIRECT("Columns!B17"))="","",TRIM(INDIRECT("Columns!B17")))</f>
        <v/>
      </c>
      <c r="P17" s="227" t="str">
        <f t="array" aca="1" ref="P17" ca="1">IF(TRIM(INDIRECT("Columns!C17"))="","",TRIM(INDIRECT("Columns!C17")))</f>
        <v/>
      </c>
      <c r="Q17" s="227" t="str">
        <f t="array" aca="1" ref="Q17" ca="1">IF(TRIM(INDIRECT("Columns!D17"))="","",TRIM(INDIRECT("Columns!D17")))</f>
        <v/>
      </c>
      <c r="R17" s="227"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0"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5"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s="290" t="str">
        <f t="shared" ca="1" si="48"/>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c r="CD17" t="str">
        <f ca="1">IF(J17="","",Options!$B$23 &amp; "." &amp; J17)</f>
        <v/>
      </c>
    </row>
    <row r="18" spans="1:82">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7" t="str">
        <f t="array" aca="1" ref="O18" ca="1">IF(TRIM(INDIRECT("Columns!B18"))="","",TRIM(INDIRECT("Columns!B18")))</f>
        <v/>
      </c>
      <c r="P18" s="227" t="str">
        <f t="array" aca="1" ref="P18" ca="1">IF(TRIM(INDIRECT("Columns!C18"))="","",TRIM(INDIRECT("Columns!C18")))</f>
        <v/>
      </c>
      <c r="Q18" s="227" t="str">
        <f t="array" aca="1" ref="Q18" ca="1">IF(TRIM(INDIRECT("Columns!D18"))="","",TRIM(INDIRECT("Columns!D18")))</f>
        <v/>
      </c>
      <c r="R18" s="227"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0"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5"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s="290" t="str">
        <f t="shared" ca="1" si="48"/>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c r="CD18" t="str">
        <f ca="1">IF(J18="","",Options!$B$23 &amp; "." &amp; J18)</f>
        <v/>
      </c>
    </row>
    <row r="19" spans="1:82">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7" t="str">
        <f t="array" aca="1" ref="O19" ca="1">IF(TRIM(INDIRECT("Columns!B19"))="","",TRIM(INDIRECT("Columns!B19")))</f>
        <v/>
      </c>
      <c r="P19" s="227" t="str">
        <f t="array" aca="1" ref="P19" ca="1">IF(TRIM(INDIRECT("Columns!C19"))="","",TRIM(INDIRECT("Columns!C19")))</f>
        <v/>
      </c>
      <c r="Q19" s="227" t="str">
        <f t="array" aca="1" ref="Q19" ca="1">IF(TRIM(INDIRECT("Columns!D19"))="","",TRIM(INDIRECT("Columns!D19")))</f>
        <v/>
      </c>
      <c r="R19" s="227"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0"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5"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s="290" t="str">
        <f t="shared" ca="1" si="48"/>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c r="CD19" t="str">
        <f ca="1">IF(J19="","",Options!$B$23 &amp; "." &amp; J19)</f>
        <v/>
      </c>
    </row>
    <row r="20" spans="1:82">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7" t="str">
        <f t="array" aca="1" ref="O20" ca="1">IF(TRIM(INDIRECT("Columns!B20"))="","",TRIM(INDIRECT("Columns!B20")))</f>
        <v/>
      </c>
      <c r="P20" s="227" t="str">
        <f t="array" aca="1" ref="P20" ca="1">IF(TRIM(INDIRECT("Columns!C20"))="","",TRIM(INDIRECT("Columns!C20")))</f>
        <v/>
      </c>
      <c r="Q20" s="227" t="str">
        <f t="array" aca="1" ref="Q20" ca="1">IF(TRIM(INDIRECT("Columns!D20"))="","",TRIM(INDIRECT("Columns!D20")))</f>
        <v/>
      </c>
      <c r="R20" s="227"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0"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5"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s="290" t="str">
        <f t="shared" ca="1" si="48"/>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c r="CD20" t="str">
        <f ca="1">IF(J20="","",Options!$B$23 &amp; "." &amp; J20)</f>
        <v/>
      </c>
    </row>
    <row r="21" spans="1:82">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7" t="str">
        <f t="array" aca="1" ref="O21" ca="1">IF(TRIM(INDIRECT("Columns!B21"))="","",TRIM(INDIRECT("Columns!B21")))</f>
        <v/>
      </c>
      <c r="P21" s="227" t="str">
        <f t="array" aca="1" ref="P21" ca="1">IF(TRIM(INDIRECT("Columns!C21"))="","",TRIM(INDIRECT("Columns!C21")))</f>
        <v/>
      </c>
      <c r="Q21" s="227" t="str">
        <f t="array" aca="1" ref="Q21" ca="1">IF(TRIM(INDIRECT("Columns!D21"))="","",TRIM(INDIRECT("Columns!D21")))</f>
        <v/>
      </c>
      <c r="R21" s="227"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0"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5"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s="290" t="str">
        <f t="shared" ca="1" si="48"/>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c r="CD21" t="str">
        <f ca="1">IF(J21="","",Options!$B$23 &amp; "." &amp; J21)</f>
        <v/>
      </c>
    </row>
    <row r="22" spans="1:82">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7" t="str">
        <f t="array" aca="1" ref="O22" ca="1">IF(TRIM(INDIRECT("Columns!B22"))="","",TRIM(INDIRECT("Columns!B22")))</f>
        <v/>
      </c>
      <c r="P22" s="227" t="str">
        <f t="array" aca="1" ref="P22" ca="1">IF(TRIM(INDIRECT("Columns!C22"))="","",TRIM(INDIRECT("Columns!C22")))</f>
        <v/>
      </c>
      <c r="Q22" s="227" t="str">
        <f t="array" aca="1" ref="Q22" ca="1">IF(TRIM(INDIRECT("Columns!D22"))="","",TRIM(INDIRECT("Columns!D22")))</f>
        <v/>
      </c>
      <c r="R22" s="227"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0"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5"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s="290" t="str">
        <f t="shared" ca="1" si="48"/>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c r="CD22" t="str">
        <f ca="1">IF(J22="","",Options!$B$23 &amp; "." &amp; J22)</f>
        <v/>
      </c>
    </row>
    <row r="23" spans="1:82">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7" t="str">
        <f t="array" aca="1" ref="O23" ca="1">IF(TRIM(INDIRECT("Columns!B23"))="","",TRIM(INDIRECT("Columns!B23")))</f>
        <v/>
      </c>
      <c r="P23" s="227" t="str">
        <f t="array" aca="1" ref="P23" ca="1">IF(TRIM(INDIRECT("Columns!C23"))="","",TRIM(INDIRECT("Columns!C23")))</f>
        <v/>
      </c>
      <c r="Q23" s="227" t="str">
        <f t="array" aca="1" ref="Q23" ca="1">IF(TRIM(INDIRECT("Columns!D23"))="","",TRIM(INDIRECT("Columns!D23")))</f>
        <v/>
      </c>
      <c r="R23" s="227"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0"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5"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s="290" t="str">
        <f t="shared" ca="1" si="48"/>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c r="CD23" t="str">
        <f ca="1">IF(J23="","",Options!$B$23 &amp; "." &amp; J23)</f>
        <v/>
      </c>
    </row>
    <row r="24" spans="1:82">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7" t="str">
        <f t="array" aca="1" ref="O24" ca="1">IF(TRIM(INDIRECT("Columns!B24"))="","",TRIM(INDIRECT("Columns!B24")))</f>
        <v/>
      </c>
      <c r="P24" s="227" t="str">
        <f t="array" aca="1" ref="P24" ca="1">IF(TRIM(INDIRECT("Columns!C24"))="","",TRIM(INDIRECT("Columns!C24")))</f>
        <v/>
      </c>
      <c r="Q24" s="227" t="str">
        <f t="array" aca="1" ref="Q24" ca="1">IF(TRIM(INDIRECT("Columns!D24"))="","",TRIM(INDIRECT("Columns!D24")))</f>
        <v/>
      </c>
      <c r="R24" s="227"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0"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5"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s="290" t="str">
        <f t="shared" ca="1" si="48"/>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c r="CD24" t="str">
        <f ca="1">IF(J24="","",Options!$B$23 &amp; "." &amp; J24)</f>
        <v/>
      </c>
    </row>
    <row r="25" spans="1:82">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7" t="str">
        <f t="array" aca="1" ref="O25" ca="1">IF(TRIM(INDIRECT("Columns!B25"))="","",TRIM(INDIRECT("Columns!B25")))</f>
        <v/>
      </c>
      <c r="P25" s="227" t="str">
        <f t="array" aca="1" ref="P25" ca="1">IF(TRIM(INDIRECT("Columns!C25"))="","",TRIM(INDIRECT("Columns!C25")))</f>
        <v/>
      </c>
      <c r="Q25" s="227" t="str">
        <f t="array" aca="1" ref="Q25" ca="1">IF(TRIM(INDIRECT("Columns!D25"))="","",TRIM(INDIRECT("Columns!D25")))</f>
        <v/>
      </c>
      <c r="R25" s="227"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0"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5"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s="290" t="str">
        <f t="shared" ca="1" si="48"/>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c r="CD25" t="str">
        <f ca="1">IF(J25="","",Options!$B$23 &amp; "." &amp; J25)</f>
        <v/>
      </c>
    </row>
    <row r="26" spans="1:82">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7" t="str">
        <f t="array" aca="1" ref="O26" ca="1">IF(TRIM(INDIRECT("Columns!B26"))="","",TRIM(INDIRECT("Columns!B26")))</f>
        <v/>
      </c>
      <c r="P26" s="227" t="str">
        <f t="array" aca="1" ref="P26" ca="1">IF(TRIM(INDIRECT("Columns!C26"))="","",TRIM(INDIRECT("Columns!C26")))</f>
        <v/>
      </c>
      <c r="Q26" s="227" t="str">
        <f t="array" aca="1" ref="Q26" ca="1">IF(TRIM(INDIRECT("Columns!D26"))="","",TRIM(INDIRECT("Columns!D26")))</f>
        <v/>
      </c>
      <c r="R26" s="227"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0"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5"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s="290" t="str">
        <f t="shared" ca="1" si="48"/>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c r="CD26" t="str">
        <f ca="1">IF(J26="","",Options!$B$23 &amp; "." &amp; J26)</f>
        <v/>
      </c>
    </row>
    <row r="27" spans="1:82">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7" t="str">
        <f t="array" aca="1" ref="O27" ca="1">IF(TRIM(INDIRECT("Columns!B27"))="","",TRIM(INDIRECT("Columns!B27")))</f>
        <v/>
      </c>
      <c r="P27" s="227" t="str">
        <f t="array" aca="1" ref="P27" ca="1">IF(TRIM(INDIRECT("Columns!C27"))="","",TRIM(INDIRECT("Columns!C27")))</f>
        <v/>
      </c>
      <c r="Q27" s="227" t="str">
        <f t="array" aca="1" ref="Q27" ca="1">IF(TRIM(INDIRECT("Columns!D27"))="","",TRIM(INDIRECT("Columns!D27")))</f>
        <v/>
      </c>
      <c r="R27" s="227"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0"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5"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s="290" t="str">
        <f t="shared" ca="1" si="48"/>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c r="CD27" t="str">
        <f ca="1">IF(J27="","",Options!$B$23 &amp; "." &amp; J27)</f>
        <v/>
      </c>
    </row>
    <row r="28" spans="1:82">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7" t="str">
        <f t="array" aca="1" ref="O28" ca="1">IF(TRIM(INDIRECT("Columns!B28"))="","",TRIM(INDIRECT("Columns!B28")))</f>
        <v/>
      </c>
      <c r="P28" s="227" t="str">
        <f t="array" aca="1" ref="P28" ca="1">IF(TRIM(INDIRECT("Columns!C28"))="","",TRIM(INDIRECT("Columns!C28")))</f>
        <v/>
      </c>
      <c r="Q28" s="227" t="str">
        <f t="array" aca="1" ref="Q28" ca="1">IF(TRIM(INDIRECT("Columns!D28"))="","",TRIM(INDIRECT("Columns!D28")))</f>
        <v/>
      </c>
      <c r="R28" s="227"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0"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5"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s="290" t="str">
        <f t="shared" ca="1" si="48"/>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c r="CD28" t="str">
        <f ca="1">IF(J28="","",Options!$B$23 &amp; "." &amp; J28)</f>
        <v/>
      </c>
    </row>
    <row r="29" spans="1:82">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7" t="str">
        <f t="array" aca="1" ref="O29" ca="1">IF(TRIM(INDIRECT("Columns!B29"))="","",TRIM(INDIRECT("Columns!B29")))</f>
        <v/>
      </c>
      <c r="P29" s="227" t="str">
        <f t="array" aca="1" ref="P29" ca="1">IF(TRIM(INDIRECT("Columns!C29"))="","",TRIM(INDIRECT("Columns!C29")))</f>
        <v/>
      </c>
      <c r="Q29" s="227" t="str">
        <f t="array" aca="1" ref="Q29" ca="1">IF(TRIM(INDIRECT("Columns!D29"))="","",TRIM(INDIRECT("Columns!D29")))</f>
        <v/>
      </c>
      <c r="R29" s="227"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0"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5"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s="290" t="str">
        <f t="shared" ca="1" si="48"/>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c r="CD29" t="str">
        <f ca="1">IF(J29="","",Options!$B$23 &amp; "." &amp; J29)</f>
        <v/>
      </c>
    </row>
    <row r="30" spans="1:82">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7" t="str">
        <f t="array" aca="1" ref="O30" ca="1">IF(TRIM(INDIRECT("Columns!B30"))="","",TRIM(INDIRECT("Columns!B30")))</f>
        <v/>
      </c>
      <c r="P30" s="227" t="str">
        <f t="array" aca="1" ref="P30" ca="1">IF(TRIM(INDIRECT("Columns!C30"))="","",TRIM(INDIRECT("Columns!C30")))</f>
        <v/>
      </c>
      <c r="Q30" s="227" t="str">
        <f t="array" aca="1" ref="Q30" ca="1">IF(TRIM(INDIRECT("Columns!D30"))="","",TRIM(INDIRECT("Columns!D30")))</f>
        <v/>
      </c>
      <c r="R30" s="227"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0"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5"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s="290" t="str">
        <f t="shared" ca="1" si="48"/>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c r="CD30" t="str">
        <f ca="1">IF(J30="","",Options!$B$23 &amp; "." &amp; J30)</f>
        <v/>
      </c>
    </row>
    <row r="31" spans="1:82">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7" t="str">
        <f t="array" aca="1" ref="O31" ca="1">IF(TRIM(INDIRECT("Columns!B31"))="","",TRIM(INDIRECT("Columns!B31")))</f>
        <v/>
      </c>
      <c r="P31" s="227" t="str">
        <f t="array" aca="1" ref="P31" ca="1">IF(TRIM(INDIRECT("Columns!C31"))="","",TRIM(INDIRECT("Columns!C31")))</f>
        <v/>
      </c>
      <c r="Q31" s="227" t="str">
        <f t="array" aca="1" ref="Q31" ca="1">IF(TRIM(INDIRECT("Columns!D31"))="","",TRIM(INDIRECT("Columns!D31")))</f>
        <v/>
      </c>
      <c r="R31" s="227"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0"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5"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s="290" t="str">
        <f t="shared" ca="1" si="48"/>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c r="CD31" t="str">
        <f ca="1">IF(J31="","",Options!$B$23 &amp; "." &amp; J31)</f>
        <v/>
      </c>
    </row>
    <row r="32" spans="1:82">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7" t="str">
        <f t="array" aca="1" ref="O32" ca="1">IF(TRIM(INDIRECT("Columns!B32"))="","",TRIM(INDIRECT("Columns!B32")))</f>
        <v/>
      </c>
      <c r="P32" s="227" t="str">
        <f t="array" aca="1" ref="P32" ca="1">IF(TRIM(INDIRECT("Columns!C32"))="","",TRIM(INDIRECT("Columns!C32")))</f>
        <v/>
      </c>
      <c r="Q32" s="227" t="str">
        <f t="array" aca="1" ref="Q32" ca="1">IF(TRIM(INDIRECT("Columns!D32"))="","",TRIM(INDIRECT("Columns!D32")))</f>
        <v/>
      </c>
      <c r="R32" s="227"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0"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5"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s="290" t="str">
        <f t="shared" ca="1" si="48"/>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c r="CD32" t="str">
        <f ca="1">IF(J32="","",Options!$B$23 &amp; "." &amp; J32)</f>
        <v/>
      </c>
    </row>
    <row r="33" spans="1:82">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7" t="str">
        <f t="array" aca="1" ref="O33" ca="1">IF(TRIM(INDIRECT("Columns!B33"))="","",TRIM(INDIRECT("Columns!B33")))</f>
        <v/>
      </c>
      <c r="P33" s="227" t="str">
        <f t="array" aca="1" ref="P33" ca="1">IF(TRIM(INDIRECT("Columns!C33"))="","",TRIM(INDIRECT("Columns!C33")))</f>
        <v/>
      </c>
      <c r="Q33" s="227" t="str">
        <f t="array" aca="1" ref="Q33" ca="1">IF(TRIM(INDIRECT("Columns!D33"))="","",TRIM(INDIRECT("Columns!D33")))</f>
        <v/>
      </c>
      <c r="R33" s="227"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0"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5"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s="290" t="str">
        <f t="shared" ca="1" si="48"/>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c r="CD33" t="str">
        <f ca="1">IF(J33="","",Options!$B$23 &amp; "." &amp; J33)</f>
        <v/>
      </c>
    </row>
    <row r="34" spans="1:82">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7" t="str">
        <f t="array" aca="1" ref="O34" ca="1">IF(TRIM(INDIRECT("Columns!B34"))="","",TRIM(INDIRECT("Columns!B34")))</f>
        <v/>
      </c>
      <c r="P34" s="227" t="str">
        <f t="array" aca="1" ref="P34" ca="1">IF(TRIM(INDIRECT("Columns!C34"))="","",TRIM(INDIRECT("Columns!C34")))</f>
        <v/>
      </c>
      <c r="Q34" s="227" t="str">
        <f t="array" aca="1" ref="Q34" ca="1">IF(TRIM(INDIRECT("Columns!D34"))="","",TRIM(INDIRECT("Columns!D34")))</f>
        <v/>
      </c>
      <c r="R34" s="227" t="str">
        <f t="array" aca="1" ref="R34" ca="1">IF(TRIM(INDIRECT("Columns!O34"))="","",TRIM(INDIRECT("Columns!O34")))</f>
        <v/>
      </c>
      <c r="S34" t="str">
        <f t="shared" ref="S34:S65" ca="1" si="52">IF(A34="","",A34 &amp; " " &amp; IF(C34="array&lt;varchar&gt;","array&lt;string&gt;",C34))</f>
        <v/>
      </c>
      <c r="T34" t="str">
        <f t="shared" ref="T34:T65" ca="1" si="53">IF(AND(H34="1",I34=""),B34,"")</f>
        <v/>
      </c>
      <c r="U34" t="str">
        <f t="shared" ref="U34:U65" ca="1" si="54">IF(AND(H34="1",I34=""),IF(G34="",B34,A34),"")</f>
        <v/>
      </c>
      <c r="V34" t="str">
        <f t="shared" ref="V34:V65" ca="1" si="55">IF(A34="","",IF(F34&lt;&gt;"1",S34,""))</f>
        <v/>
      </c>
      <c r="W34" t="str">
        <f t="shared" ref="W34:W65" ca="1" si="56">IF(I34="1",A34&amp;"_history bigint",IF(OR(E34="4"),S34,""))</f>
        <v/>
      </c>
      <c r="X34" t="str">
        <f t="shared" ref="X34:X65" ca="1" si="57">IF(I34="1",A34&amp;"_history",IF(OR(E34="4"),A34,""))</f>
        <v/>
      </c>
      <c r="Y34" t="str">
        <f t="shared" ref="Y34:Y65" ca="1" si="58">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9">IF(H34="1",A34,"")</f>
        <v/>
      </c>
      <c r="AF34" t="str">
        <f ca="1">IF(AE34&lt;&gt;"", HELPER!$B$93 &amp;  "." &amp; AE34,"")</f>
        <v/>
      </c>
      <c r="AG34" t="str">
        <f ca="1">IF(AE34&lt;&gt;"", HELPER!$B$94 &amp; "." &amp; AE34,"")</f>
        <v/>
      </c>
      <c r="AI34" t="str">
        <f t="shared" ref="AI34:AI65" ca="1" si="60">IF(E34="4","d." &amp; A34 &amp; " = m." &amp; A34,"")</f>
        <v/>
      </c>
      <c r="AJ34" t="str">
        <f t="shared" ref="AJ34:AJ65" ca="1" si="61">IF(E34="4", A34,"")</f>
        <v/>
      </c>
      <c r="AK34" t="str">
        <f ca="1">IF(E34="4", HELPER!$B$94 &amp;  "." &amp; A34,"")</f>
        <v/>
      </c>
      <c r="AL34" t="str">
        <f ca="1">IF(E34="4", HELPER!$B$93 &amp;  "." &amp; A34,"")</f>
        <v/>
      </c>
      <c r="AM34" t="str">
        <f t="shared" ref="AM34:AM65" ca="1" si="62">IF(E34="4",AL34&amp;" = "&amp;AU34,"")</f>
        <v/>
      </c>
      <c r="AN34" t="str">
        <f t="shared" ref="AN34:AN65" ca="1" si="63">IF(A34="","", IF(OR(F34="1",H34="1",I34="1"),"", A34))</f>
        <v/>
      </c>
      <c r="AO34" t="str">
        <f ca="1">IF(A34&lt;&gt;"", IF(OR(F34="1",H34="1",I34="1"),""," "&amp; HELPER!$B$94 &amp; "." &amp; A34),"")</f>
        <v/>
      </c>
      <c r="AP34" t="str">
        <f t="shared" ref="AP34:AP65" ca="1" si="64">IF(A34="","", IF(E34="2","", IF(AN34="","",AN34 &amp; " = " &amp; AO34)))</f>
        <v/>
      </c>
      <c r="AQ34" t="str">
        <f t="shared" ca="1" si="47"/>
        <v/>
      </c>
      <c r="AS34" t="str">
        <f ca="1">IF(A34="","",  HELPER!$B$94 &amp;  "." &amp; A34)</f>
        <v/>
      </c>
      <c r="AT34" t="str">
        <f t="shared" ref="AT34:AT65" ca="1" si="65">IF(I34="1",A34,"")</f>
        <v/>
      </c>
      <c r="AU34" t="str">
        <f t="shared" ref="AU34:AU65" ca="1" si="66">IF(C34="string","COALESCE(" &amp; AS34 &amp; ",'')",AS34)</f>
        <v/>
      </c>
      <c r="AV34" s="190" t="str">
        <f t="shared" ref="AV34:AV65" ca="1" si="67">IF(OR(H34="1",I34="1",E34="4",F34="1"),A34,"")</f>
        <v/>
      </c>
      <c r="AW34" t="str">
        <f t="shared" ref="AW34:AW65" ca="1" si="68">IF(OR(H34="1",I34="1",E34="4",F34="1"),AU34,"")</f>
        <v/>
      </c>
      <c r="AY34" t="str">
        <f t="shared" ref="AY34:AY65" ca="1" si="69">IF(A34="","",IF(I34="1","", IF(B34="",A34, B34) &amp;" AS "&amp;A34))</f>
        <v/>
      </c>
      <c r="AZ34" t="str">
        <f t="shared" ref="AZ34:AZ50" ca="1" si="70">IF(I34="1","",IF(H34="1",IF(B34="",A34,B34),""))</f>
        <v/>
      </c>
      <c r="BA34" t="str">
        <f ca="1">IF(AZ34="","", "CAST(" &amp; AZ34 &amp; " AS varchar(" &amp; Options!$B$49 &amp; "))")</f>
        <v/>
      </c>
      <c r="BB34" t="str">
        <f t="shared" ref="BB34:BB50" ca="1" si="71">IF(F34="1",IF(B34="",A34,B34),"")</f>
        <v/>
      </c>
      <c r="BC34" t="str">
        <f ca="1">IF(AZ34="","","COALESCE(" &amp;  AZ34 &amp; "," &amp; IF(C34="string","''",0  ) &amp; ") AS " &amp; A34)</f>
        <v/>
      </c>
      <c r="BE34" t="str">
        <f t="shared" ref="BE34:BE50" ca="1" si="72">IF(AE34="","","t1." &amp; AE34 &amp; " =  t2." &amp; AE34)</f>
        <v/>
      </c>
      <c r="BF34" t="str">
        <f t="shared" ref="BF34:BF65" ca="1" si="73">IF(A34="","",IF(I34="1","",B34&amp;" AS "&amp;A34))</f>
        <v/>
      </c>
      <c r="BG34" t="str">
        <f t="shared" ref="BG34:BG50" ca="1" si="74">IF(AT34="","",AT34 &amp; "=-1")</f>
        <v/>
      </c>
      <c r="BH34" s="285" t="str">
        <f ca="1">IF(G34="",   IF(B34="","","COALESCE(" &amp;  B34 &amp; "," &amp; IF(C34="string","''",0  ) &amp; ") AS " &amp; A34),G34 &amp; " AS " &amp;A34 )</f>
        <v/>
      </c>
      <c r="BI34" t="str">
        <f t="shared" ref="BI34:BI65" ca="1" si="75">IF(G34="", IF(A34="","",IF(I34="1","", IF(B34="","f." &amp; A34, "f." &amp; B34) &amp;" AS "&amp;A34)),BH34)</f>
        <v/>
      </c>
      <c r="BJ34" t="str">
        <f t="shared" ref="BJ34:BJ65" ca="1" si="76">IF(A34="","",IF(I34="1","-1",IF(C34="string","'missing'","0")))</f>
        <v/>
      </c>
      <c r="BK34" t="str">
        <f ca="1">IF(A34="","", IF(OR(F34="1",E34="4", I34="1",H34="1"),  IF(I34="1","-1",IF(C34="string","'missing'","0")),""))</f>
        <v/>
      </c>
      <c r="BL34" t="str">
        <f t="shared" ref="BL34:BL50" ca="1" si="77">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8">IF(G34="", IF(B34="","","f." &amp; B34),G34)</f>
        <v/>
      </c>
      <c r="BP34" t="b">
        <f ca="1">COUNTIF(COLHELPER!A34:'COLHELPER'!A34,COLHELPER!A34)&gt;1</f>
        <v>0</v>
      </c>
      <c r="BQ34">
        <f t="shared" ref="BQ34:BQ65" ca="1" si="79">IF(BP34=TRUE,1,0)</f>
        <v>0</v>
      </c>
      <c r="BR34" s="290" t="str">
        <f t="shared" ca="1" si="48"/>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c r="CD34" t="str">
        <f ca="1">IF(J34="","",Options!$B$23 &amp; "." &amp; J34)</f>
        <v/>
      </c>
    </row>
    <row r="35" spans="1:82">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7" t="str">
        <f t="array" aca="1" ref="O35" ca="1">IF(TRIM(INDIRECT("Columns!B35"))="","",TRIM(INDIRECT("Columns!B35")))</f>
        <v/>
      </c>
      <c r="P35" s="227" t="str">
        <f t="array" aca="1" ref="P35" ca="1">IF(TRIM(INDIRECT("Columns!C35"))="","",TRIM(INDIRECT("Columns!C35")))</f>
        <v/>
      </c>
      <c r="Q35" s="227" t="str">
        <f t="array" aca="1" ref="Q35" ca="1">IF(TRIM(INDIRECT("Columns!D35"))="","",TRIM(INDIRECT("Columns!D35")))</f>
        <v/>
      </c>
      <c r="R35" s="227" t="str">
        <f t="array" aca="1" ref="R35" ca="1">IF(TRIM(INDIRECT("Columns!O35"))="","",TRIM(INDIRECT("Columns!O35")))</f>
        <v/>
      </c>
      <c r="S35" t="str">
        <f t="shared" ca="1" si="52"/>
        <v/>
      </c>
      <c r="T35" t="str">
        <f t="shared" ca="1" si="53"/>
        <v/>
      </c>
      <c r="U35" t="str">
        <f t="shared" ca="1" si="54"/>
        <v/>
      </c>
      <c r="V35" t="str">
        <f t="shared" ca="1" si="55"/>
        <v/>
      </c>
      <c r="W35" t="str">
        <f t="shared" ca="1" si="56"/>
        <v/>
      </c>
      <c r="X35" t="str">
        <f t="shared" ca="1" si="57"/>
        <v/>
      </c>
      <c r="Y35" t="str">
        <f t="shared" ca="1" si="58"/>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9"/>
        <v/>
      </c>
      <c r="AF35" t="str">
        <f ca="1">IF(AE35&lt;&gt;"", HELPER!$B$93 &amp;  "." &amp; AE35,"")</f>
        <v/>
      </c>
      <c r="AG35" t="str">
        <f ca="1">IF(AE35&lt;&gt;"", HELPER!$B$94 &amp; "." &amp; AE35,"")</f>
        <v/>
      </c>
      <c r="AH35" t="str">
        <f t="shared" ref="AH35:AH66" ca="1" si="88">IF(AE35&lt;&gt;"",AF35&amp;" = "&amp;AU35,"")</f>
        <v/>
      </c>
      <c r="AI35" t="str">
        <f t="shared" ca="1" si="60"/>
        <v/>
      </c>
      <c r="AJ35" t="str">
        <f t="shared" ca="1" si="61"/>
        <v/>
      </c>
      <c r="AK35" t="str">
        <f ca="1">IF(E35="4", HELPER!$B$94 &amp;  "." &amp; A35,"")</f>
        <v/>
      </c>
      <c r="AL35" t="str">
        <f ca="1">IF(E35="4", HELPER!$B$93 &amp;  "." &amp; A35,"")</f>
        <v/>
      </c>
      <c r="AM35" t="str">
        <f t="shared" ca="1" si="62"/>
        <v/>
      </c>
      <c r="AN35" t="str">
        <f t="shared" ca="1" si="63"/>
        <v/>
      </c>
      <c r="AO35" t="str">
        <f ca="1">IF(A35&lt;&gt;"", IF(OR(F35="1",H35="1",I35="1"),""," "&amp; HELPER!$B$94 &amp; "." &amp; A35),"")</f>
        <v/>
      </c>
      <c r="AP35" t="str">
        <f t="shared" ca="1" si="64"/>
        <v/>
      </c>
      <c r="AQ35" t="str">
        <f t="shared" ca="1" si="47"/>
        <v/>
      </c>
      <c r="AS35" t="str">
        <f ca="1">IF(A35="","",  HELPER!$B$94 &amp;  "." &amp; A35)</f>
        <v/>
      </c>
      <c r="AT35" t="str">
        <f t="shared" ca="1" si="65"/>
        <v/>
      </c>
      <c r="AU35" t="str">
        <f t="shared" ca="1" si="66"/>
        <v/>
      </c>
      <c r="AV35" s="190" t="str">
        <f t="shared" ca="1" si="67"/>
        <v/>
      </c>
      <c r="AW35" t="str">
        <f t="shared" ca="1" si="68"/>
        <v/>
      </c>
      <c r="AY35" t="str">
        <f t="shared" ca="1" si="69"/>
        <v/>
      </c>
      <c r="AZ35" t="str">
        <f t="shared" ca="1" si="70"/>
        <v/>
      </c>
      <c r="BA35" t="str">
        <f ca="1">IF(AZ35="","", "CAST(" &amp; AZ35 &amp; " AS varchar(" &amp; Options!$B$49 &amp; "))")</f>
        <v/>
      </c>
      <c r="BB35" t="str">
        <f t="shared" ca="1" si="71"/>
        <v/>
      </c>
      <c r="BC35" t="str">
        <f t="shared" ref="BC35:BC50" ca="1" si="89">IF(AZ35="","","COALESCE(" &amp; AZ35 &amp; "," &amp; IF(C35="string","''",0 ) &amp; ") AS " &amp; A35)</f>
        <v/>
      </c>
      <c r="BE35" t="str">
        <f t="shared" ca="1" si="72"/>
        <v/>
      </c>
      <c r="BF35" t="str">
        <f t="shared" ca="1" si="73"/>
        <v/>
      </c>
      <c r="BG35" t="str">
        <f t="shared" ca="1" si="74"/>
        <v/>
      </c>
      <c r="BH35" s="285" t="str">
        <f t="shared" ref="BH35:BH65" ca="1" si="90">IF(G35="", IF(B35="","","COALESCE(" &amp; B35 &amp; "," &amp; IF(C35="string","''",0 ) &amp; ") AS " &amp; A35),G35 &amp; " AS " &amp;A35 )</f>
        <v/>
      </c>
      <c r="BI35" t="str">
        <f t="shared" ca="1" si="75"/>
        <v/>
      </c>
      <c r="BJ35" t="str">
        <f t="shared" ca="1" si="76"/>
        <v/>
      </c>
      <c r="BK35" t="str">
        <f t="shared" ref="BK35:BK65" ca="1" si="91">IF(A35="","", IF(OR(F35="1",E35="4", I35="1",H35="1"), IF(I35="1","-1",IF(C35="string","'missing'","0")),""))</f>
        <v/>
      </c>
      <c r="BL35" t="str">
        <f t="shared" ca="1" si="77"/>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8"/>
        <v/>
      </c>
      <c r="BP35" t="b">
        <f ca="1">COUNTIF(COLHELPER!A35:'COLHELPER'!A35,COLHELPER!A35)&gt;1</f>
        <v>0</v>
      </c>
      <c r="BQ35">
        <f t="shared" ca="1" si="79"/>
        <v>0</v>
      </c>
      <c r="BR35" s="290" t="str">
        <f t="shared" ca="1" si="48"/>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c r="CD35" t="str">
        <f ca="1">IF(J35="","",Options!$B$23 &amp; "." &amp; J35)</f>
        <v/>
      </c>
    </row>
    <row r="36" spans="1:82">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7" t="str">
        <f t="array" aca="1" ref="O36" ca="1">IF(TRIM(INDIRECT("Columns!B36"))="","",TRIM(INDIRECT("Columns!B36")))</f>
        <v/>
      </c>
      <c r="P36" s="227" t="str">
        <f t="array" aca="1" ref="P36" ca="1">IF(TRIM(INDIRECT("Columns!C36"))="","",TRIM(INDIRECT("Columns!C36")))</f>
        <v/>
      </c>
      <c r="Q36" s="227" t="str">
        <f t="array" aca="1" ref="Q36" ca="1">IF(TRIM(INDIRECT("Columns!D36"))="","",TRIM(INDIRECT("Columns!D36")))</f>
        <v/>
      </c>
      <c r="R36" s="227" t="str">
        <f t="array" aca="1" ref="R36" ca="1">IF(TRIM(INDIRECT("Columns!O36"))="","",TRIM(INDIRECT("Columns!O36")))</f>
        <v/>
      </c>
      <c r="S36" t="str">
        <f t="shared" ca="1" si="52"/>
        <v/>
      </c>
      <c r="T36" t="str">
        <f t="shared" ca="1" si="53"/>
        <v/>
      </c>
      <c r="U36" t="str">
        <f t="shared" ca="1" si="54"/>
        <v/>
      </c>
      <c r="V36" t="str">
        <f t="shared" ca="1" si="55"/>
        <v/>
      </c>
      <c r="W36" t="str">
        <f t="shared" ca="1" si="56"/>
        <v/>
      </c>
      <c r="X36" t="str">
        <f t="shared" ca="1" si="57"/>
        <v/>
      </c>
      <c r="Y36" t="str">
        <f t="shared" ca="1" si="58"/>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9"/>
        <v/>
      </c>
      <c r="AF36" t="str">
        <f ca="1">IF(AE36&lt;&gt;"", HELPER!$B$93 &amp;  "." &amp; AE36,"")</f>
        <v/>
      </c>
      <c r="AG36" t="str">
        <f ca="1">IF(AE36&lt;&gt;"", HELPER!$B$94 &amp; "." &amp; AE36,"")</f>
        <v/>
      </c>
      <c r="AH36" t="str">
        <f t="shared" ca="1" si="88"/>
        <v/>
      </c>
      <c r="AI36" t="str">
        <f t="shared" ca="1" si="60"/>
        <v/>
      </c>
      <c r="AJ36" t="str">
        <f t="shared" ca="1" si="61"/>
        <v/>
      </c>
      <c r="AK36" t="str">
        <f ca="1">IF(E36="4", HELPER!$B$94 &amp;  "." &amp; A36,"")</f>
        <v/>
      </c>
      <c r="AL36" t="str">
        <f ca="1">IF(E36="4", HELPER!$B$93 &amp;  "." &amp; A36,"")</f>
        <v/>
      </c>
      <c r="AM36" t="str">
        <f t="shared" ca="1" si="62"/>
        <v/>
      </c>
      <c r="AN36" t="str">
        <f t="shared" ca="1" si="63"/>
        <v/>
      </c>
      <c r="AO36" t="str">
        <f ca="1">IF(A36&lt;&gt;"", IF(OR(F36="1",H36="1",I36="1"),""," "&amp; HELPER!$B$94 &amp; "." &amp; A36),"")</f>
        <v/>
      </c>
      <c r="AP36" t="str">
        <f t="shared" ca="1" si="64"/>
        <v/>
      </c>
      <c r="AQ36" t="str">
        <f t="shared" ref="AQ36:AQ67" ca="1" si="95">IF(A36="","", IF(E36="4", IF(AN36="","",AN36 &amp; " = " &amp; AO36),""))</f>
        <v/>
      </c>
      <c r="AS36" t="str">
        <f ca="1">IF(A36="","",  HELPER!$B$94 &amp;  "." &amp; A36)</f>
        <v/>
      </c>
      <c r="AT36" t="str">
        <f t="shared" ca="1" si="65"/>
        <v/>
      </c>
      <c r="AU36" t="str">
        <f t="shared" ca="1" si="66"/>
        <v/>
      </c>
      <c r="AV36" s="190" t="str">
        <f t="shared" ca="1" si="67"/>
        <v/>
      </c>
      <c r="AW36" t="str">
        <f t="shared" ca="1" si="68"/>
        <v/>
      </c>
      <c r="AY36" t="str">
        <f t="shared" ca="1" si="69"/>
        <v/>
      </c>
      <c r="AZ36" t="str">
        <f t="shared" ca="1" si="70"/>
        <v/>
      </c>
      <c r="BA36" t="str">
        <f ca="1">IF(AZ36="","", "CAST(" &amp; AZ36 &amp; " AS varchar(" &amp; Options!$B$49 &amp; "))")</f>
        <v/>
      </c>
      <c r="BB36" t="str">
        <f t="shared" ca="1" si="71"/>
        <v/>
      </c>
      <c r="BC36" t="str">
        <f t="shared" ca="1" si="89"/>
        <v/>
      </c>
      <c r="BE36" t="str">
        <f t="shared" ca="1" si="72"/>
        <v/>
      </c>
      <c r="BF36" t="str">
        <f t="shared" ca="1" si="73"/>
        <v/>
      </c>
      <c r="BG36" t="str">
        <f t="shared" ca="1" si="74"/>
        <v/>
      </c>
      <c r="BH36" s="285" t="str">
        <f t="shared" ca="1" si="90"/>
        <v/>
      </c>
      <c r="BI36" t="str">
        <f t="shared" ca="1" si="75"/>
        <v/>
      </c>
      <c r="BJ36" t="str">
        <f t="shared" ca="1" si="76"/>
        <v/>
      </c>
      <c r="BK36" t="str">
        <f t="shared" ca="1" si="91"/>
        <v/>
      </c>
      <c r="BL36" t="str">
        <f t="shared" ca="1" si="77"/>
        <v/>
      </c>
      <c r="BM36" t="str">
        <f t="shared" ca="1" si="92"/>
        <v/>
      </c>
      <c r="BN36" t="str">
        <f t="shared" ca="1" si="93"/>
        <v/>
      </c>
      <c r="BO36" t="str">
        <f t="shared" ca="1" si="78"/>
        <v/>
      </c>
      <c r="BP36" t="b">
        <f ca="1">COUNTIF(COLHELPER!A36:'COLHELPER'!A36,COLHELPER!A36)&gt;1</f>
        <v>0</v>
      </c>
      <c r="BQ36">
        <f t="shared" ca="1" si="79"/>
        <v>0</v>
      </c>
      <c r="BR36" s="290" t="str">
        <f t="shared" ca="1" si="48"/>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c r="CD36" t="str">
        <f ca="1">IF(J36="","",Options!$B$23 &amp; "." &amp; J36)</f>
        <v/>
      </c>
    </row>
    <row r="37" spans="1:82">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7" t="str">
        <f t="array" aca="1" ref="O37" ca="1">IF(TRIM(INDIRECT("Columns!B37"))="","",TRIM(INDIRECT("Columns!B37")))</f>
        <v/>
      </c>
      <c r="P37" s="227" t="str">
        <f t="array" aca="1" ref="P37" ca="1">IF(TRIM(INDIRECT("Columns!C37"))="","",TRIM(INDIRECT("Columns!C37")))</f>
        <v/>
      </c>
      <c r="Q37" s="227" t="str">
        <f t="array" aca="1" ref="Q37" ca="1">IF(TRIM(INDIRECT("Columns!D37"))="","",TRIM(INDIRECT("Columns!D37")))</f>
        <v/>
      </c>
      <c r="R37" s="227" t="str">
        <f t="array" aca="1" ref="R37" ca="1">IF(TRIM(INDIRECT("Columns!O37"))="","",TRIM(INDIRECT("Columns!O37")))</f>
        <v/>
      </c>
      <c r="S37" t="str">
        <f t="shared" ca="1" si="52"/>
        <v/>
      </c>
      <c r="T37" t="str">
        <f t="shared" ca="1" si="53"/>
        <v/>
      </c>
      <c r="U37" t="str">
        <f t="shared" ca="1" si="54"/>
        <v/>
      </c>
      <c r="V37" t="str">
        <f t="shared" ca="1" si="55"/>
        <v/>
      </c>
      <c r="W37" t="str">
        <f t="shared" ca="1" si="56"/>
        <v/>
      </c>
      <c r="X37" t="str">
        <f t="shared" ca="1" si="57"/>
        <v/>
      </c>
      <c r="Y37" t="str">
        <f t="shared" ca="1" si="58"/>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9"/>
        <v/>
      </c>
      <c r="AF37" t="str">
        <f ca="1">IF(AE37&lt;&gt;"", HELPER!$B$93 &amp;  "." &amp; AE37,"")</f>
        <v/>
      </c>
      <c r="AG37" t="str">
        <f ca="1">IF(AE37&lt;&gt;"", HELPER!$B$94 &amp; "." &amp; AE37,"")</f>
        <v/>
      </c>
      <c r="AH37" t="str">
        <f t="shared" ca="1" si="88"/>
        <v/>
      </c>
      <c r="AI37" t="str">
        <f t="shared" ca="1" si="60"/>
        <v/>
      </c>
      <c r="AJ37" t="str">
        <f t="shared" ca="1" si="61"/>
        <v/>
      </c>
      <c r="AK37" t="str">
        <f ca="1">IF(E37="4", HELPER!$B$94 &amp;  "." &amp; A37,"")</f>
        <v/>
      </c>
      <c r="AL37" t="str">
        <f ca="1">IF(E37="4", HELPER!$B$93 &amp;  "." &amp; A37,"")</f>
        <v/>
      </c>
      <c r="AM37" t="str">
        <f t="shared" ca="1" si="62"/>
        <v/>
      </c>
      <c r="AN37" t="str">
        <f t="shared" ca="1" si="63"/>
        <v/>
      </c>
      <c r="AO37" t="str">
        <f ca="1">IF(A37&lt;&gt;"", IF(OR(F37="1",H37="1",I37="1"),""," "&amp; HELPER!$B$94 &amp; "." &amp; A37),"")</f>
        <v/>
      </c>
      <c r="AP37" t="str">
        <f t="shared" ca="1" si="64"/>
        <v/>
      </c>
      <c r="AQ37" t="str">
        <f t="shared" ca="1" si="95"/>
        <v/>
      </c>
      <c r="AS37" t="str">
        <f ca="1">IF(A37="","",  HELPER!$B$94 &amp;  "." &amp; A37)</f>
        <v/>
      </c>
      <c r="AT37" t="str">
        <f t="shared" ca="1" si="65"/>
        <v/>
      </c>
      <c r="AU37" t="str">
        <f t="shared" ca="1" si="66"/>
        <v/>
      </c>
      <c r="AV37" s="190" t="str">
        <f t="shared" ca="1" si="67"/>
        <v/>
      </c>
      <c r="AW37" t="str">
        <f t="shared" ca="1" si="68"/>
        <v/>
      </c>
      <c r="AY37" t="str">
        <f t="shared" ca="1" si="69"/>
        <v/>
      </c>
      <c r="AZ37" t="str">
        <f t="shared" ca="1" si="70"/>
        <v/>
      </c>
      <c r="BA37" t="str">
        <f ca="1">IF(AZ37="","", "CAST(" &amp; AZ37 &amp; " AS varchar(" &amp; Options!$B$49 &amp; "))")</f>
        <v/>
      </c>
      <c r="BB37" t="str">
        <f t="shared" ca="1" si="71"/>
        <v/>
      </c>
      <c r="BC37" t="str">
        <f t="shared" ca="1" si="89"/>
        <v/>
      </c>
      <c r="BE37" t="str">
        <f t="shared" ca="1" si="72"/>
        <v/>
      </c>
      <c r="BF37" t="str">
        <f t="shared" ca="1" si="73"/>
        <v/>
      </c>
      <c r="BG37" t="str">
        <f t="shared" ca="1" si="74"/>
        <v/>
      </c>
      <c r="BH37" s="285" t="str">
        <f t="shared" ca="1" si="90"/>
        <v/>
      </c>
      <c r="BI37" t="str">
        <f t="shared" ca="1" si="75"/>
        <v/>
      </c>
      <c r="BJ37" t="str">
        <f t="shared" ca="1" si="76"/>
        <v/>
      </c>
      <c r="BK37" t="str">
        <f t="shared" ca="1" si="91"/>
        <v/>
      </c>
      <c r="BL37" t="str">
        <f t="shared" ca="1" si="77"/>
        <v/>
      </c>
      <c r="BM37" t="str">
        <f t="shared" ca="1" si="92"/>
        <v/>
      </c>
      <c r="BN37" t="str">
        <f t="shared" ca="1" si="93"/>
        <v/>
      </c>
      <c r="BO37" t="str">
        <f t="shared" ca="1" si="78"/>
        <v/>
      </c>
      <c r="BP37" t="b">
        <f ca="1">COUNTIF(COLHELPER!A37:'COLHELPER'!A37,COLHELPER!A37)&gt;1</f>
        <v>0</v>
      </c>
      <c r="BQ37">
        <f t="shared" ca="1" si="79"/>
        <v>0</v>
      </c>
      <c r="BR37" s="290" t="str">
        <f t="shared" ca="1" si="48"/>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c r="CD37" t="str">
        <f ca="1">IF(J37="","",Options!$B$23 &amp; "." &amp; J37)</f>
        <v/>
      </c>
    </row>
    <row r="38" spans="1:82">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7" t="str">
        <f t="array" aca="1" ref="O38" ca="1">IF(TRIM(INDIRECT("Columns!B38"))="","",TRIM(INDIRECT("Columns!B38")))</f>
        <v/>
      </c>
      <c r="P38" s="227" t="str">
        <f t="array" aca="1" ref="P38" ca="1">IF(TRIM(INDIRECT("Columns!C38"))="","",TRIM(INDIRECT("Columns!C38")))</f>
        <v/>
      </c>
      <c r="Q38" s="227" t="str">
        <f t="array" aca="1" ref="Q38" ca="1">IF(TRIM(INDIRECT("Columns!D38"))="","",TRIM(INDIRECT("Columns!D38")))</f>
        <v/>
      </c>
      <c r="R38" s="227" t="str">
        <f t="array" aca="1" ref="R38" ca="1">IF(TRIM(INDIRECT("Columns!O38"))="","",TRIM(INDIRECT("Columns!O38")))</f>
        <v/>
      </c>
      <c r="S38" t="str">
        <f t="shared" ca="1" si="52"/>
        <v/>
      </c>
      <c r="T38" t="str">
        <f t="shared" ca="1" si="53"/>
        <v/>
      </c>
      <c r="U38" t="str">
        <f t="shared" ca="1" si="54"/>
        <v/>
      </c>
      <c r="V38" t="str">
        <f t="shared" ca="1" si="55"/>
        <v/>
      </c>
      <c r="W38" t="str">
        <f t="shared" ca="1" si="56"/>
        <v/>
      </c>
      <c r="X38" t="str">
        <f t="shared" ca="1" si="57"/>
        <v/>
      </c>
      <c r="Y38" t="str">
        <f t="shared" ca="1" si="58"/>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9"/>
        <v/>
      </c>
      <c r="AF38" t="str">
        <f ca="1">IF(AE38&lt;&gt;"", HELPER!$B$93 &amp;  "." &amp; AE38,"")</f>
        <v/>
      </c>
      <c r="AG38" t="str">
        <f ca="1">IF(AE38&lt;&gt;"", HELPER!$B$94 &amp; "." &amp; AE38,"")</f>
        <v/>
      </c>
      <c r="AH38" t="str">
        <f t="shared" ca="1" si="88"/>
        <v/>
      </c>
      <c r="AI38" t="str">
        <f t="shared" ca="1" si="60"/>
        <v/>
      </c>
      <c r="AJ38" t="str">
        <f t="shared" ca="1" si="61"/>
        <v/>
      </c>
      <c r="AK38" t="str">
        <f ca="1">IF(E38="4", HELPER!$B$94 &amp;  "." &amp; A38,"")</f>
        <v/>
      </c>
      <c r="AL38" t="str">
        <f ca="1">IF(E38="4", HELPER!$B$93 &amp;  "." &amp; A38,"")</f>
        <v/>
      </c>
      <c r="AM38" t="str">
        <f t="shared" ca="1" si="62"/>
        <v/>
      </c>
      <c r="AN38" t="str">
        <f t="shared" ca="1" si="63"/>
        <v/>
      </c>
      <c r="AO38" t="str">
        <f ca="1">IF(A38&lt;&gt;"", IF(OR(F38="1",H38="1",I38="1"),""," "&amp; HELPER!$B$94 &amp; "." &amp; A38),"")</f>
        <v/>
      </c>
      <c r="AP38" t="str">
        <f t="shared" ca="1" si="64"/>
        <v/>
      </c>
      <c r="AQ38" t="str">
        <f t="shared" ca="1" si="95"/>
        <v/>
      </c>
      <c r="AS38" t="str">
        <f ca="1">IF(A38="","",  HELPER!$B$94 &amp;  "." &amp; A38)</f>
        <v/>
      </c>
      <c r="AT38" t="str">
        <f t="shared" ca="1" si="65"/>
        <v/>
      </c>
      <c r="AU38" t="str">
        <f t="shared" ca="1" si="66"/>
        <v/>
      </c>
      <c r="AV38" s="190" t="str">
        <f t="shared" ca="1" si="67"/>
        <v/>
      </c>
      <c r="AW38" t="str">
        <f t="shared" ca="1" si="68"/>
        <v/>
      </c>
      <c r="AY38" t="str">
        <f t="shared" ca="1" si="69"/>
        <v/>
      </c>
      <c r="AZ38" t="str">
        <f t="shared" ca="1" si="70"/>
        <v/>
      </c>
      <c r="BA38" t="str">
        <f ca="1">IF(AZ38="","", "CAST(" &amp; AZ38 &amp; " AS varchar(" &amp; Options!$B$49 &amp; "))")</f>
        <v/>
      </c>
      <c r="BB38" t="str">
        <f t="shared" ca="1" si="71"/>
        <v/>
      </c>
      <c r="BC38" t="str">
        <f t="shared" ca="1" si="89"/>
        <v/>
      </c>
      <c r="BE38" t="str">
        <f t="shared" ca="1" si="72"/>
        <v/>
      </c>
      <c r="BF38" t="str">
        <f t="shared" ca="1" si="73"/>
        <v/>
      </c>
      <c r="BG38" t="str">
        <f t="shared" ca="1" si="74"/>
        <v/>
      </c>
      <c r="BH38" s="285" t="str">
        <f t="shared" ca="1" si="90"/>
        <v/>
      </c>
      <c r="BI38" t="str">
        <f t="shared" ca="1" si="75"/>
        <v/>
      </c>
      <c r="BJ38" t="str">
        <f t="shared" ca="1" si="76"/>
        <v/>
      </c>
      <c r="BK38" t="str">
        <f t="shared" ca="1" si="91"/>
        <v/>
      </c>
      <c r="BL38" t="str">
        <f t="shared" ca="1" si="77"/>
        <v/>
      </c>
      <c r="BM38" t="str">
        <f t="shared" ca="1" si="92"/>
        <v/>
      </c>
      <c r="BN38" t="str">
        <f t="shared" ca="1" si="93"/>
        <v/>
      </c>
      <c r="BO38" t="str">
        <f t="shared" ca="1" si="78"/>
        <v/>
      </c>
      <c r="BP38" t="b">
        <f ca="1">COUNTIF(COLHELPER!A38:'COLHELPER'!A38,COLHELPER!A38)&gt;1</f>
        <v>0</v>
      </c>
      <c r="BQ38">
        <f t="shared" ca="1" si="79"/>
        <v>0</v>
      </c>
      <c r="BR38" s="290" t="str">
        <f t="shared" ca="1" si="48"/>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c r="CD38" t="str">
        <f ca="1">IF(J38="","",Options!$B$23 &amp; "." &amp; J38)</f>
        <v/>
      </c>
    </row>
    <row r="39" spans="1:82">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7" t="str">
        <f t="array" aca="1" ref="O39" ca="1">IF(TRIM(INDIRECT("Columns!B39"))="","",TRIM(INDIRECT("Columns!B39")))</f>
        <v/>
      </c>
      <c r="P39" s="227" t="str">
        <f t="array" aca="1" ref="P39" ca="1">IF(TRIM(INDIRECT("Columns!C39"))="","",TRIM(INDIRECT("Columns!C39")))</f>
        <v/>
      </c>
      <c r="Q39" s="227" t="str">
        <f t="array" aca="1" ref="Q39" ca="1">IF(TRIM(INDIRECT("Columns!D39"))="","",TRIM(INDIRECT("Columns!D39")))</f>
        <v/>
      </c>
      <c r="R39" s="227" t="str">
        <f t="array" aca="1" ref="R39" ca="1">IF(TRIM(INDIRECT("Columns!O39"))="","",TRIM(INDIRECT("Columns!O39")))</f>
        <v/>
      </c>
      <c r="S39" t="str">
        <f t="shared" ca="1" si="52"/>
        <v/>
      </c>
      <c r="T39" t="str">
        <f t="shared" ca="1" si="53"/>
        <v/>
      </c>
      <c r="U39" t="str">
        <f t="shared" ca="1" si="54"/>
        <v/>
      </c>
      <c r="V39" t="str">
        <f t="shared" ca="1" si="55"/>
        <v/>
      </c>
      <c r="W39" t="str">
        <f t="shared" ca="1" si="56"/>
        <v/>
      </c>
      <c r="X39" t="str">
        <f t="shared" ca="1" si="57"/>
        <v/>
      </c>
      <c r="Y39" t="str">
        <f t="shared" ca="1" si="58"/>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9"/>
        <v/>
      </c>
      <c r="AF39" t="str">
        <f ca="1">IF(AE39&lt;&gt;"", HELPER!$B$93 &amp;  "." &amp; AE39,"")</f>
        <v/>
      </c>
      <c r="AG39" t="str">
        <f ca="1">IF(AE39&lt;&gt;"", HELPER!$B$94 &amp; "." &amp; AE39,"")</f>
        <v/>
      </c>
      <c r="AH39" t="str">
        <f t="shared" ca="1" si="88"/>
        <v/>
      </c>
      <c r="AI39" t="str">
        <f t="shared" ca="1" si="60"/>
        <v/>
      </c>
      <c r="AJ39" t="str">
        <f t="shared" ca="1" si="61"/>
        <v/>
      </c>
      <c r="AK39" t="str">
        <f ca="1">IF(E39="4", HELPER!$B$94 &amp;  "." &amp; A39,"")</f>
        <v/>
      </c>
      <c r="AL39" t="str">
        <f ca="1">IF(E39="4", HELPER!$B$93 &amp;  "." &amp; A39,"")</f>
        <v/>
      </c>
      <c r="AM39" t="str">
        <f t="shared" ca="1" si="62"/>
        <v/>
      </c>
      <c r="AN39" t="str">
        <f t="shared" ca="1" si="63"/>
        <v/>
      </c>
      <c r="AO39" t="str">
        <f ca="1">IF(A39&lt;&gt;"", IF(OR(F39="1",H39="1",I39="1"),""," "&amp; HELPER!$B$94 &amp; "." &amp; A39),"")</f>
        <v/>
      </c>
      <c r="AP39" t="str">
        <f t="shared" ca="1" si="64"/>
        <v/>
      </c>
      <c r="AQ39" t="str">
        <f t="shared" ca="1" si="95"/>
        <v/>
      </c>
      <c r="AS39" t="str">
        <f ca="1">IF(A39="","",  HELPER!$B$94 &amp;  "." &amp; A39)</f>
        <v/>
      </c>
      <c r="AT39" t="str">
        <f t="shared" ca="1" si="65"/>
        <v/>
      </c>
      <c r="AU39" t="str">
        <f t="shared" ca="1" si="66"/>
        <v/>
      </c>
      <c r="AV39" s="190" t="str">
        <f t="shared" ca="1" si="67"/>
        <v/>
      </c>
      <c r="AW39" t="str">
        <f t="shared" ca="1" si="68"/>
        <v/>
      </c>
      <c r="AY39" t="str">
        <f t="shared" ca="1" si="69"/>
        <v/>
      </c>
      <c r="AZ39" t="str">
        <f t="shared" ca="1" si="70"/>
        <v/>
      </c>
      <c r="BA39" t="str">
        <f ca="1">IF(AZ39="","", "CAST(" &amp; AZ39 &amp; " AS varchar(" &amp; Options!$B$49 &amp; "))")</f>
        <v/>
      </c>
      <c r="BB39" t="str">
        <f t="shared" ca="1" si="71"/>
        <v/>
      </c>
      <c r="BC39" t="str">
        <f t="shared" ca="1" si="89"/>
        <v/>
      </c>
      <c r="BE39" t="str">
        <f t="shared" ca="1" si="72"/>
        <v/>
      </c>
      <c r="BF39" t="str">
        <f t="shared" ca="1" si="73"/>
        <v/>
      </c>
      <c r="BG39" t="str">
        <f t="shared" ca="1" si="74"/>
        <v/>
      </c>
      <c r="BH39" s="285" t="str">
        <f t="shared" ca="1" si="90"/>
        <v/>
      </c>
      <c r="BI39" t="str">
        <f t="shared" ca="1" si="75"/>
        <v/>
      </c>
      <c r="BJ39" t="str">
        <f t="shared" ca="1" si="76"/>
        <v/>
      </c>
      <c r="BK39" t="str">
        <f t="shared" ca="1" si="91"/>
        <v/>
      </c>
      <c r="BL39" t="str">
        <f t="shared" ca="1" si="77"/>
        <v/>
      </c>
      <c r="BM39" t="str">
        <f t="shared" ca="1" si="92"/>
        <v/>
      </c>
      <c r="BN39" t="str">
        <f t="shared" ca="1" si="93"/>
        <v/>
      </c>
      <c r="BO39" t="str">
        <f t="shared" ca="1" si="78"/>
        <v/>
      </c>
      <c r="BP39" t="b">
        <f ca="1">COUNTIF(COLHELPER!A39:'COLHELPER'!A39,COLHELPER!A39)&gt;1</f>
        <v>0</v>
      </c>
      <c r="BQ39">
        <f t="shared" ca="1" si="79"/>
        <v>0</v>
      </c>
      <c r="BR39" s="290" t="str">
        <f t="shared" ca="1" si="48"/>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c r="CD39" t="str">
        <f ca="1">IF(J39="","",Options!$B$23 &amp; "." &amp; J39)</f>
        <v/>
      </c>
    </row>
    <row r="40" spans="1:82">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7" t="str">
        <f t="array" aca="1" ref="O40" ca="1">IF(TRIM(INDIRECT("Columns!B40"))="","",TRIM(INDIRECT("Columns!B40")))</f>
        <v/>
      </c>
      <c r="P40" s="227" t="str">
        <f t="array" aca="1" ref="P40" ca="1">IF(TRIM(INDIRECT("Columns!C40"))="","",TRIM(INDIRECT("Columns!C40")))</f>
        <v/>
      </c>
      <c r="Q40" s="227" t="str">
        <f t="array" aca="1" ref="Q40" ca="1">IF(TRIM(INDIRECT("Columns!D40"))="","",TRIM(INDIRECT("Columns!D40")))</f>
        <v/>
      </c>
      <c r="R40" s="227" t="str">
        <f t="array" aca="1" ref="R40" ca="1">IF(TRIM(INDIRECT("Columns!O40"))="","",TRIM(INDIRECT("Columns!O40")))</f>
        <v/>
      </c>
      <c r="S40" t="str">
        <f t="shared" ca="1" si="52"/>
        <v/>
      </c>
      <c r="T40" t="str">
        <f t="shared" ca="1" si="53"/>
        <v/>
      </c>
      <c r="U40" t="str">
        <f t="shared" ca="1" si="54"/>
        <v/>
      </c>
      <c r="V40" t="str">
        <f t="shared" ca="1" si="55"/>
        <v/>
      </c>
      <c r="W40" t="str">
        <f t="shared" ca="1" si="56"/>
        <v/>
      </c>
      <c r="X40" t="str">
        <f t="shared" ca="1" si="57"/>
        <v/>
      </c>
      <c r="Y40" t="str">
        <f t="shared" ca="1" si="58"/>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9"/>
        <v/>
      </c>
      <c r="AF40" t="str">
        <f ca="1">IF(AE40&lt;&gt;"", HELPER!$B$93 &amp;  "." &amp; AE40,"")</f>
        <v/>
      </c>
      <c r="AG40" t="str">
        <f ca="1">IF(AE40&lt;&gt;"", HELPER!$B$94 &amp; "." &amp; AE40,"")</f>
        <v/>
      </c>
      <c r="AH40" t="str">
        <f t="shared" ca="1" si="88"/>
        <v/>
      </c>
      <c r="AI40" t="str">
        <f t="shared" ca="1" si="60"/>
        <v/>
      </c>
      <c r="AJ40" t="str">
        <f t="shared" ca="1" si="61"/>
        <v/>
      </c>
      <c r="AK40" t="str">
        <f ca="1">IF(E40="4", HELPER!$B$94 &amp;  "." &amp; A40,"")</f>
        <v/>
      </c>
      <c r="AL40" t="str">
        <f ca="1">IF(E40="4", HELPER!$B$93 &amp;  "." &amp; A40,"")</f>
        <v/>
      </c>
      <c r="AM40" t="str">
        <f t="shared" ca="1" si="62"/>
        <v/>
      </c>
      <c r="AN40" t="str">
        <f t="shared" ca="1" si="63"/>
        <v/>
      </c>
      <c r="AO40" t="str">
        <f ca="1">IF(A40&lt;&gt;"", IF(OR(F40="1",H40="1",I40="1"),""," "&amp; HELPER!$B$94 &amp; "." &amp; A40),"")</f>
        <v/>
      </c>
      <c r="AP40" t="str">
        <f t="shared" ca="1" si="64"/>
        <v/>
      </c>
      <c r="AQ40" t="str">
        <f t="shared" ca="1" si="95"/>
        <v/>
      </c>
      <c r="AS40" t="str">
        <f ca="1">IF(A40="","",  HELPER!$B$94 &amp;  "." &amp; A40)</f>
        <v/>
      </c>
      <c r="AT40" t="str">
        <f t="shared" ca="1" si="65"/>
        <v/>
      </c>
      <c r="AU40" t="str">
        <f t="shared" ca="1" si="66"/>
        <v/>
      </c>
      <c r="AV40" s="190" t="str">
        <f t="shared" ca="1" si="67"/>
        <v/>
      </c>
      <c r="AW40" t="str">
        <f t="shared" ca="1" si="68"/>
        <v/>
      </c>
      <c r="AY40" t="str">
        <f t="shared" ca="1" si="69"/>
        <v/>
      </c>
      <c r="AZ40" t="str">
        <f t="shared" ca="1" si="70"/>
        <v/>
      </c>
      <c r="BA40" t="str">
        <f ca="1">IF(AZ40="","", "CAST(" &amp; AZ40 &amp; " AS varchar(" &amp; Options!$B$49 &amp; "))")</f>
        <v/>
      </c>
      <c r="BB40" t="str">
        <f t="shared" ca="1" si="71"/>
        <v/>
      </c>
      <c r="BC40" t="str">
        <f t="shared" ca="1" si="89"/>
        <v/>
      </c>
      <c r="BE40" t="str">
        <f t="shared" ca="1" si="72"/>
        <v/>
      </c>
      <c r="BF40" t="str">
        <f t="shared" ca="1" si="73"/>
        <v/>
      </c>
      <c r="BG40" t="str">
        <f t="shared" ca="1" si="74"/>
        <v/>
      </c>
      <c r="BH40" s="285" t="str">
        <f t="shared" ca="1" si="90"/>
        <v/>
      </c>
      <c r="BI40" t="str">
        <f t="shared" ca="1" si="75"/>
        <v/>
      </c>
      <c r="BJ40" t="str">
        <f t="shared" ca="1" si="76"/>
        <v/>
      </c>
      <c r="BK40" t="str">
        <f t="shared" ca="1" si="91"/>
        <v/>
      </c>
      <c r="BL40" t="str">
        <f t="shared" ca="1" si="77"/>
        <v/>
      </c>
      <c r="BM40" t="str">
        <f t="shared" ca="1" si="92"/>
        <v/>
      </c>
      <c r="BN40" t="str">
        <f t="shared" ca="1" si="93"/>
        <v/>
      </c>
      <c r="BO40" t="str">
        <f t="shared" ca="1" si="78"/>
        <v/>
      </c>
      <c r="BP40" t="b">
        <f ca="1">COUNTIF(COLHELPER!A40:'COLHELPER'!A40,COLHELPER!A40)&gt;1</f>
        <v>0</v>
      </c>
      <c r="BQ40">
        <f t="shared" ca="1" si="79"/>
        <v>0</v>
      </c>
      <c r="BR40" s="290" t="str">
        <f t="shared" ca="1" si="48"/>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c r="CD40" t="str">
        <f ca="1">IF(J40="","",Options!$B$23 &amp; "." &amp; J40)</f>
        <v/>
      </c>
    </row>
    <row r="41" spans="1:82">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7" t="str">
        <f t="array" aca="1" ref="O41" ca="1">IF(TRIM(INDIRECT("Columns!B41"))="","",TRIM(INDIRECT("Columns!B41")))</f>
        <v/>
      </c>
      <c r="P41" s="227" t="str">
        <f t="array" aca="1" ref="P41" ca="1">IF(TRIM(INDIRECT("Columns!C41"))="","",TRIM(INDIRECT("Columns!C41")))</f>
        <v/>
      </c>
      <c r="Q41" s="227" t="str">
        <f t="array" aca="1" ref="Q41" ca="1">IF(TRIM(INDIRECT("Columns!D41"))="","",TRIM(INDIRECT("Columns!D41")))</f>
        <v/>
      </c>
      <c r="R41" s="227" t="str">
        <f t="array" aca="1" ref="R41" ca="1">IF(TRIM(INDIRECT("Columns!O41"))="","",TRIM(INDIRECT("Columns!O41")))</f>
        <v/>
      </c>
      <c r="S41" t="str">
        <f t="shared" ca="1" si="52"/>
        <v/>
      </c>
      <c r="T41" t="str">
        <f t="shared" ca="1" si="53"/>
        <v/>
      </c>
      <c r="U41" t="str">
        <f t="shared" ca="1" si="54"/>
        <v/>
      </c>
      <c r="V41" t="str">
        <f t="shared" ca="1" si="55"/>
        <v/>
      </c>
      <c r="W41" t="str">
        <f t="shared" ca="1" si="56"/>
        <v/>
      </c>
      <c r="X41" t="str">
        <f t="shared" ca="1" si="57"/>
        <v/>
      </c>
      <c r="Y41" t="str">
        <f t="shared" ca="1" si="58"/>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9"/>
        <v/>
      </c>
      <c r="AF41" t="str">
        <f ca="1">IF(AE41&lt;&gt;"", HELPER!$B$93 &amp;  "." &amp; AE41,"")</f>
        <v/>
      </c>
      <c r="AG41" t="str">
        <f ca="1">IF(AE41&lt;&gt;"", HELPER!$B$94 &amp; "." &amp; AE41,"")</f>
        <v/>
      </c>
      <c r="AH41" t="str">
        <f t="shared" ca="1" si="88"/>
        <v/>
      </c>
      <c r="AI41" t="str">
        <f t="shared" ca="1" si="60"/>
        <v/>
      </c>
      <c r="AJ41" t="str">
        <f t="shared" ca="1" si="61"/>
        <v/>
      </c>
      <c r="AK41" t="str">
        <f ca="1">IF(E41="4", HELPER!$B$94 &amp;  "." &amp; A41,"")</f>
        <v/>
      </c>
      <c r="AL41" t="str">
        <f ca="1">IF(E41="4", HELPER!$B$93 &amp;  "." &amp; A41,"")</f>
        <v/>
      </c>
      <c r="AM41" t="str">
        <f t="shared" ca="1" si="62"/>
        <v/>
      </c>
      <c r="AN41" t="str">
        <f t="shared" ca="1" si="63"/>
        <v/>
      </c>
      <c r="AO41" t="str">
        <f ca="1">IF(A41&lt;&gt;"", IF(OR(F41="1",H41="1",I41="1"),""," "&amp; HELPER!$B$94 &amp; "." &amp; A41),"")</f>
        <v/>
      </c>
      <c r="AP41" t="str">
        <f t="shared" ca="1" si="64"/>
        <v/>
      </c>
      <c r="AQ41" t="str">
        <f t="shared" ca="1" si="95"/>
        <v/>
      </c>
      <c r="AS41" t="str">
        <f ca="1">IF(A41="","",  HELPER!$B$94 &amp;  "." &amp; A41)</f>
        <v/>
      </c>
      <c r="AT41" t="str">
        <f t="shared" ca="1" si="65"/>
        <v/>
      </c>
      <c r="AU41" t="str">
        <f t="shared" ca="1" si="66"/>
        <v/>
      </c>
      <c r="AV41" s="190" t="str">
        <f t="shared" ca="1" si="67"/>
        <v/>
      </c>
      <c r="AW41" t="str">
        <f t="shared" ca="1" si="68"/>
        <v/>
      </c>
      <c r="AY41" t="str">
        <f t="shared" ca="1" si="69"/>
        <v/>
      </c>
      <c r="AZ41" t="str">
        <f t="shared" ca="1" si="70"/>
        <v/>
      </c>
      <c r="BA41" t="str">
        <f ca="1">IF(AZ41="","", "CAST(" &amp; AZ41 &amp; " AS varchar(" &amp; Options!$B$49 &amp; "))")</f>
        <v/>
      </c>
      <c r="BB41" t="str">
        <f t="shared" ca="1" si="71"/>
        <v/>
      </c>
      <c r="BC41" t="str">
        <f t="shared" ca="1" si="89"/>
        <v/>
      </c>
      <c r="BE41" t="str">
        <f t="shared" ca="1" si="72"/>
        <v/>
      </c>
      <c r="BF41" t="str">
        <f t="shared" ca="1" si="73"/>
        <v/>
      </c>
      <c r="BG41" t="str">
        <f t="shared" ca="1" si="74"/>
        <v/>
      </c>
      <c r="BH41" s="285" t="str">
        <f t="shared" ca="1" si="90"/>
        <v/>
      </c>
      <c r="BI41" t="str">
        <f t="shared" ca="1" si="75"/>
        <v/>
      </c>
      <c r="BJ41" t="str">
        <f t="shared" ca="1" si="76"/>
        <v/>
      </c>
      <c r="BK41" t="str">
        <f t="shared" ca="1" si="91"/>
        <v/>
      </c>
      <c r="BL41" t="str">
        <f t="shared" ca="1" si="77"/>
        <v/>
      </c>
      <c r="BM41" t="str">
        <f t="shared" ca="1" si="92"/>
        <v/>
      </c>
      <c r="BN41" t="str">
        <f t="shared" ca="1" si="93"/>
        <v/>
      </c>
      <c r="BO41" t="str">
        <f t="shared" ca="1" si="78"/>
        <v/>
      </c>
      <c r="BP41" t="b">
        <f ca="1">COUNTIF(COLHELPER!A41:'COLHELPER'!A41,COLHELPER!A41)&gt;1</f>
        <v>0</v>
      </c>
      <c r="BQ41">
        <f t="shared" ca="1" si="79"/>
        <v>0</v>
      </c>
      <c r="BR41" s="290" t="str">
        <f t="shared" ca="1" si="48"/>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c r="CD41" t="str">
        <f ca="1">IF(J41="","",Options!$B$23 &amp; "." &amp; J41)</f>
        <v/>
      </c>
    </row>
    <row r="42" spans="1:82">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7" t="str">
        <f t="array" aca="1" ref="O42" ca="1">IF(TRIM(INDIRECT("Columns!B42"))="","",TRIM(INDIRECT("Columns!B42")))</f>
        <v/>
      </c>
      <c r="P42" s="227" t="str">
        <f t="array" aca="1" ref="P42" ca="1">IF(TRIM(INDIRECT("Columns!C42"))="","",TRIM(INDIRECT("Columns!C42")))</f>
        <v/>
      </c>
      <c r="Q42" s="227" t="str">
        <f t="array" aca="1" ref="Q42" ca="1">IF(TRIM(INDIRECT("Columns!D42"))="","",TRIM(INDIRECT("Columns!D42")))</f>
        <v/>
      </c>
      <c r="R42" s="227" t="str">
        <f t="array" aca="1" ref="R42" ca="1">IF(TRIM(INDIRECT("Columns!O42"))="","",TRIM(INDIRECT("Columns!O42")))</f>
        <v/>
      </c>
      <c r="S42" t="str">
        <f t="shared" ca="1" si="52"/>
        <v/>
      </c>
      <c r="T42" t="str">
        <f t="shared" ca="1" si="53"/>
        <v/>
      </c>
      <c r="U42" t="str">
        <f t="shared" ca="1" si="54"/>
        <v/>
      </c>
      <c r="V42" t="str">
        <f t="shared" ca="1" si="55"/>
        <v/>
      </c>
      <c r="W42" t="str">
        <f t="shared" ca="1" si="56"/>
        <v/>
      </c>
      <c r="X42" t="str">
        <f t="shared" ca="1" si="57"/>
        <v/>
      </c>
      <c r="Y42" t="str">
        <f t="shared" ca="1" si="58"/>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9"/>
        <v/>
      </c>
      <c r="AF42" t="str">
        <f ca="1">IF(AE42&lt;&gt;"", HELPER!$B$93 &amp;  "." &amp; AE42,"")</f>
        <v/>
      </c>
      <c r="AG42" t="str">
        <f ca="1">IF(AE42&lt;&gt;"", HELPER!$B$94 &amp; "." &amp; AE42,"")</f>
        <v/>
      </c>
      <c r="AH42" t="str">
        <f t="shared" ca="1" si="88"/>
        <v/>
      </c>
      <c r="AI42" t="str">
        <f t="shared" ca="1" si="60"/>
        <v/>
      </c>
      <c r="AJ42" t="str">
        <f t="shared" ca="1" si="61"/>
        <v/>
      </c>
      <c r="AK42" t="str">
        <f ca="1">IF(E42="4", HELPER!$B$94 &amp;  "." &amp; A42,"")</f>
        <v/>
      </c>
      <c r="AL42" t="str">
        <f ca="1">IF(E42="4", HELPER!$B$93 &amp;  "." &amp; A42,"")</f>
        <v/>
      </c>
      <c r="AM42" t="str">
        <f t="shared" ca="1" si="62"/>
        <v/>
      </c>
      <c r="AN42" t="str">
        <f t="shared" ca="1" si="63"/>
        <v/>
      </c>
      <c r="AO42" t="str">
        <f ca="1">IF(A42&lt;&gt;"", IF(OR(F42="1",H42="1",I42="1"),""," "&amp; HELPER!$B$94 &amp; "." &amp; A42),"")</f>
        <v/>
      </c>
      <c r="AP42" t="str">
        <f t="shared" ca="1" si="64"/>
        <v/>
      </c>
      <c r="AQ42" t="str">
        <f t="shared" ca="1" si="95"/>
        <v/>
      </c>
      <c r="AS42" t="str">
        <f ca="1">IF(A42="","",  HELPER!$B$94 &amp;  "." &amp; A42)</f>
        <v/>
      </c>
      <c r="AT42" t="str">
        <f t="shared" ca="1" si="65"/>
        <v/>
      </c>
      <c r="AU42" t="str">
        <f t="shared" ca="1" si="66"/>
        <v/>
      </c>
      <c r="AV42" s="190" t="str">
        <f t="shared" ca="1" si="67"/>
        <v/>
      </c>
      <c r="AW42" t="str">
        <f t="shared" ca="1" si="68"/>
        <v/>
      </c>
      <c r="AY42" t="str">
        <f t="shared" ca="1" si="69"/>
        <v/>
      </c>
      <c r="AZ42" t="str">
        <f t="shared" ca="1" si="70"/>
        <v/>
      </c>
      <c r="BA42" t="str">
        <f ca="1">IF(AZ42="","", "CAST(" &amp; AZ42 &amp; " AS varchar(" &amp; Options!$B$49 &amp; "))")</f>
        <v/>
      </c>
      <c r="BB42" t="str">
        <f t="shared" ca="1" si="71"/>
        <v/>
      </c>
      <c r="BC42" t="str">
        <f t="shared" ca="1" si="89"/>
        <v/>
      </c>
      <c r="BE42" t="str">
        <f t="shared" ca="1" si="72"/>
        <v/>
      </c>
      <c r="BF42" t="str">
        <f t="shared" ca="1" si="73"/>
        <v/>
      </c>
      <c r="BG42" t="str">
        <f t="shared" ca="1" si="74"/>
        <v/>
      </c>
      <c r="BH42" s="285" t="str">
        <f t="shared" ca="1" si="90"/>
        <v/>
      </c>
      <c r="BI42" t="str">
        <f t="shared" ca="1" si="75"/>
        <v/>
      </c>
      <c r="BJ42" t="str">
        <f t="shared" ca="1" si="76"/>
        <v/>
      </c>
      <c r="BK42" t="str">
        <f t="shared" ca="1" si="91"/>
        <v/>
      </c>
      <c r="BL42" t="str">
        <f t="shared" ca="1" si="77"/>
        <v/>
      </c>
      <c r="BM42" t="str">
        <f t="shared" ca="1" si="92"/>
        <v/>
      </c>
      <c r="BN42" t="str">
        <f t="shared" ca="1" si="93"/>
        <v/>
      </c>
      <c r="BO42" t="str">
        <f t="shared" ca="1" si="78"/>
        <v/>
      </c>
      <c r="BP42" t="b">
        <f ca="1">COUNTIF(COLHELPER!A42:'COLHELPER'!A42,COLHELPER!A42)&gt;1</f>
        <v>0</v>
      </c>
      <c r="BQ42">
        <f t="shared" ca="1" si="79"/>
        <v>0</v>
      </c>
      <c r="BR42" s="290" t="str">
        <f t="shared" ca="1" si="48"/>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c r="CD42" t="str">
        <f ca="1">IF(J42="","",Options!$B$23 &amp; "." &amp; J42)</f>
        <v/>
      </c>
    </row>
    <row r="43" spans="1:82">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7" t="str">
        <f t="array" aca="1" ref="O43" ca="1">IF(TRIM(INDIRECT("Columns!B43"))="","",TRIM(INDIRECT("Columns!B43")))</f>
        <v/>
      </c>
      <c r="P43" s="227" t="str">
        <f t="array" aca="1" ref="P43" ca="1">IF(TRIM(INDIRECT("Columns!C43"))="","",TRIM(INDIRECT("Columns!C43")))</f>
        <v/>
      </c>
      <c r="Q43" s="227" t="str">
        <f t="array" aca="1" ref="Q43" ca="1">IF(TRIM(INDIRECT("Columns!D43"))="","",TRIM(INDIRECT("Columns!D43")))</f>
        <v/>
      </c>
      <c r="R43" s="227" t="str">
        <f t="array" aca="1" ref="R43" ca="1">IF(TRIM(INDIRECT("Columns!O43"))="","",TRIM(INDIRECT("Columns!O43")))</f>
        <v/>
      </c>
      <c r="S43" t="str">
        <f t="shared" ca="1" si="52"/>
        <v/>
      </c>
      <c r="T43" t="str">
        <f t="shared" ca="1" si="53"/>
        <v/>
      </c>
      <c r="U43" t="str">
        <f t="shared" ca="1" si="54"/>
        <v/>
      </c>
      <c r="V43" t="str">
        <f t="shared" ca="1" si="55"/>
        <v/>
      </c>
      <c r="W43" t="str">
        <f t="shared" ca="1" si="56"/>
        <v/>
      </c>
      <c r="X43" t="str">
        <f t="shared" ca="1" si="57"/>
        <v/>
      </c>
      <c r="Y43" t="str">
        <f t="shared" ca="1" si="58"/>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9"/>
        <v/>
      </c>
      <c r="AF43" t="str">
        <f ca="1">IF(AE43&lt;&gt;"", HELPER!$B$93 &amp;  "." &amp; AE43,"")</f>
        <v/>
      </c>
      <c r="AG43" t="str">
        <f ca="1">IF(AE43&lt;&gt;"", HELPER!$B$94 &amp; "." &amp; AE43,"")</f>
        <v/>
      </c>
      <c r="AH43" t="str">
        <f t="shared" ca="1" si="88"/>
        <v/>
      </c>
      <c r="AI43" t="str">
        <f t="shared" ca="1" si="60"/>
        <v/>
      </c>
      <c r="AJ43" t="str">
        <f t="shared" ca="1" si="61"/>
        <v/>
      </c>
      <c r="AK43" t="str">
        <f ca="1">IF(E43="4", HELPER!$B$94 &amp;  "." &amp; A43,"")</f>
        <v/>
      </c>
      <c r="AL43" t="str">
        <f ca="1">IF(E43="4", HELPER!$B$93 &amp;  "." &amp; A43,"")</f>
        <v/>
      </c>
      <c r="AM43" t="str">
        <f t="shared" ca="1" si="62"/>
        <v/>
      </c>
      <c r="AN43" t="str">
        <f t="shared" ca="1" si="63"/>
        <v/>
      </c>
      <c r="AO43" t="str">
        <f ca="1">IF(A43&lt;&gt;"", IF(OR(F43="1",H43="1",I43="1"),""," "&amp; HELPER!$B$94 &amp; "." &amp; A43),"")</f>
        <v/>
      </c>
      <c r="AP43" t="str">
        <f t="shared" ca="1" si="64"/>
        <v/>
      </c>
      <c r="AQ43" t="str">
        <f t="shared" ca="1" si="95"/>
        <v/>
      </c>
      <c r="AS43" t="str">
        <f ca="1">IF(A43="","",  HELPER!$B$94 &amp;  "." &amp; A43)</f>
        <v/>
      </c>
      <c r="AT43" t="str">
        <f t="shared" ca="1" si="65"/>
        <v/>
      </c>
      <c r="AU43" t="str">
        <f t="shared" ca="1" si="66"/>
        <v/>
      </c>
      <c r="AV43" s="190" t="str">
        <f t="shared" ca="1" si="67"/>
        <v/>
      </c>
      <c r="AW43" t="str">
        <f t="shared" ca="1" si="68"/>
        <v/>
      </c>
      <c r="AY43" t="str">
        <f t="shared" ca="1" si="69"/>
        <v/>
      </c>
      <c r="AZ43" t="str">
        <f t="shared" ca="1" si="70"/>
        <v/>
      </c>
      <c r="BA43" t="str">
        <f ca="1">IF(AZ43="","", "CAST(" &amp; AZ43 &amp; " AS varchar(" &amp; Options!$B$49 &amp; "))")</f>
        <v/>
      </c>
      <c r="BB43" t="str">
        <f t="shared" ca="1" si="71"/>
        <v/>
      </c>
      <c r="BC43" t="str">
        <f t="shared" ca="1" si="89"/>
        <v/>
      </c>
      <c r="BE43" t="str">
        <f t="shared" ca="1" si="72"/>
        <v/>
      </c>
      <c r="BF43" t="str">
        <f t="shared" ca="1" si="73"/>
        <v/>
      </c>
      <c r="BG43" t="str">
        <f t="shared" ca="1" si="74"/>
        <v/>
      </c>
      <c r="BH43" s="285" t="str">
        <f t="shared" ca="1" si="90"/>
        <v/>
      </c>
      <c r="BI43" t="str">
        <f t="shared" ca="1" si="75"/>
        <v/>
      </c>
      <c r="BJ43" t="str">
        <f t="shared" ca="1" si="76"/>
        <v/>
      </c>
      <c r="BK43" t="str">
        <f t="shared" ca="1" si="91"/>
        <v/>
      </c>
      <c r="BL43" t="str">
        <f t="shared" ca="1" si="77"/>
        <v/>
      </c>
      <c r="BM43" t="str">
        <f t="shared" ca="1" si="92"/>
        <v/>
      </c>
      <c r="BN43" t="str">
        <f t="shared" ca="1" si="93"/>
        <v/>
      </c>
      <c r="BO43" t="str">
        <f t="shared" ca="1" si="78"/>
        <v/>
      </c>
      <c r="BP43" t="b">
        <f ca="1">COUNTIF(COLHELPER!A43:'COLHELPER'!A43,COLHELPER!A43)&gt;1</f>
        <v>0</v>
      </c>
      <c r="BQ43">
        <f t="shared" ca="1" si="79"/>
        <v>0</v>
      </c>
      <c r="BR43" s="290" t="str">
        <f t="shared" ca="1" si="48"/>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c r="CD43" t="str">
        <f ca="1">IF(J43="","",Options!$B$23 &amp; "." &amp; J43)</f>
        <v/>
      </c>
    </row>
    <row r="44" spans="1:82">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7" t="str">
        <f t="array" aca="1" ref="O44" ca="1">IF(TRIM(INDIRECT("Columns!B44"))="","",TRIM(INDIRECT("Columns!B44")))</f>
        <v/>
      </c>
      <c r="P44" s="227" t="str">
        <f t="array" aca="1" ref="P44" ca="1">IF(TRIM(INDIRECT("Columns!C44"))="","",TRIM(INDIRECT("Columns!C44")))</f>
        <v/>
      </c>
      <c r="Q44" s="227" t="str">
        <f t="array" aca="1" ref="Q44" ca="1">IF(TRIM(INDIRECT("Columns!D44"))="","",TRIM(INDIRECT("Columns!D44")))</f>
        <v/>
      </c>
      <c r="R44" s="227" t="str">
        <f t="array" aca="1" ref="R44" ca="1">IF(TRIM(INDIRECT("Columns!O44"))="","",TRIM(INDIRECT("Columns!O44")))</f>
        <v/>
      </c>
      <c r="S44" t="str">
        <f t="shared" ca="1" si="52"/>
        <v/>
      </c>
      <c r="T44" t="str">
        <f t="shared" ca="1" si="53"/>
        <v/>
      </c>
      <c r="U44" t="str">
        <f t="shared" ca="1" si="54"/>
        <v/>
      </c>
      <c r="V44" t="str">
        <f t="shared" ca="1" si="55"/>
        <v/>
      </c>
      <c r="W44" t="str">
        <f t="shared" ca="1" si="56"/>
        <v/>
      </c>
      <c r="X44" t="str">
        <f t="shared" ca="1" si="57"/>
        <v/>
      </c>
      <c r="Y44" t="str">
        <f t="shared" ca="1" si="58"/>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9"/>
        <v/>
      </c>
      <c r="AF44" t="str">
        <f ca="1">IF(AE44&lt;&gt;"", HELPER!$B$93 &amp;  "." &amp; AE44,"")</f>
        <v/>
      </c>
      <c r="AG44" t="str">
        <f ca="1">IF(AE44&lt;&gt;"", HELPER!$B$94 &amp; "." &amp; AE44,"")</f>
        <v/>
      </c>
      <c r="AH44" t="str">
        <f t="shared" ca="1" si="88"/>
        <v/>
      </c>
      <c r="AI44" t="str">
        <f t="shared" ca="1" si="60"/>
        <v/>
      </c>
      <c r="AJ44" t="str">
        <f t="shared" ca="1" si="61"/>
        <v/>
      </c>
      <c r="AK44" t="str">
        <f ca="1">IF(E44="4", HELPER!$B$94 &amp;  "." &amp; A44,"")</f>
        <v/>
      </c>
      <c r="AL44" t="str">
        <f ca="1">IF(E44="4", HELPER!$B$93 &amp;  "." &amp; A44,"")</f>
        <v/>
      </c>
      <c r="AM44" t="str">
        <f t="shared" ca="1" si="62"/>
        <v/>
      </c>
      <c r="AN44" t="str">
        <f t="shared" ca="1" si="63"/>
        <v/>
      </c>
      <c r="AO44" t="str">
        <f ca="1">IF(A44&lt;&gt;"", IF(OR(F44="1",H44="1",I44="1"),""," "&amp; HELPER!$B$94 &amp; "." &amp; A44),"")</f>
        <v/>
      </c>
      <c r="AP44" t="str">
        <f t="shared" ca="1" si="64"/>
        <v/>
      </c>
      <c r="AQ44" t="str">
        <f t="shared" ca="1" si="95"/>
        <v/>
      </c>
      <c r="AS44" t="str">
        <f ca="1">IF(A44="","",  HELPER!$B$94 &amp;  "." &amp; A44)</f>
        <v/>
      </c>
      <c r="AT44" t="str">
        <f t="shared" ca="1" si="65"/>
        <v/>
      </c>
      <c r="AU44" t="str">
        <f t="shared" ca="1" si="66"/>
        <v/>
      </c>
      <c r="AV44" s="190" t="str">
        <f t="shared" ca="1" si="67"/>
        <v/>
      </c>
      <c r="AW44" t="str">
        <f t="shared" ca="1" si="68"/>
        <v/>
      </c>
      <c r="AY44" t="str">
        <f t="shared" ca="1" si="69"/>
        <v/>
      </c>
      <c r="AZ44" t="str">
        <f t="shared" ca="1" si="70"/>
        <v/>
      </c>
      <c r="BA44" t="str">
        <f ca="1">IF(AZ44="","", "CAST(" &amp; AZ44 &amp; " AS varchar(" &amp; Options!$B$49 &amp; "))")</f>
        <v/>
      </c>
      <c r="BB44" t="str">
        <f t="shared" ca="1" si="71"/>
        <v/>
      </c>
      <c r="BC44" t="str">
        <f t="shared" ca="1" si="89"/>
        <v/>
      </c>
      <c r="BE44" t="str">
        <f t="shared" ca="1" si="72"/>
        <v/>
      </c>
      <c r="BF44" t="str">
        <f t="shared" ca="1" si="73"/>
        <v/>
      </c>
      <c r="BG44" t="str">
        <f t="shared" ca="1" si="74"/>
        <v/>
      </c>
      <c r="BH44" s="285" t="str">
        <f t="shared" ca="1" si="90"/>
        <v/>
      </c>
      <c r="BI44" t="str">
        <f t="shared" ca="1" si="75"/>
        <v/>
      </c>
      <c r="BJ44" t="str">
        <f t="shared" ca="1" si="76"/>
        <v/>
      </c>
      <c r="BK44" t="str">
        <f t="shared" ca="1" si="91"/>
        <v/>
      </c>
      <c r="BL44" t="str">
        <f t="shared" ca="1" si="77"/>
        <v/>
      </c>
      <c r="BM44" t="str">
        <f t="shared" ca="1" si="92"/>
        <v/>
      </c>
      <c r="BN44" t="str">
        <f t="shared" ca="1" si="93"/>
        <v/>
      </c>
      <c r="BO44" t="str">
        <f t="shared" ca="1" si="78"/>
        <v/>
      </c>
      <c r="BP44" t="b">
        <f ca="1">COUNTIF(COLHELPER!A44:'COLHELPER'!A44,COLHELPER!A44)&gt;1</f>
        <v>0</v>
      </c>
      <c r="BQ44">
        <f t="shared" ca="1" si="79"/>
        <v>0</v>
      </c>
      <c r="BR44" s="290" t="str">
        <f t="shared" ca="1" si="48"/>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c r="CD44" t="str">
        <f ca="1">IF(J44="","",Options!$B$23 &amp; "." &amp; J44)</f>
        <v/>
      </c>
    </row>
    <row r="45" spans="1:82">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7" t="str">
        <f t="array" aca="1" ref="O45" ca="1">IF(TRIM(INDIRECT("Columns!B45"))="","",TRIM(INDIRECT("Columns!B45")))</f>
        <v/>
      </c>
      <c r="P45" s="227" t="str">
        <f t="array" aca="1" ref="P45" ca="1">IF(TRIM(INDIRECT("Columns!C45"))="","",TRIM(INDIRECT("Columns!C45")))</f>
        <v/>
      </c>
      <c r="Q45" s="227" t="str">
        <f t="array" aca="1" ref="Q45" ca="1">IF(TRIM(INDIRECT("Columns!D45"))="","",TRIM(INDIRECT("Columns!D45")))</f>
        <v/>
      </c>
      <c r="R45" s="227" t="str">
        <f t="array" aca="1" ref="R45" ca="1">IF(TRIM(INDIRECT("Columns!O45"))="","",TRIM(INDIRECT("Columns!O45")))</f>
        <v/>
      </c>
      <c r="S45" t="str">
        <f t="shared" ca="1" si="52"/>
        <v/>
      </c>
      <c r="T45" t="str">
        <f t="shared" ca="1" si="53"/>
        <v/>
      </c>
      <c r="U45" t="str">
        <f t="shared" ca="1" si="54"/>
        <v/>
      </c>
      <c r="V45" t="str">
        <f t="shared" ca="1" si="55"/>
        <v/>
      </c>
      <c r="W45" t="str">
        <f t="shared" ca="1" si="56"/>
        <v/>
      </c>
      <c r="X45" t="str">
        <f t="shared" ca="1" si="57"/>
        <v/>
      </c>
      <c r="Y45" t="str">
        <f t="shared" ca="1" si="58"/>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9"/>
        <v/>
      </c>
      <c r="AF45" t="str">
        <f ca="1">IF(AE45&lt;&gt;"", HELPER!$B$93 &amp;  "." &amp; AE45,"")</f>
        <v/>
      </c>
      <c r="AG45" t="str">
        <f ca="1">IF(AE45&lt;&gt;"", HELPER!$B$94 &amp; "." &amp; AE45,"")</f>
        <v/>
      </c>
      <c r="AH45" t="str">
        <f t="shared" ca="1" si="88"/>
        <v/>
      </c>
      <c r="AI45" t="str">
        <f t="shared" ca="1" si="60"/>
        <v/>
      </c>
      <c r="AJ45" t="str">
        <f t="shared" ca="1" si="61"/>
        <v/>
      </c>
      <c r="AK45" t="str">
        <f ca="1">IF(E45="4", HELPER!$B$94 &amp;  "." &amp; A45,"")</f>
        <v/>
      </c>
      <c r="AL45" t="str">
        <f ca="1">IF(E45="4", HELPER!$B$93 &amp;  "." &amp; A45,"")</f>
        <v/>
      </c>
      <c r="AM45" t="str">
        <f t="shared" ca="1" si="62"/>
        <v/>
      </c>
      <c r="AN45" t="str">
        <f t="shared" ca="1" si="63"/>
        <v/>
      </c>
      <c r="AO45" t="str">
        <f ca="1">IF(A45&lt;&gt;"", IF(OR(F45="1",H45="1",I45="1"),""," "&amp; HELPER!$B$94 &amp; "." &amp; A45),"")</f>
        <v/>
      </c>
      <c r="AP45" t="str">
        <f t="shared" ca="1" si="64"/>
        <v/>
      </c>
      <c r="AQ45" t="str">
        <f t="shared" ca="1" si="95"/>
        <v/>
      </c>
      <c r="AS45" t="str">
        <f ca="1">IF(A45="","",  HELPER!$B$94 &amp;  "." &amp; A45)</f>
        <v/>
      </c>
      <c r="AT45" t="str">
        <f t="shared" ca="1" si="65"/>
        <v/>
      </c>
      <c r="AU45" t="str">
        <f t="shared" ca="1" si="66"/>
        <v/>
      </c>
      <c r="AV45" s="190" t="str">
        <f t="shared" ca="1" si="67"/>
        <v/>
      </c>
      <c r="AW45" t="str">
        <f t="shared" ca="1" si="68"/>
        <v/>
      </c>
      <c r="AY45" t="str">
        <f t="shared" ca="1" si="69"/>
        <v/>
      </c>
      <c r="AZ45" t="str">
        <f t="shared" ca="1" si="70"/>
        <v/>
      </c>
      <c r="BA45" t="str">
        <f ca="1">IF(AZ45="","", "CAST(" &amp; AZ45 &amp; " AS varchar(" &amp; Options!$B$49 &amp; "))")</f>
        <v/>
      </c>
      <c r="BB45" t="str">
        <f t="shared" ca="1" si="71"/>
        <v/>
      </c>
      <c r="BC45" t="str">
        <f t="shared" ca="1" si="89"/>
        <v/>
      </c>
      <c r="BE45" t="str">
        <f t="shared" ca="1" si="72"/>
        <v/>
      </c>
      <c r="BF45" t="str">
        <f t="shared" ca="1" si="73"/>
        <v/>
      </c>
      <c r="BG45" t="str">
        <f t="shared" ca="1" si="74"/>
        <v/>
      </c>
      <c r="BH45" s="285" t="str">
        <f t="shared" ca="1" si="90"/>
        <v/>
      </c>
      <c r="BI45" t="str">
        <f t="shared" ca="1" si="75"/>
        <v/>
      </c>
      <c r="BJ45" t="str">
        <f t="shared" ca="1" si="76"/>
        <v/>
      </c>
      <c r="BK45" t="str">
        <f t="shared" ca="1" si="91"/>
        <v/>
      </c>
      <c r="BL45" t="str">
        <f t="shared" ca="1" si="77"/>
        <v/>
      </c>
      <c r="BM45" t="str">
        <f t="shared" ca="1" si="92"/>
        <v/>
      </c>
      <c r="BN45" t="str">
        <f t="shared" ca="1" si="93"/>
        <v/>
      </c>
      <c r="BO45" t="str">
        <f t="shared" ca="1" si="78"/>
        <v/>
      </c>
      <c r="BP45" t="b">
        <f ca="1">COUNTIF(COLHELPER!A45:'COLHELPER'!A45,COLHELPER!A45)&gt;1</f>
        <v>0</v>
      </c>
      <c r="BQ45">
        <f t="shared" ca="1" si="79"/>
        <v>0</v>
      </c>
      <c r="BR45" s="290" t="str">
        <f t="shared" ca="1" si="48"/>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c r="CD45" t="str">
        <f ca="1">IF(J45="","",Options!$B$23 &amp; "." &amp; J45)</f>
        <v/>
      </c>
    </row>
    <row r="46" spans="1:82">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7" t="str">
        <f t="array" aca="1" ref="O46" ca="1">IF(TRIM(INDIRECT("Columns!B46"))="","",TRIM(INDIRECT("Columns!B46")))</f>
        <v/>
      </c>
      <c r="P46" s="227" t="str">
        <f t="array" aca="1" ref="P46" ca="1">IF(TRIM(INDIRECT("Columns!C46"))="","",TRIM(INDIRECT("Columns!C46")))</f>
        <v/>
      </c>
      <c r="Q46" s="227" t="str">
        <f t="array" aca="1" ref="Q46" ca="1">IF(TRIM(INDIRECT("Columns!D46"))="","",TRIM(INDIRECT("Columns!D46")))</f>
        <v/>
      </c>
      <c r="R46" s="227" t="str">
        <f t="array" aca="1" ref="R46" ca="1">IF(TRIM(INDIRECT("Columns!O46"))="","",TRIM(INDIRECT("Columns!O46")))</f>
        <v/>
      </c>
      <c r="S46" t="str">
        <f t="shared" ca="1" si="52"/>
        <v/>
      </c>
      <c r="T46" t="str">
        <f t="shared" ca="1" si="53"/>
        <v/>
      </c>
      <c r="U46" t="str">
        <f t="shared" ca="1" si="54"/>
        <v/>
      </c>
      <c r="V46" t="str">
        <f t="shared" ca="1" si="55"/>
        <v/>
      </c>
      <c r="W46" t="str">
        <f t="shared" ca="1" si="56"/>
        <v/>
      </c>
      <c r="X46" t="str">
        <f t="shared" ca="1" si="57"/>
        <v/>
      </c>
      <c r="Y46" t="str">
        <f t="shared" ca="1" si="58"/>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9"/>
        <v/>
      </c>
      <c r="AF46" t="str">
        <f ca="1">IF(AE46&lt;&gt;"", HELPER!$B$93 &amp;  "." &amp; AE46,"")</f>
        <v/>
      </c>
      <c r="AG46" t="str">
        <f ca="1">IF(AE46&lt;&gt;"", HELPER!$B$94 &amp; "." &amp; AE46,"")</f>
        <v/>
      </c>
      <c r="AH46" t="str">
        <f t="shared" ca="1" si="88"/>
        <v/>
      </c>
      <c r="AI46" t="str">
        <f t="shared" ca="1" si="60"/>
        <v/>
      </c>
      <c r="AJ46" t="str">
        <f t="shared" ca="1" si="61"/>
        <v/>
      </c>
      <c r="AK46" t="str">
        <f ca="1">IF(E46="4", HELPER!$B$94 &amp;  "." &amp; A46,"")</f>
        <v/>
      </c>
      <c r="AL46" t="str">
        <f ca="1">IF(E46="4", HELPER!$B$93 &amp;  "." &amp; A46,"")</f>
        <v/>
      </c>
      <c r="AM46" t="str">
        <f t="shared" ca="1" si="62"/>
        <v/>
      </c>
      <c r="AN46" t="str">
        <f t="shared" ca="1" si="63"/>
        <v/>
      </c>
      <c r="AO46" t="str">
        <f ca="1">IF(A46&lt;&gt;"", IF(OR(F46="1",H46="1",I46="1"),""," "&amp; HELPER!$B$94 &amp; "." &amp; A46),"")</f>
        <v/>
      </c>
      <c r="AP46" t="str">
        <f t="shared" ca="1" si="64"/>
        <v/>
      </c>
      <c r="AQ46" t="str">
        <f t="shared" ca="1" si="95"/>
        <v/>
      </c>
      <c r="AS46" t="str">
        <f ca="1">IF(A46="","",  HELPER!$B$94 &amp;  "." &amp; A46)</f>
        <v/>
      </c>
      <c r="AT46" t="str">
        <f t="shared" ca="1" si="65"/>
        <v/>
      </c>
      <c r="AU46" t="str">
        <f t="shared" ca="1" si="66"/>
        <v/>
      </c>
      <c r="AV46" s="190" t="str">
        <f t="shared" ca="1" si="67"/>
        <v/>
      </c>
      <c r="AW46" t="str">
        <f t="shared" ca="1" si="68"/>
        <v/>
      </c>
      <c r="AY46" t="str">
        <f t="shared" ca="1" si="69"/>
        <v/>
      </c>
      <c r="AZ46" t="str">
        <f t="shared" ca="1" si="70"/>
        <v/>
      </c>
      <c r="BA46" t="str">
        <f ca="1">IF(AZ46="","", "CAST(" &amp; AZ46 &amp; " AS varchar(" &amp; Options!$B$49 &amp; "))")</f>
        <v/>
      </c>
      <c r="BB46" t="str">
        <f t="shared" ca="1" si="71"/>
        <v/>
      </c>
      <c r="BC46" t="str">
        <f t="shared" ca="1" si="89"/>
        <v/>
      </c>
      <c r="BE46" t="str">
        <f t="shared" ca="1" si="72"/>
        <v/>
      </c>
      <c r="BF46" t="str">
        <f t="shared" ca="1" si="73"/>
        <v/>
      </c>
      <c r="BG46" t="str">
        <f t="shared" ca="1" si="74"/>
        <v/>
      </c>
      <c r="BH46" s="285" t="str">
        <f t="shared" ca="1" si="90"/>
        <v/>
      </c>
      <c r="BI46" t="str">
        <f t="shared" ca="1" si="75"/>
        <v/>
      </c>
      <c r="BJ46" t="str">
        <f t="shared" ca="1" si="76"/>
        <v/>
      </c>
      <c r="BK46" t="str">
        <f t="shared" ca="1" si="91"/>
        <v/>
      </c>
      <c r="BL46" t="str">
        <f t="shared" ca="1" si="77"/>
        <v/>
      </c>
      <c r="BM46" t="str">
        <f t="shared" ca="1" si="92"/>
        <v/>
      </c>
      <c r="BN46" t="str">
        <f t="shared" ca="1" si="93"/>
        <v/>
      </c>
      <c r="BO46" t="str">
        <f t="shared" ca="1" si="78"/>
        <v/>
      </c>
      <c r="BP46" t="b">
        <f ca="1">COUNTIF(COLHELPER!A46:'COLHELPER'!A46,COLHELPER!A46)&gt;1</f>
        <v>0</v>
      </c>
      <c r="BQ46">
        <f t="shared" ca="1" si="79"/>
        <v>0</v>
      </c>
      <c r="BR46" s="290" t="str">
        <f t="shared" ca="1" si="48"/>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c r="CD46" t="str">
        <f ca="1">IF(J46="","",Options!$B$23 &amp; "." &amp; J46)</f>
        <v/>
      </c>
    </row>
    <row r="47" spans="1:82">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7" t="str">
        <f t="array" aca="1" ref="O47" ca="1">IF(TRIM(INDIRECT("Columns!B47"))="","",TRIM(INDIRECT("Columns!B47")))</f>
        <v/>
      </c>
      <c r="P47" s="227" t="str">
        <f t="array" aca="1" ref="P47" ca="1">IF(TRIM(INDIRECT("Columns!C47"))="","",TRIM(INDIRECT("Columns!C47")))</f>
        <v/>
      </c>
      <c r="Q47" s="227" t="str">
        <f t="array" aca="1" ref="Q47" ca="1">IF(TRIM(INDIRECT("Columns!D47"))="","",TRIM(INDIRECT("Columns!D47")))</f>
        <v/>
      </c>
      <c r="R47" s="227" t="str">
        <f t="array" aca="1" ref="R47" ca="1">IF(TRIM(INDIRECT("Columns!O47"))="","",TRIM(INDIRECT("Columns!O47")))</f>
        <v/>
      </c>
      <c r="S47" t="str">
        <f t="shared" ca="1" si="52"/>
        <v/>
      </c>
      <c r="T47" t="str">
        <f t="shared" ca="1" si="53"/>
        <v/>
      </c>
      <c r="U47" t="str">
        <f t="shared" ca="1" si="54"/>
        <v/>
      </c>
      <c r="V47" t="str">
        <f t="shared" ca="1" si="55"/>
        <v/>
      </c>
      <c r="W47" t="str">
        <f t="shared" ca="1" si="56"/>
        <v/>
      </c>
      <c r="X47" t="str">
        <f t="shared" ca="1" si="57"/>
        <v/>
      </c>
      <c r="Y47" t="str">
        <f t="shared" ca="1" si="58"/>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9"/>
        <v/>
      </c>
      <c r="AF47" t="str">
        <f ca="1">IF(AE47&lt;&gt;"", HELPER!$B$93 &amp;  "." &amp; AE47,"")</f>
        <v/>
      </c>
      <c r="AG47" t="str">
        <f ca="1">IF(AE47&lt;&gt;"", HELPER!$B$94 &amp; "." &amp; AE47,"")</f>
        <v/>
      </c>
      <c r="AH47" t="str">
        <f t="shared" ca="1" si="88"/>
        <v/>
      </c>
      <c r="AI47" t="str">
        <f t="shared" ca="1" si="60"/>
        <v/>
      </c>
      <c r="AJ47" t="str">
        <f t="shared" ca="1" si="61"/>
        <v/>
      </c>
      <c r="AK47" t="str">
        <f ca="1">IF(E47="4", HELPER!$B$94 &amp;  "." &amp; A47,"")</f>
        <v/>
      </c>
      <c r="AL47" t="str">
        <f ca="1">IF(E47="4", HELPER!$B$93 &amp;  "." &amp; A47,"")</f>
        <v/>
      </c>
      <c r="AM47" t="str">
        <f t="shared" ca="1" si="62"/>
        <v/>
      </c>
      <c r="AN47" t="str">
        <f t="shared" ca="1" si="63"/>
        <v/>
      </c>
      <c r="AO47" t="str">
        <f ca="1">IF(A47&lt;&gt;"", IF(OR(F47="1",H47="1",I47="1"),""," "&amp; HELPER!$B$94 &amp; "." &amp; A47),"")</f>
        <v/>
      </c>
      <c r="AP47" t="str">
        <f t="shared" ca="1" si="64"/>
        <v/>
      </c>
      <c r="AQ47" t="str">
        <f t="shared" ca="1" si="95"/>
        <v/>
      </c>
      <c r="AS47" t="str">
        <f ca="1">IF(A47="","",  HELPER!$B$94 &amp;  "." &amp; A47)</f>
        <v/>
      </c>
      <c r="AT47" t="str">
        <f t="shared" ca="1" si="65"/>
        <v/>
      </c>
      <c r="AU47" t="str">
        <f t="shared" ca="1" si="66"/>
        <v/>
      </c>
      <c r="AV47" s="190" t="str">
        <f t="shared" ca="1" si="67"/>
        <v/>
      </c>
      <c r="AW47" t="str">
        <f t="shared" ca="1" si="68"/>
        <v/>
      </c>
      <c r="AY47" t="str">
        <f t="shared" ca="1" si="69"/>
        <v/>
      </c>
      <c r="AZ47" t="str">
        <f t="shared" ca="1" si="70"/>
        <v/>
      </c>
      <c r="BA47" t="str">
        <f ca="1">IF(AZ47="","", "CAST(" &amp; AZ47 &amp; " AS varchar(" &amp; Options!$B$49 &amp; "))")</f>
        <v/>
      </c>
      <c r="BB47" t="str">
        <f t="shared" ca="1" si="71"/>
        <v/>
      </c>
      <c r="BC47" t="str">
        <f t="shared" ca="1" si="89"/>
        <v/>
      </c>
      <c r="BE47" t="str">
        <f t="shared" ca="1" si="72"/>
        <v/>
      </c>
      <c r="BF47" t="str">
        <f t="shared" ca="1" si="73"/>
        <v/>
      </c>
      <c r="BG47" t="str">
        <f t="shared" ca="1" si="74"/>
        <v/>
      </c>
      <c r="BH47" s="285" t="str">
        <f t="shared" ca="1" si="90"/>
        <v/>
      </c>
      <c r="BI47" t="str">
        <f t="shared" ca="1" si="75"/>
        <v/>
      </c>
      <c r="BJ47" t="str">
        <f t="shared" ca="1" si="76"/>
        <v/>
      </c>
      <c r="BK47" t="str">
        <f t="shared" ca="1" si="91"/>
        <v/>
      </c>
      <c r="BL47" t="str">
        <f t="shared" ca="1" si="77"/>
        <v/>
      </c>
      <c r="BM47" t="str">
        <f t="shared" ca="1" si="92"/>
        <v/>
      </c>
      <c r="BN47" t="str">
        <f t="shared" ca="1" si="93"/>
        <v/>
      </c>
      <c r="BO47" t="str">
        <f t="shared" ca="1" si="78"/>
        <v/>
      </c>
      <c r="BP47" t="b">
        <f ca="1">COUNTIF(COLHELPER!A47:'COLHELPER'!A47,COLHELPER!A47)&gt;1</f>
        <v>0</v>
      </c>
      <c r="BQ47">
        <f t="shared" ca="1" si="79"/>
        <v>0</v>
      </c>
      <c r="BR47" s="290" t="str">
        <f t="shared" ca="1" si="48"/>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c r="CD47" t="str">
        <f ca="1">IF(J47="","",Options!$B$23 &amp; "." &amp; J47)</f>
        <v/>
      </c>
    </row>
    <row r="48" spans="1:82">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7" t="str">
        <f t="array" aca="1" ref="O48" ca="1">IF(TRIM(INDIRECT("Columns!B48"))="","",TRIM(INDIRECT("Columns!B48")))</f>
        <v/>
      </c>
      <c r="P48" s="227" t="str">
        <f t="array" aca="1" ref="P48" ca="1">IF(TRIM(INDIRECT("Columns!C48"))="","",TRIM(INDIRECT("Columns!C48")))</f>
        <v/>
      </c>
      <c r="Q48" s="227" t="str">
        <f t="array" aca="1" ref="Q48" ca="1">IF(TRIM(INDIRECT("Columns!D48"))="","",TRIM(INDIRECT("Columns!D48")))</f>
        <v/>
      </c>
      <c r="R48" s="227" t="str">
        <f t="array" aca="1" ref="R48" ca="1">IF(TRIM(INDIRECT("Columns!O48"))="","",TRIM(INDIRECT("Columns!O48")))</f>
        <v/>
      </c>
      <c r="S48" t="str">
        <f t="shared" ca="1" si="52"/>
        <v/>
      </c>
      <c r="T48" t="str">
        <f t="shared" ca="1" si="53"/>
        <v/>
      </c>
      <c r="U48" t="str">
        <f t="shared" ca="1" si="54"/>
        <v/>
      </c>
      <c r="V48" t="str">
        <f t="shared" ca="1" si="55"/>
        <v/>
      </c>
      <c r="W48" t="str">
        <f t="shared" ca="1" si="56"/>
        <v/>
      </c>
      <c r="X48" t="str">
        <f t="shared" ca="1" si="57"/>
        <v/>
      </c>
      <c r="Y48" t="str">
        <f t="shared" ca="1" si="58"/>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9"/>
        <v/>
      </c>
      <c r="AF48" t="str">
        <f ca="1">IF(AE48&lt;&gt;"", HELPER!$B$93 &amp;  "." &amp; AE48,"")</f>
        <v/>
      </c>
      <c r="AG48" t="str">
        <f ca="1">IF(AE48&lt;&gt;"", HELPER!$B$94 &amp; "." &amp; AE48,"")</f>
        <v/>
      </c>
      <c r="AH48" t="str">
        <f t="shared" ca="1" si="88"/>
        <v/>
      </c>
      <c r="AI48" t="str">
        <f t="shared" ca="1" si="60"/>
        <v/>
      </c>
      <c r="AJ48" t="str">
        <f t="shared" ca="1" si="61"/>
        <v/>
      </c>
      <c r="AK48" t="str">
        <f ca="1">IF(E48="4", HELPER!$B$94 &amp;  "." &amp; A48,"")</f>
        <v/>
      </c>
      <c r="AL48" t="str">
        <f ca="1">IF(E48="4", HELPER!$B$93 &amp;  "." &amp; A48,"")</f>
        <v/>
      </c>
      <c r="AM48" t="str">
        <f t="shared" ca="1" si="62"/>
        <v/>
      </c>
      <c r="AN48" t="str">
        <f t="shared" ca="1" si="63"/>
        <v/>
      </c>
      <c r="AO48" t="str">
        <f ca="1">IF(A48&lt;&gt;"", IF(OR(F48="1",H48="1",I48="1"),""," "&amp; HELPER!$B$94 &amp; "." &amp; A48),"")</f>
        <v/>
      </c>
      <c r="AP48" t="str">
        <f t="shared" ca="1" si="64"/>
        <v/>
      </c>
      <c r="AQ48" t="str">
        <f t="shared" ca="1" si="95"/>
        <v/>
      </c>
      <c r="AS48" t="str">
        <f ca="1">IF(A48="","",  HELPER!$B$94 &amp;  "." &amp; A48)</f>
        <v/>
      </c>
      <c r="AT48" t="str">
        <f t="shared" ca="1" si="65"/>
        <v/>
      </c>
      <c r="AU48" t="str">
        <f t="shared" ca="1" si="66"/>
        <v/>
      </c>
      <c r="AV48" s="190" t="str">
        <f t="shared" ca="1" si="67"/>
        <v/>
      </c>
      <c r="AW48" t="str">
        <f t="shared" ca="1" si="68"/>
        <v/>
      </c>
      <c r="AY48" t="str">
        <f t="shared" ca="1" si="69"/>
        <v/>
      </c>
      <c r="AZ48" t="str">
        <f t="shared" ca="1" si="70"/>
        <v/>
      </c>
      <c r="BA48" t="str">
        <f ca="1">IF(AZ48="","", "CAST(" &amp; AZ48 &amp; " AS varchar(" &amp; Options!$B$49 &amp; "))")</f>
        <v/>
      </c>
      <c r="BB48" t="str">
        <f t="shared" ca="1" si="71"/>
        <v/>
      </c>
      <c r="BC48" t="str">
        <f t="shared" ca="1" si="89"/>
        <v/>
      </c>
      <c r="BE48" t="str">
        <f t="shared" ca="1" si="72"/>
        <v/>
      </c>
      <c r="BF48" t="str">
        <f t="shared" ca="1" si="73"/>
        <v/>
      </c>
      <c r="BG48" t="str">
        <f t="shared" ca="1" si="74"/>
        <v/>
      </c>
      <c r="BH48" s="285" t="str">
        <f t="shared" ca="1" si="90"/>
        <v/>
      </c>
      <c r="BI48" t="str">
        <f t="shared" ca="1" si="75"/>
        <v/>
      </c>
      <c r="BJ48" t="str">
        <f t="shared" ca="1" si="76"/>
        <v/>
      </c>
      <c r="BK48" t="str">
        <f t="shared" ca="1" si="91"/>
        <v/>
      </c>
      <c r="BL48" t="str">
        <f t="shared" ca="1" si="77"/>
        <v/>
      </c>
      <c r="BM48" t="str">
        <f t="shared" ca="1" si="92"/>
        <v/>
      </c>
      <c r="BN48" t="str">
        <f t="shared" ca="1" si="93"/>
        <v/>
      </c>
      <c r="BO48" t="str">
        <f t="shared" ca="1" si="78"/>
        <v/>
      </c>
      <c r="BP48" t="b">
        <f ca="1">COUNTIF(COLHELPER!A48:'COLHELPER'!A48,COLHELPER!A48)&gt;1</f>
        <v>0</v>
      </c>
      <c r="BQ48">
        <f t="shared" ca="1" si="79"/>
        <v>0</v>
      </c>
      <c r="BR48" s="290" t="str">
        <f t="shared" ca="1" si="48"/>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c r="CD48" t="str">
        <f ca="1">IF(J48="","",Options!$B$23 &amp; "." &amp; J48)</f>
        <v/>
      </c>
    </row>
    <row r="49" spans="1:82">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7" t="str">
        <f t="array" aca="1" ref="O49" ca="1">IF(TRIM(INDIRECT("Columns!B49"))="","",TRIM(INDIRECT("Columns!B49")))</f>
        <v/>
      </c>
      <c r="P49" s="227" t="str">
        <f t="array" aca="1" ref="P49" ca="1">IF(TRIM(INDIRECT("Columns!C49"))="","",TRIM(INDIRECT("Columns!C49")))</f>
        <v/>
      </c>
      <c r="Q49" s="227" t="str">
        <f t="array" aca="1" ref="Q49" ca="1">IF(TRIM(INDIRECT("Columns!D49"))="","",TRIM(INDIRECT("Columns!D49")))</f>
        <v/>
      </c>
      <c r="R49" s="227" t="str">
        <f t="array" aca="1" ref="R49" ca="1">IF(TRIM(INDIRECT("Columns!O49"))="","",TRIM(INDIRECT("Columns!O49")))</f>
        <v/>
      </c>
      <c r="S49" t="str">
        <f t="shared" ca="1" si="52"/>
        <v/>
      </c>
      <c r="T49" t="str">
        <f t="shared" ca="1" si="53"/>
        <v/>
      </c>
      <c r="U49" t="str">
        <f t="shared" ca="1" si="54"/>
        <v/>
      </c>
      <c r="V49" t="str">
        <f t="shared" ca="1" si="55"/>
        <v/>
      </c>
      <c r="W49" t="str">
        <f t="shared" ca="1" si="56"/>
        <v/>
      </c>
      <c r="X49" t="str">
        <f t="shared" ca="1" si="57"/>
        <v/>
      </c>
      <c r="Y49" t="str">
        <f t="shared" ca="1" si="58"/>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9"/>
        <v/>
      </c>
      <c r="AF49" t="str">
        <f ca="1">IF(AE49&lt;&gt;"", HELPER!$B$93 &amp;  "." &amp; AE49,"")</f>
        <v/>
      </c>
      <c r="AG49" t="str">
        <f ca="1">IF(AE49&lt;&gt;"", HELPER!$B$94 &amp; "." &amp; AE49,"")</f>
        <v/>
      </c>
      <c r="AH49" t="str">
        <f t="shared" ca="1" si="88"/>
        <v/>
      </c>
      <c r="AI49" t="str">
        <f t="shared" ca="1" si="60"/>
        <v/>
      </c>
      <c r="AJ49" t="str">
        <f t="shared" ca="1" si="61"/>
        <v/>
      </c>
      <c r="AK49" t="str">
        <f ca="1">IF(E49="4", HELPER!$B$94 &amp;  "." &amp; A49,"")</f>
        <v/>
      </c>
      <c r="AL49" t="str">
        <f ca="1">IF(E49="4", HELPER!$B$93 &amp;  "." &amp; A49,"")</f>
        <v/>
      </c>
      <c r="AM49" t="str">
        <f t="shared" ca="1" si="62"/>
        <v/>
      </c>
      <c r="AN49" t="str">
        <f t="shared" ca="1" si="63"/>
        <v/>
      </c>
      <c r="AO49" t="str">
        <f ca="1">IF(A49&lt;&gt;"", IF(OR(F49="1",H49="1",I49="1"),""," "&amp; HELPER!$B$94 &amp; "." &amp; A49),"")</f>
        <v/>
      </c>
      <c r="AP49" t="str">
        <f t="shared" ca="1" si="64"/>
        <v/>
      </c>
      <c r="AQ49" t="str">
        <f t="shared" ca="1" si="95"/>
        <v/>
      </c>
      <c r="AS49" t="str">
        <f ca="1">IF(A49="","",  HELPER!$B$94 &amp;  "." &amp; A49)</f>
        <v/>
      </c>
      <c r="AT49" t="str">
        <f t="shared" ca="1" si="65"/>
        <v/>
      </c>
      <c r="AU49" t="str">
        <f t="shared" ca="1" si="66"/>
        <v/>
      </c>
      <c r="AV49" s="190" t="str">
        <f t="shared" ca="1" si="67"/>
        <v/>
      </c>
      <c r="AW49" t="str">
        <f t="shared" ca="1" si="68"/>
        <v/>
      </c>
      <c r="AY49" t="str">
        <f t="shared" ca="1" si="69"/>
        <v/>
      </c>
      <c r="AZ49" t="str">
        <f t="shared" ca="1" si="70"/>
        <v/>
      </c>
      <c r="BA49" t="str">
        <f ca="1">IF(AZ49="","", "CAST(" &amp; AZ49 &amp; " AS varchar(" &amp; Options!$B$49 &amp; "))")</f>
        <v/>
      </c>
      <c r="BB49" t="str">
        <f t="shared" ca="1" si="71"/>
        <v/>
      </c>
      <c r="BC49" t="str">
        <f t="shared" ca="1" si="89"/>
        <v/>
      </c>
      <c r="BE49" t="str">
        <f t="shared" ca="1" si="72"/>
        <v/>
      </c>
      <c r="BF49" t="str">
        <f t="shared" ca="1" si="73"/>
        <v/>
      </c>
      <c r="BG49" t="str">
        <f t="shared" ca="1" si="74"/>
        <v/>
      </c>
      <c r="BH49" s="285" t="str">
        <f t="shared" ca="1" si="90"/>
        <v/>
      </c>
      <c r="BI49" t="str">
        <f t="shared" ca="1" si="75"/>
        <v/>
      </c>
      <c r="BJ49" t="str">
        <f t="shared" ca="1" si="76"/>
        <v/>
      </c>
      <c r="BK49" t="str">
        <f t="shared" ca="1" si="91"/>
        <v/>
      </c>
      <c r="BL49" t="str">
        <f t="shared" ca="1" si="77"/>
        <v/>
      </c>
      <c r="BM49" t="str">
        <f t="shared" ca="1" si="92"/>
        <v/>
      </c>
      <c r="BN49" t="str">
        <f t="shared" ca="1" si="93"/>
        <v/>
      </c>
      <c r="BO49" t="str">
        <f t="shared" ca="1" si="78"/>
        <v/>
      </c>
      <c r="BP49" t="b">
        <f ca="1">COUNTIF(COLHELPER!A49:'COLHELPER'!A49,COLHELPER!A49)&gt;1</f>
        <v>0</v>
      </c>
      <c r="BQ49">
        <f t="shared" ca="1" si="79"/>
        <v>0</v>
      </c>
      <c r="BR49" s="290" t="str">
        <f t="shared" ca="1" si="48"/>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c r="CD49" t="str">
        <f ca="1">IF(J49="","",Options!$B$23 &amp; "." &amp; J49)</f>
        <v/>
      </c>
    </row>
    <row r="50" spans="1:82">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7" t="str">
        <f t="array" aca="1" ref="O50" ca="1">IF(TRIM(INDIRECT("Columns!B50"))="","",TRIM(INDIRECT("Columns!B50")))</f>
        <v/>
      </c>
      <c r="P50" s="227" t="str">
        <f t="array" aca="1" ref="P50" ca="1">IF(TRIM(INDIRECT("Columns!C50"))="","",TRIM(INDIRECT("Columns!C50")))</f>
        <v/>
      </c>
      <c r="Q50" s="227" t="str">
        <f t="array" aca="1" ref="Q50" ca="1">IF(TRIM(INDIRECT("Columns!D50"))="","",TRIM(INDIRECT("Columns!D50")))</f>
        <v/>
      </c>
      <c r="R50" s="227" t="str">
        <f t="array" aca="1" ref="R50" ca="1">IF(TRIM(INDIRECT("Columns!O50"))="","",TRIM(INDIRECT("Columns!O50")))</f>
        <v/>
      </c>
      <c r="S50" t="str">
        <f t="shared" ca="1" si="52"/>
        <v/>
      </c>
      <c r="T50" t="str">
        <f t="shared" ca="1" si="53"/>
        <v/>
      </c>
      <c r="U50" t="str">
        <f t="shared" ca="1" si="54"/>
        <v/>
      </c>
      <c r="V50" t="str">
        <f t="shared" ca="1" si="55"/>
        <v/>
      </c>
      <c r="W50" t="str">
        <f t="shared" ca="1" si="56"/>
        <v/>
      </c>
      <c r="X50" t="str">
        <f t="shared" ca="1" si="57"/>
        <v/>
      </c>
      <c r="Y50" t="str">
        <f t="shared" ca="1" si="58"/>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9"/>
        <v/>
      </c>
      <c r="AF50" t="str">
        <f ca="1">IF(AE50&lt;&gt;"", HELPER!$B$93 &amp;  "." &amp; AE50,"")</f>
        <v/>
      </c>
      <c r="AG50" t="str">
        <f ca="1">IF(AE50&lt;&gt;"", HELPER!$B$94 &amp; "." &amp; AE50,"")</f>
        <v/>
      </c>
      <c r="AH50" t="str">
        <f t="shared" ca="1" si="88"/>
        <v/>
      </c>
      <c r="AI50" t="str">
        <f t="shared" ca="1" si="60"/>
        <v/>
      </c>
      <c r="AJ50" t="str">
        <f t="shared" ca="1" si="61"/>
        <v/>
      </c>
      <c r="AK50" t="str">
        <f ca="1">IF(E50="4", HELPER!$B$94 &amp;  "." &amp; A50,"")</f>
        <v/>
      </c>
      <c r="AL50" t="str">
        <f ca="1">IF(E50="4", HELPER!$B$93 &amp;  "." &amp; A50,"")</f>
        <v/>
      </c>
      <c r="AM50" t="str">
        <f t="shared" ca="1" si="62"/>
        <v/>
      </c>
      <c r="AN50" t="str">
        <f t="shared" ca="1" si="63"/>
        <v/>
      </c>
      <c r="AO50" t="str">
        <f ca="1">IF(A50&lt;&gt;"", IF(OR(F50="1",H50="1",I50="1"),""," "&amp; HELPER!$B$94 &amp; "." &amp; A50),"")</f>
        <v/>
      </c>
      <c r="AP50" t="str">
        <f t="shared" ca="1" si="64"/>
        <v/>
      </c>
      <c r="AQ50" t="str">
        <f t="shared" ca="1" si="95"/>
        <v/>
      </c>
      <c r="AS50" t="str">
        <f ca="1">IF(A50="","",  HELPER!$B$94 &amp;  "." &amp; A50)</f>
        <v/>
      </c>
      <c r="AT50" t="str">
        <f t="shared" ca="1" si="65"/>
        <v/>
      </c>
      <c r="AU50" t="str">
        <f t="shared" ca="1" si="66"/>
        <v/>
      </c>
      <c r="AV50" s="190" t="str">
        <f t="shared" ca="1" si="67"/>
        <v/>
      </c>
      <c r="AW50" t="str">
        <f t="shared" ca="1" si="68"/>
        <v/>
      </c>
      <c r="AY50" t="str">
        <f t="shared" ca="1" si="69"/>
        <v/>
      </c>
      <c r="AZ50" t="str">
        <f t="shared" ca="1" si="70"/>
        <v/>
      </c>
      <c r="BA50" t="str">
        <f ca="1">IF(AZ50="","", "CAST(" &amp; AZ50 &amp; " AS varchar(" &amp; Options!$B$49 &amp; "))")</f>
        <v/>
      </c>
      <c r="BB50" t="str">
        <f t="shared" ca="1" si="71"/>
        <v/>
      </c>
      <c r="BC50" t="str">
        <f t="shared" ca="1" si="89"/>
        <v/>
      </c>
      <c r="BE50" t="str">
        <f t="shared" ca="1" si="72"/>
        <v/>
      </c>
      <c r="BF50" t="str">
        <f t="shared" ca="1" si="73"/>
        <v/>
      </c>
      <c r="BG50" t="str">
        <f t="shared" ca="1" si="74"/>
        <v/>
      </c>
      <c r="BH50" s="285" t="str">
        <f t="shared" ca="1" si="90"/>
        <v/>
      </c>
      <c r="BI50" t="str">
        <f t="shared" ca="1" si="75"/>
        <v/>
      </c>
      <c r="BJ50" t="str">
        <f t="shared" ca="1" si="76"/>
        <v/>
      </c>
      <c r="BK50" t="str">
        <f t="shared" ca="1" si="91"/>
        <v/>
      </c>
      <c r="BL50" t="str">
        <f t="shared" ca="1" si="77"/>
        <v/>
      </c>
      <c r="BM50" t="str">
        <f t="shared" ca="1" si="92"/>
        <v/>
      </c>
      <c r="BN50" t="str">
        <f t="shared" ca="1" si="93"/>
        <v/>
      </c>
      <c r="BO50" t="str">
        <f t="shared" ca="1" si="78"/>
        <v/>
      </c>
      <c r="BP50" t="b">
        <f ca="1">COUNTIF(COLHELPER!A50:'COLHELPER'!A50,COLHELPER!A50)&gt;1</f>
        <v>0</v>
      </c>
      <c r="BQ50">
        <f t="shared" ca="1" si="79"/>
        <v>0</v>
      </c>
      <c r="BR50" s="290" t="str">
        <f t="shared" ca="1" si="48"/>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c r="CD50" t="str">
        <f ca="1">IF(J50="","",Options!$B$23 &amp; "." &amp; J50)</f>
        <v/>
      </c>
    </row>
    <row r="51" spans="1:82">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7" t="str">
        <f t="array" aca="1" ref="O51" ca="1">IF(TRIM(INDIRECT("Columns!B51"))="","",TRIM(INDIRECT("Columns!B51")))</f>
        <v/>
      </c>
      <c r="P51" s="227" t="str">
        <f t="array" aca="1" ref="P51" ca="1">IF(TRIM(INDIRECT("Columns!C51"))="","",TRIM(INDIRECT("Columns!C51")))</f>
        <v/>
      </c>
      <c r="Q51" s="227" t="str">
        <f t="array" aca="1" ref="Q51" ca="1">IF(TRIM(INDIRECT("Columns!D51"))="","",TRIM(INDIRECT("Columns!D51")))</f>
        <v/>
      </c>
      <c r="R51" s="227" t="str">
        <f t="array" aca="1" ref="R51" ca="1">IF(TRIM(INDIRECT("Columns!O51"))="","",TRIM(INDIRECT("Columns!O51")))</f>
        <v/>
      </c>
      <c r="S51" t="str">
        <f t="shared" ca="1" si="52"/>
        <v/>
      </c>
      <c r="T51" t="str">
        <f t="shared" ca="1" si="53"/>
        <v/>
      </c>
      <c r="U51" t="str">
        <f t="shared" ca="1" si="54"/>
        <v/>
      </c>
      <c r="V51" t="str">
        <f t="shared" ca="1" si="55"/>
        <v/>
      </c>
      <c r="W51" t="str">
        <f t="shared" ca="1" si="56"/>
        <v/>
      </c>
      <c r="X51" t="str">
        <f t="shared" ca="1" si="57"/>
        <v/>
      </c>
      <c r="Y51" t="str">
        <f t="shared" ca="1" si="58"/>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9"/>
        <v/>
      </c>
      <c r="AF51" t="str">
        <f ca="1">IF(AE51&lt;&gt;"", HELPER!$B$93 &amp;  "." &amp; AE51,"")</f>
        <v/>
      </c>
      <c r="AG51" t="str">
        <f ca="1">IF(AE51&lt;&gt;"", HELPER!$B$94 &amp; "." &amp; AE51,"")</f>
        <v/>
      </c>
      <c r="AH51" t="str">
        <f t="shared" ca="1" si="88"/>
        <v/>
      </c>
      <c r="AI51" t="str">
        <f t="shared" ca="1" si="60"/>
        <v/>
      </c>
      <c r="AJ51" t="str">
        <f t="shared" ca="1" si="61"/>
        <v/>
      </c>
      <c r="AK51" t="str">
        <f ca="1">IF(E51="4", HELPER!$B$94 &amp;  "." &amp; A51,"")</f>
        <v/>
      </c>
      <c r="AL51" t="str">
        <f ca="1">IF(E51="4", HELPER!$B$93 &amp;  "." &amp; A51,"")</f>
        <v/>
      </c>
      <c r="AM51" t="str">
        <f t="shared" ca="1" si="62"/>
        <v/>
      </c>
      <c r="AN51" t="str">
        <f t="shared" ca="1" si="63"/>
        <v/>
      </c>
      <c r="AO51" t="str">
        <f ca="1">IF(A51&lt;&gt;"", IF(OR(F51="1",H51="1",I51="1"),""," "&amp; HELPER!$B$94 &amp; "." &amp; A51),"")</f>
        <v/>
      </c>
      <c r="AP51" t="str">
        <f t="shared" ca="1" si="64"/>
        <v/>
      </c>
      <c r="AQ51" t="str">
        <f t="shared" ca="1" si="95"/>
        <v/>
      </c>
      <c r="AS51" t="str">
        <f ca="1">IF(A51="","",  HELPER!$B$94 &amp;  "." &amp; A51)</f>
        <v/>
      </c>
      <c r="AT51" t="str">
        <f t="shared" ca="1" si="65"/>
        <v/>
      </c>
      <c r="AU51" t="str">
        <f t="shared" ca="1" si="66"/>
        <v/>
      </c>
      <c r="AV51" s="190" t="str">
        <f t="shared" ca="1" si="67"/>
        <v/>
      </c>
      <c r="AW51" t="str">
        <f t="shared" ca="1" si="68"/>
        <v/>
      </c>
      <c r="AY51" t="str">
        <f t="shared" ca="1" si="69"/>
        <v/>
      </c>
      <c r="BF51" t="str">
        <f t="shared" ca="1" si="73"/>
        <v/>
      </c>
      <c r="BH51" s="285" t="str">
        <f t="shared" ca="1" si="90"/>
        <v/>
      </c>
      <c r="BI51" t="str">
        <f t="shared" ca="1" si="75"/>
        <v/>
      </c>
      <c r="BJ51" t="str">
        <f t="shared" ca="1" si="76"/>
        <v/>
      </c>
      <c r="BK51" t="str">
        <f t="shared" ca="1" si="91"/>
        <v/>
      </c>
      <c r="BM51" t="str">
        <f t="shared" ca="1" si="92"/>
        <v/>
      </c>
      <c r="BN51" t="str">
        <f t="shared" ca="1" si="93"/>
        <v/>
      </c>
      <c r="BO51" t="str">
        <f t="shared" ca="1" si="78"/>
        <v/>
      </c>
      <c r="BP51" t="b">
        <f ca="1">COUNTIF(COLHELPER!A51:'COLHELPER'!A51,COLHELPER!A51)&gt;1</f>
        <v>0</v>
      </c>
      <c r="BQ51">
        <f t="shared" ca="1" si="79"/>
        <v>0</v>
      </c>
      <c r="BR51" s="290" t="str">
        <f t="shared" ca="1" si="48"/>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c r="CD51" t="str">
        <f ca="1">IF(J51="","",Options!$B$23 &amp; "." &amp; J51)</f>
        <v/>
      </c>
    </row>
    <row r="52" spans="1:82">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7" t="str">
        <f t="array" aca="1" ref="O52" ca="1">IF(TRIM(INDIRECT("Columns!B52"))="","",TRIM(INDIRECT("Columns!B52")))</f>
        <v/>
      </c>
      <c r="P52" s="227" t="str">
        <f t="array" aca="1" ref="P52" ca="1">IF(TRIM(INDIRECT("Columns!C52"))="","",TRIM(INDIRECT("Columns!C52")))</f>
        <v/>
      </c>
      <c r="Q52" s="227" t="str">
        <f t="array" aca="1" ref="Q52" ca="1">IF(TRIM(INDIRECT("Columns!D52"))="","",TRIM(INDIRECT("Columns!D52")))</f>
        <v/>
      </c>
      <c r="R52" s="227" t="str">
        <f t="array" aca="1" ref="R52" ca="1">IF(TRIM(INDIRECT("Columns!O52"))="","",TRIM(INDIRECT("Columns!O52")))</f>
        <v/>
      </c>
      <c r="S52" t="str">
        <f t="shared" ca="1" si="52"/>
        <v/>
      </c>
      <c r="T52" t="str">
        <f t="shared" ca="1" si="53"/>
        <v/>
      </c>
      <c r="U52" t="str">
        <f t="shared" ca="1" si="54"/>
        <v/>
      </c>
      <c r="V52" t="str">
        <f t="shared" ca="1" si="55"/>
        <v/>
      </c>
      <c r="W52" t="str">
        <f t="shared" ca="1" si="56"/>
        <v/>
      </c>
      <c r="X52" t="str">
        <f t="shared" ca="1" si="57"/>
        <v/>
      </c>
      <c r="Y52" t="str">
        <f t="shared" ca="1" si="58"/>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9"/>
        <v/>
      </c>
      <c r="AF52" t="str">
        <f ca="1">IF(AE52&lt;&gt;"", HELPER!$B$93 &amp;  "." &amp; AE52,"")</f>
        <v/>
      </c>
      <c r="AG52" t="str">
        <f ca="1">IF(AE52&lt;&gt;"", HELPER!$B$94 &amp; "." &amp; AE52,"")</f>
        <v/>
      </c>
      <c r="AH52" t="str">
        <f t="shared" ca="1" si="88"/>
        <v/>
      </c>
      <c r="AI52" t="str">
        <f t="shared" ca="1" si="60"/>
        <v/>
      </c>
      <c r="AJ52" t="str">
        <f t="shared" ca="1" si="61"/>
        <v/>
      </c>
      <c r="AK52" t="str">
        <f ca="1">IF(E52="4", HELPER!$B$94 &amp;  "." &amp; A52,"")</f>
        <v/>
      </c>
      <c r="AL52" t="str">
        <f ca="1">IF(E52="4", HELPER!$B$93 &amp;  "." &amp; A52,"")</f>
        <v/>
      </c>
      <c r="AM52" t="str">
        <f t="shared" ca="1" si="62"/>
        <v/>
      </c>
      <c r="AN52" t="str">
        <f t="shared" ca="1" si="63"/>
        <v/>
      </c>
      <c r="AO52" t="str">
        <f ca="1">IF(A52&lt;&gt;"", IF(OR(F52="1",H52="1",I52="1"),""," "&amp; HELPER!$B$94 &amp; "." &amp; A52),"")</f>
        <v/>
      </c>
      <c r="AP52" t="str">
        <f t="shared" ca="1" si="64"/>
        <v/>
      </c>
      <c r="AQ52" t="str">
        <f t="shared" ca="1" si="95"/>
        <v/>
      </c>
      <c r="AS52" t="str">
        <f ca="1">IF(A52="","",  HELPER!$B$94 &amp;  "." &amp; A52)</f>
        <v/>
      </c>
      <c r="AT52" t="str">
        <f t="shared" ca="1" si="65"/>
        <v/>
      </c>
      <c r="AU52" t="str">
        <f t="shared" ca="1" si="66"/>
        <v/>
      </c>
      <c r="AV52" s="190" t="str">
        <f t="shared" ca="1" si="67"/>
        <v/>
      </c>
      <c r="AW52" t="str">
        <f t="shared" ca="1" si="68"/>
        <v/>
      </c>
      <c r="AY52" t="str">
        <f t="shared" ca="1" si="69"/>
        <v/>
      </c>
      <c r="BF52" t="str">
        <f t="shared" ca="1" si="73"/>
        <v/>
      </c>
      <c r="BH52" s="285" t="str">
        <f t="shared" ca="1" si="90"/>
        <v/>
      </c>
      <c r="BI52" t="str">
        <f t="shared" ca="1" si="75"/>
        <v/>
      </c>
      <c r="BJ52" t="str">
        <f t="shared" ca="1" si="76"/>
        <v/>
      </c>
      <c r="BK52" t="str">
        <f t="shared" ca="1" si="91"/>
        <v/>
      </c>
      <c r="BM52" t="str">
        <f t="shared" ca="1" si="92"/>
        <v/>
      </c>
      <c r="BN52" t="str">
        <f t="shared" ca="1" si="93"/>
        <v/>
      </c>
      <c r="BO52" t="str">
        <f t="shared" ca="1" si="78"/>
        <v/>
      </c>
      <c r="BP52" t="b">
        <f ca="1">COUNTIF(COLHELPER!A52:'COLHELPER'!A52,COLHELPER!A52)&gt;1</f>
        <v>0</v>
      </c>
      <c r="BQ52">
        <f t="shared" ca="1" si="79"/>
        <v>0</v>
      </c>
      <c r="BR52" s="290" t="str">
        <f t="shared" ca="1" si="48"/>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c r="CD52" t="str">
        <f ca="1">IF(J52="","",Options!$B$23 &amp; "." &amp; J52)</f>
        <v/>
      </c>
    </row>
    <row r="53" spans="1:82">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7" t="str">
        <f t="array" aca="1" ref="O53" ca="1">IF(TRIM(INDIRECT("Columns!B53"))="","",TRIM(INDIRECT("Columns!B53")))</f>
        <v/>
      </c>
      <c r="P53" s="227" t="str">
        <f t="array" aca="1" ref="P53" ca="1">IF(TRIM(INDIRECT("Columns!C53"))="","",TRIM(INDIRECT("Columns!C53")))</f>
        <v/>
      </c>
      <c r="Q53" s="227" t="str">
        <f t="array" aca="1" ref="Q53" ca="1">IF(TRIM(INDIRECT("Columns!D53"))="","",TRIM(INDIRECT("Columns!D53")))</f>
        <v/>
      </c>
      <c r="R53" s="227" t="str">
        <f t="array" aca="1" ref="R53" ca="1">IF(TRIM(INDIRECT("Columns!O53"))="","",TRIM(INDIRECT("Columns!O53")))</f>
        <v/>
      </c>
      <c r="S53" t="str">
        <f t="shared" ca="1" si="52"/>
        <v/>
      </c>
      <c r="T53" t="str">
        <f t="shared" ca="1" si="53"/>
        <v/>
      </c>
      <c r="U53" t="str">
        <f t="shared" ca="1" si="54"/>
        <v/>
      </c>
      <c r="V53" t="str">
        <f t="shared" ca="1" si="55"/>
        <v/>
      </c>
      <c r="W53" t="str">
        <f t="shared" ca="1" si="56"/>
        <v/>
      </c>
      <c r="X53" t="str">
        <f t="shared" ca="1" si="57"/>
        <v/>
      </c>
      <c r="Y53" t="str">
        <f t="shared" ca="1" si="58"/>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9"/>
        <v/>
      </c>
      <c r="AF53" t="str">
        <f ca="1">IF(AE53&lt;&gt;"", HELPER!$B$93 &amp;  "." &amp; AE53,"")</f>
        <v/>
      </c>
      <c r="AG53" t="str">
        <f ca="1">IF(AE53&lt;&gt;"", HELPER!$B$94 &amp; "." &amp; AE53,"")</f>
        <v/>
      </c>
      <c r="AH53" t="str">
        <f t="shared" ca="1" si="88"/>
        <v/>
      </c>
      <c r="AI53" t="str">
        <f t="shared" ca="1" si="60"/>
        <v/>
      </c>
      <c r="AJ53" t="str">
        <f t="shared" ca="1" si="61"/>
        <v/>
      </c>
      <c r="AK53" t="str">
        <f ca="1">IF(E53="4", HELPER!$B$94 &amp;  "." &amp; A53,"")</f>
        <v/>
      </c>
      <c r="AL53" t="str">
        <f ca="1">IF(E53="4", HELPER!$B$93 &amp;  "." &amp; A53,"")</f>
        <v/>
      </c>
      <c r="AM53" t="str">
        <f t="shared" ca="1" si="62"/>
        <v/>
      </c>
      <c r="AN53" t="str">
        <f t="shared" ca="1" si="63"/>
        <v/>
      </c>
      <c r="AO53" t="str">
        <f ca="1">IF(A53&lt;&gt;"", IF(OR(F53="1",H53="1",I53="1"),""," "&amp; HELPER!$B$94 &amp; "." &amp; A53),"")</f>
        <v/>
      </c>
      <c r="AP53" t="str">
        <f t="shared" ca="1" si="64"/>
        <v/>
      </c>
      <c r="AQ53" t="str">
        <f t="shared" ca="1" si="95"/>
        <v/>
      </c>
      <c r="AS53" t="str">
        <f ca="1">IF(A53="","",  HELPER!$B$94 &amp;  "." &amp; A53)</f>
        <v/>
      </c>
      <c r="AT53" t="str">
        <f t="shared" ca="1" si="65"/>
        <v/>
      </c>
      <c r="AU53" t="str">
        <f t="shared" ca="1" si="66"/>
        <v/>
      </c>
      <c r="AV53" s="190" t="str">
        <f t="shared" ca="1" si="67"/>
        <v/>
      </c>
      <c r="AW53" t="str">
        <f t="shared" ca="1" si="68"/>
        <v/>
      </c>
      <c r="AY53" t="str">
        <f t="shared" ca="1" si="69"/>
        <v/>
      </c>
      <c r="BF53" t="str">
        <f t="shared" ca="1" si="73"/>
        <v/>
      </c>
      <c r="BH53" s="285" t="str">
        <f t="shared" ca="1" si="90"/>
        <v/>
      </c>
      <c r="BI53" t="str">
        <f t="shared" ca="1" si="75"/>
        <v/>
      </c>
      <c r="BJ53" t="str">
        <f t="shared" ca="1" si="76"/>
        <v/>
      </c>
      <c r="BK53" t="str">
        <f t="shared" ca="1" si="91"/>
        <v/>
      </c>
      <c r="BM53" t="str">
        <f t="shared" ca="1" si="92"/>
        <v/>
      </c>
      <c r="BN53" t="str">
        <f t="shared" ca="1" si="93"/>
        <v/>
      </c>
      <c r="BO53" t="str">
        <f t="shared" ca="1" si="78"/>
        <v/>
      </c>
      <c r="BP53" t="b">
        <f ca="1">COUNTIF(COLHELPER!A53:'COLHELPER'!A53,COLHELPER!A53)&gt;1</f>
        <v>0</v>
      </c>
      <c r="BQ53">
        <f t="shared" ca="1" si="79"/>
        <v>0</v>
      </c>
      <c r="BR53" s="290" t="str">
        <f t="shared" ca="1" si="48"/>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c r="CD53" t="str">
        <f ca="1">IF(J53="","",Options!$B$23 &amp; "." &amp; J53)</f>
        <v/>
      </c>
    </row>
    <row r="54" spans="1:82">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7" t="str">
        <f t="array" aca="1" ref="O54" ca="1">IF(TRIM(INDIRECT("Columns!B54"))="","",TRIM(INDIRECT("Columns!B54")))</f>
        <v/>
      </c>
      <c r="P54" s="227" t="str">
        <f t="array" aca="1" ref="P54" ca="1">IF(TRIM(INDIRECT("Columns!C54"))="","",TRIM(INDIRECT("Columns!C54")))</f>
        <v/>
      </c>
      <c r="Q54" s="227" t="str">
        <f t="array" aca="1" ref="Q54" ca="1">IF(TRIM(INDIRECT("Columns!D54"))="","",TRIM(INDIRECT("Columns!D54")))</f>
        <v/>
      </c>
      <c r="R54" s="227" t="str">
        <f t="array" aca="1" ref="R54" ca="1">IF(TRIM(INDIRECT("Columns!O54"))="","",TRIM(INDIRECT("Columns!O54")))</f>
        <v/>
      </c>
      <c r="S54" t="str">
        <f t="shared" ca="1" si="52"/>
        <v/>
      </c>
      <c r="T54" t="str">
        <f t="shared" ca="1" si="53"/>
        <v/>
      </c>
      <c r="U54" t="str">
        <f t="shared" ca="1" si="54"/>
        <v/>
      </c>
      <c r="V54" t="str">
        <f t="shared" ca="1" si="55"/>
        <v/>
      </c>
      <c r="W54" t="str">
        <f t="shared" ca="1" si="56"/>
        <v/>
      </c>
      <c r="X54" t="str">
        <f t="shared" ca="1" si="57"/>
        <v/>
      </c>
      <c r="Y54" t="str">
        <f t="shared" ca="1" si="58"/>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9"/>
        <v/>
      </c>
      <c r="AF54" t="str">
        <f ca="1">IF(AE54&lt;&gt;"", HELPER!$B$93 &amp;  "." &amp; AE54,"")</f>
        <v/>
      </c>
      <c r="AG54" t="str">
        <f ca="1">IF(AE54&lt;&gt;"", HELPER!$B$94 &amp; "." &amp; AE54,"")</f>
        <v/>
      </c>
      <c r="AH54" t="str">
        <f t="shared" ca="1" si="88"/>
        <v/>
      </c>
      <c r="AI54" t="str">
        <f t="shared" ca="1" si="60"/>
        <v/>
      </c>
      <c r="AJ54" t="str">
        <f t="shared" ca="1" si="61"/>
        <v/>
      </c>
      <c r="AK54" t="str">
        <f ca="1">IF(E54="4", HELPER!$B$94 &amp;  "." &amp; A54,"")</f>
        <v/>
      </c>
      <c r="AL54" t="str">
        <f ca="1">IF(E54="4", HELPER!$B$93 &amp;  "." &amp; A54,"")</f>
        <v/>
      </c>
      <c r="AM54" t="str">
        <f t="shared" ca="1" si="62"/>
        <v/>
      </c>
      <c r="AN54" t="str">
        <f t="shared" ca="1" si="63"/>
        <v/>
      </c>
      <c r="AO54" t="str">
        <f ca="1">IF(A54&lt;&gt;"", IF(OR(F54="1",H54="1",I54="1"),""," "&amp; HELPER!$B$94 &amp; "." &amp; A54),"")</f>
        <v/>
      </c>
      <c r="AP54" t="str">
        <f t="shared" ca="1" si="64"/>
        <v/>
      </c>
      <c r="AQ54" t="str">
        <f t="shared" ca="1" si="95"/>
        <v/>
      </c>
      <c r="AS54" t="str">
        <f ca="1">IF(A54="","",  HELPER!$B$94 &amp;  "." &amp; A54)</f>
        <v/>
      </c>
      <c r="AT54" t="str">
        <f t="shared" ca="1" si="65"/>
        <v/>
      </c>
      <c r="AU54" t="str">
        <f t="shared" ca="1" si="66"/>
        <v/>
      </c>
      <c r="AV54" s="190" t="str">
        <f t="shared" ca="1" si="67"/>
        <v/>
      </c>
      <c r="AW54" t="str">
        <f t="shared" ca="1" si="68"/>
        <v/>
      </c>
      <c r="AY54" t="str">
        <f t="shared" ca="1" si="69"/>
        <v/>
      </c>
      <c r="BF54" t="str">
        <f t="shared" ca="1" si="73"/>
        <v/>
      </c>
      <c r="BH54" s="285" t="str">
        <f t="shared" ca="1" si="90"/>
        <v/>
      </c>
      <c r="BI54" t="str">
        <f t="shared" ca="1" si="75"/>
        <v/>
      </c>
      <c r="BJ54" t="str">
        <f t="shared" ca="1" si="76"/>
        <v/>
      </c>
      <c r="BK54" t="str">
        <f t="shared" ca="1" si="91"/>
        <v/>
      </c>
      <c r="BM54" t="str">
        <f t="shared" ca="1" si="92"/>
        <v/>
      </c>
      <c r="BN54" t="str">
        <f t="shared" ca="1" si="93"/>
        <v/>
      </c>
      <c r="BO54" t="str">
        <f t="shared" ca="1" si="78"/>
        <v/>
      </c>
      <c r="BP54" t="b">
        <f ca="1">COUNTIF(COLHELPER!A54:'COLHELPER'!A54,COLHELPER!A54)&gt;1</f>
        <v>0</v>
      </c>
      <c r="BQ54">
        <f t="shared" ca="1" si="79"/>
        <v>0</v>
      </c>
      <c r="BR54" s="290" t="str">
        <f t="shared" ca="1" si="48"/>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c r="CD54" t="str">
        <f ca="1">IF(J54="","",Options!$B$23 &amp; "." &amp; J54)</f>
        <v/>
      </c>
    </row>
    <row r="55" spans="1:82">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7" t="str">
        <f t="array" aca="1" ref="O55" ca="1">IF(TRIM(INDIRECT("Columns!B55"))="","",TRIM(INDIRECT("Columns!B55")))</f>
        <v/>
      </c>
      <c r="P55" s="227" t="str">
        <f t="array" aca="1" ref="P55" ca="1">IF(TRIM(INDIRECT("Columns!C55"))="","",TRIM(INDIRECT("Columns!C55")))</f>
        <v/>
      </c>
      <c r="Q55" s="227" t="str">
        <f t="array" aca="1" ref="Q55" ca="1">IF(TRIM(INDIRECT("Columns!D55"))="","",TRIM(INDIRECT("Columns!D55")))</f>
        <v/>
      </c>
      <c r="R55" s="227" t="str">
        <f t="array" aca="1" ref="R55" ca="1">IF(TRIM(INDIRECT("Columns!O55"))="","",TRIM(INDIRECT("Columns!O55")))</f>
        <v/>
      </c>
      <c r="S55" t="str">
        <f t="shared" ca="1" si="52"/>
        <v/>
      </c>
      <c r="T55" t="str">
        <f t="shared" ca="1" si="53"/>
        <v/>
      </c>
      <c r="U55" t="str">
        <f t="shared" ca="1" si="54"/>
        <v/>
      </c>
      <c r="V55" t="str">
        <f t="shared" ca="1" si="55"/>
        <v/>
      </c>
      <c r="W55" t="str">
        <f t="shared" ca="1" si="56"/>
        <v/>
      </c>
      <c r="X55" t="str">
        <f t="shared" ca="1" si="57"/>
        <v/>
      </c>
      <c r="Y55" t="str">
        <f t="shared" ca="1" si="58"/>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9"/>
        <v/>
      </c>
      <c r="AF55" t="str">
        <f ca="1">IF(AE55&lt;&gt;"", HELPER!$B$93 &amp;  "." &amp; AE55,"")</f>
        <v/>
      </c>
      <c r="AG55" t="str">
        <f ca="1">IF(AE55&lt;&gt;"", HELPER!$B$94 &amp; "." &amp; AE55,"")</f>
        <v/>
      </c>
      <c r="AH55" t="str">
        <f t="shared" ca="1" si="88"/>
        <v/>
      </c>
      <c r="AI55" t="str">
        <f t="shared" ca="1" si="60"/>
        <v/>
      </c>
      <c r="AJ55" t="str">
        <f t="shared" ca="1" si="61"/>
        <v/>
      </c>
      <c r="AK55" t="str">
        <f ca="1">IF(E55="4", HELPER!$B$94 &amp;  "." &amp; A55,"")</f>
        <v/>
      </c>
      <c r="AL55" t="str">
        <f ca="1">IF(E55="4", HELPER!$B$93 &amp;  "." &amp; A55,"")</f>
        <v/>
      </c>
      <c r="AM55" t="str">
        <f t="shared" ca="1" si="62"/>
        <v/>
      </c>
      <c r="AN55" t="str">
        <f t="shared" ca="1" si="63"/>
        <v/>
      </c>
      <c r="AO55" t="str">
        <f ca="1">IF(A55&lt;&gt;"", IF(OR(F55="1",H55="1",I55="1"),""," "&amp; HELPER!$B$94 &amp; "." &amp; A55),"")</f>
        <v/>
      </c>
      <c r="AP55" t="str">
        <f t="shared" ca="1" si="64"/>
        <v/>
      </c>
      <c r="AQ55" t="str">
        <f t="shared" ca="1" si="95"/>
        <v/>
      </c>
      <c r="AS55" t="str">
        <f ca="1">IF(A55="","",  HELPER!$B$94 &amp;  "." &amp; A55)</f>
        <v/>
      </c>
      <c r="AT55" t="str">
        <f t="shared" ca="1" si="65"/>
        <v/>
      </c>
      <c r="AU55" t="str">
        <f t="shared" ca="1" si="66"/>
        <v/>
      </c>
      <c r="AV55" s="190" t="str">
        <f t="shared" ca="1" si="67"/>
        <v/>
      </c>
      <c r="AW55" t="str">
        <f t="shared" ca="1" si="68"/>
        <v/>
      </c>
      <c r="AY55" t="str">
        <f t="shared" ca="1" si="69"/>
        <v/>
      </c>
      <c r="BF55" t="str">
        <f t="shared" ca="1" si="73"/>
        <v/>
      </c>
      <c r="BH55" s="285" t="str">
        <f t="shared" ca="1" si="90"/>
        <v/>
      </c>
      <c r="BI55" t="str">
        <f t="shared" ca="1" si="75"/>
        <v/>
      </c>
      <c r="BJ55" t="str">
        <f t="shared" ca="1" si="76"/>
        <v/>
      </c>
      <c r="BK55" t="str">
        <f t="shared" ca="1" si="91"/>
        <v/>
      </c>
      <c r="BM55" t="str">
        <f t="shared" ca="1" si="92"/>
        <v/>
      </c>
      <c r="BN55" t="str">
        <f t="shared" ca="1" si="93"/>
        <v/>
      </c>
      <c r="BO55" t="str">
        <f t="shared" ca="1" si="78"/>
        <v/>
      </c>
      <c r="BP55" t="b">
        <f ca="1">COUNTIF(COLHELPER!A55:'COLHELPER'!A55,COLHELPER!A55)&gt;1</f>
        <v>0</v>
      </c>
      <c r="BQ55">
        <f t="shared" ca="1" si="79"/>
        <v>0</v>
      </c>
      <c r="BR55" s="290" t="str">
        <f t="shared" ca="1" si="48"/>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c r="CD55" t="str">
        <f ca="1">IF(J55="","",Options!$B$23 &amp; "." &amp; J55)</f>
        <v/>
      </c>
    </row>
    <row r="56" spans="1:82">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7" t="str">
        <f t="array" aca="1" ref="O56" ca="1">IF(TRIM(INDIRECT("Columns!B56"))="","",TRIM(INDIRECT("Columns!B56")))</f>
        <v/>
      </c>
      <c r="P56" s="227" t="str">
        <f t="array" aca="1" ref="P56" ca="1">IF(TRIM(INDIRECT("Columns!C56"))="","",TRIM(INDIRECT("Columns!C56")))</f>
        <v/>
      </c>
      <c r="Q56" s="227" t="str">
        <f t="array" aca="1" ref="Q56" ca="1">IF(TRIM(INDIRECT("Columns!D56"))="","",TRIM(INDIRECT("Columns!D56")))</f>
        <v/>
      </c>
      <c r="R56" s="227" t="str">
        <f t="array" aca="1" ref="R56" ca="1">IF(TRIM(INDIRECT("Columns!O56"))="","",TRIM(INDIRECT("Columns!O56")))</f>
        <v/>
      </c>
      <c r="S56" t="str">
        <f t="shared" ca="1" si="52"/>
        <v/>
      </c>
      <c r="T56" t="str">
        <f t="shared" ca="1" si="53"/>
        <v/>
      </c>
      <c r="U56" t="str">
        <f t="shared" ca="1" si="54"/>
        <v/>
      </c>
      <c r="V56" t="str">
        <f t="shared" ca="1" si="55"/>
        <v/>
      </c>
      <c r="W56" t="str">
        <f t="shared" ca="1" si="56"/>
        <v/>
      </c>
      <c r="X56" t="str">
        <f t="shared" ca="1" si="57"/>
        <v/>
      </c>
      <c r="Y56" t="str">
        <f t="shared" ca="1" si="58"/>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9"/>
        <v/>
      </c>
      <c r="AF56" t="str">
        <f ca="1">IF(AE56&lt;&gt;"", HELPER!$B$93 &amp;  "." &amp; AE56,"")</f>
        <v/>
      </c>
      <c r="AG56" t="str">
        <f ca="1">IF(AE56&lt;&gt;"", HELPER!$B$94 &amp; "." &amp; AE56,"")</f>
        <v/>
      </c>
      <c r="AH56" t="str">
        <f t="shared" ca="1" si="88"/>
        <v/>
      </c>
      <c r="AI56" t="str">
        <f t="shared" ca="1" si="60"/>
        <v/>
      </c>
      <c r="AJ56" t="str">
        <f t="shared" ca="1" si="61"/>
        <v/>
      </c>
      <c r="AK56" t="str">
        <f ca="1">IF(E56="4", HELPER!$B$94 &amp;  "." &amp; A56,"")</f>
        <v/>
      </c>
      <c r="AL56" t="str">
        <f ca="1">IF(E56="4", HELPER!$B$93 &amp;  "." &amp; A56,"")</f>
        <v/>
      </c>
      <c r="AM56" t="str">
        <f t="shared" ca="1" si="62"/>
        <v/>
      </c>
      <c r="AN56" t="str">
        <f t="shared" ca="1" si="63"/>
        <v/>
      </c>
      <c r="AO56" t="str">
        <f ca="1">IF(A56&lt;&gt;"", IF(OR(F56="1",H56="1",I56="1"),""," "&amp; HELPER!$B$94 &amp; "." &amp; A56),"")</f>
        <v/>
      </c>
      <c r="AP56" t="str">
        <f t="shared" ca="1" si="64"/>
        <v/>
      </c>
      <c r="AQ56" t="str">
        <f t="shared" ca="1" si="95"/>
        <v/>
      </c>
      <c r="AS56" t="str">
        <f ca="1">IF(A56="","",  HELPER!$B$94 &amp;  "." &amp; A56)</f>
        <v/>
      </c>
      <c r="AT56" t="str">
        <f t="shared" ca="1" si="65"/>
        <v/>
      </c>
      <c r="AU56" t="str">
        <f t="shared" ca="1" si="66"/>
        <v/>
      </c>
      <c r="AV56" s="190" t="str">
        <f t="shared" ca="1" si="67"/>
        <v/>
      </c>
      <c r="AW56" t="str">
        <f t="shared" ca="1" si="68"/>
        <v/>
      </c>
      <c r="AY56" t="str">
        <f t="shared" ca="1" si="69"/>
        <v/>
      </c>
      <c r="BF56" t="str">
        <f t="shared" ca="1" si="73"/>
        <v/>
      </c>
      <c r="BH56" s="285" t="str">
        <f t="shared" ca="1" si="90"/>
        <v/>
      </c>
      <c r="BI56" t="str">
        <f t="shared" ca="1" si="75"/>
        <v/>
      </c>
      <c r="BJ56" t="str">
        <f t="shared" ca="1" si="76"/>
        <v/>
      </c>
      <c r="BK56" t="str">
        <f t="shared" ca="1" si="91"/>
        <v/>
      </c>
      <c r="BM56" t="str">
        <f t="shared" ca="1" si="92"/>
        <v/>
      </c>
      <c r="BN56" t="str">
        <f t="shared" ca="1" si="93"/>
        <v/>
      </c>
      <c r="BO56" t="str">
        <f t="shared" ca="1" si="78"/>
        <v/>
      </c>
      <c r="BP56" t="b">
        <f ca="1">COUNTIF(COLHELPER!A56:'COLHELPER'!A56,COLHELPER!A56)&gt;1</f>
        <v>0</v>
      </c>
      <c r="BQ56">
        <f t="shared" ca="1" si="79"/>
        <v>0</v>
      </c>
      <c r="BR56" s="290" t="str">
        <f t="shared" ca="1" si="48"/>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c r="CD56" t="str">
        <f ca="1">IF(J56="","",Options!$B$23 &amp; "." &amp; J56)</f>
        <v/>
      </c>
    </row>
    <row r="57" spans="1:82">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7" t="str">
        <f t="array" aca="1" ref="O57" ca="1">IF(TRIM(INDIRECT("Columns!B57"))="","",TRIM(INDIRECT("Columns!B57")))</f>
        <v/>
      </c>
      <c r="P57" s="227" t="str">
        <f t="array" aca="1" ref="P57" ca="1">IF(TRIM(INDIRECT("Columns!C57"))="","",TRIM(INDIRECT("Columns!C57")))</f>
        <v/>
      </c>
      <c r="Q57" s="227" t="str">
        <f t="array" aca="1" ref="Q57" ca="1">IF(TRIM(INDIRECT("Columns!D57"))="","",TRIM(INDIRECT("Columns!D57")))</f>
        <v/>
      </c>
      <c r="R57" s="227" t="str">
        <f t="array" aca="1" ref="R57" ca="1">IF(TRIM(INDIRECT("Columns!O57"))="","",TRIM(INDIRECT("Columns!O57")))</f>
        <v/>
      </c>
      <c r="S57" t="str">
        <f t="shared" ca="1" si="52"/>
        <v/>
      </c>
      <c r="T57" t="str">
        <f t="shared" ca="1" si="53"/>
        <v/>
      </c>
      <c r="U57" t="str">
        <f t="shared" ca="1" si="54"/>
        <v/>
      </c>
      <c r="V57" t="str">
        <f t="shared" ca="1" si="55"/>
        <v/>
      </c>
      <c r="W57" t="str">
        <f t="shared" ca="1" si="56"/>
        <v/>
      </c>
      <c r="X57" t="str">
        <f t="shared" ca="1" si="57"/>
        <v/>
      </c>
      <c r="Y57" t="str">
        <f t="shared" ca="1" si="58"/>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9"/>
        <v/>
      </c>
      <c r="AF57" t="str">
        <f ca="1">IF(AE57&lt;&gt;"", HELPER!$B$93 &amp;  "." &amp; AE57,"")</f>
        <v/>
      </c>
      <c r="AG57" t="str">
        <f ca="1">IF(AE57&lt;&gt;"", HELPER!$B$94 &amp; "." &amp; AE57,"")</f>
        <v/>
      </c>
      <c r="AH57" t="str">
        <f t="shared" ca="1" si="88"/>
        <v/>
      </c>
      <c r="AI57" t="str">
        <f t="shared" ca="1" si="60"/>
        <v/>
      </c>
      <c r="AJ57" t="str">
        <f t="shared" ca="1" si="61"/>
        <v/>
      </c>
      <c r="AK57" t="str">
        <f ca="1">IF(E57="4", HELPER!$B$94 &amp;  "." &amp; A57,"")</f>
        <v/>
      </c>
      <c r="AL57" t="str">
        <f ca="1">IF(E57="4", HELPER!$B$93 &amp;  "." &amp; A57,"")</f>
        <v/>
      </c>
      <c r="AM57" t="str">
        <f t="shared" ca="1" si="62"/>
        <v/>
      </c>
      <c r="AN57" t="str">
        <f t="shared" ca="1" si="63"/>
        <v/>
      </c>
      <c r="AO57" t="str">
        <f ca="1">IF(A57&lt;&gt;"", IF(OR(F57="1",H57="1",I57="1"),""," "&amp; HELPER!$B$94 &amp; "." &amp; A57),"")</f>
        <v/>
      </c>
      <c r="AP57" t="str">
        <f t="shared" ca="1" si="64"/>
        <v/>
      </c>
      <c r="AQ57" t="str">
        <f t="shared" ca="1" si="95"/>
        <v/>
      </c>
      <c r="AS57" t="str">
        <f ca="1">IF(A57="","",  HELPER!$B$94 &amp;  "." &amp; A57)</f>
        <v/>
      </c>
      <c r="AT57" t="str">
        <f t="shared" ca="1" si="65"/>
        <v/>
      </c>
      <c r="AU57" t="str">
        <f t="shared" ca="1" si="66"/>
        <v/>
      </c>
      <c r="AV57" s="190" t="str">
        <f t="shared" ca="1" si="67"/>
        <v/>
      </c>
      <c r="AW57" t="str">
        <f t="shared" ca="1" si="68"/>
        <v/>
      </c>
      <c r="AY57" t="str">
        <f t="shared" ca="1" si="69"/>
        <v/>
      </c>
      <c r="BF57" t="str">
        <f t="shared" ca="1" si="73"/>
        <v/>
      </c>
      <c r="BH57" s="285" t="str">
        <f t="shared" ca="1" si="90"/>
        <v/>
      </c>
      <c r="BI57" t="str">
        <f t="shared" ca="1" si="75"/>
        <v/>
      </c>
      <c r="BJ57" t="str">
        <f t="shared" ca="1" si="76"/>
        <v/>
      </c>
      <c r="BK57" t="str">
        <f t="shared" ca="1" si="91"/>
        <v/>
      </c>
      <c r="BM57" t="str">
        <f t="shared" ca="1" si="92"/>
        <v/>
      </c>
      <c r="BN57" t="str">
        <f t="shared" ca="1" si="93"/>
        <v/>
      </c>
      <c r="BO57" t="str">
        <f t="shared" ca="1" si="78"/>
        <v/>
      </c>
      <c r="BP57" t="b">
        <f ca="1">COUNTIF(COLHELPER!A57:'COLHELPER'!A57,COLHELPER!A57)&gt;1</f>
        <v>0</v>
      </c>
      <c r="BQ57">
        <f t="shared" ca="1" si="79"/>
        <v>0</v>
      </c>
      <c r="BR57" s="290" t="str">
        <f t="shared" ca="1" si="48"/>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c r="CD57" t="str">
        <f ca="1">IF(J57="","",Options!$B$23 &amp; "." &amp; J57)</f>
        <v/>
      </c>
    </row>
    <row r="58" spans="1:82">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7" t="str">
        <f t="array" aca="1" ref="O58" ca="1">IF(TRIM(INDIRECT("Columns!B58"))="","",TRIM(INDIRECT("Columns!B58")))</f>
        <v/>
      </c>
      <c r="P58" s="227" t="str">
        <f t="array" aca="1" ref="P58" ca="1">IF(TRIM(INDIRECT("Columns!C58"))="","",TRIM(INDIRECT("Columns!C58")))</f>
        <v/>
      </c>
      <c r="Q58" s="227" t="str">
        <f t="array" aca="1" ref="Q58" ca="1">IF(TRIM(INDIRECT("Columns!D58"))="","",TRIM(INDIRECT("Columns!D58")))</f>
        <v/>
      </c>
      <c r="R58" s="227" t="str">
        <f t="array" aca="1" ref="R58" ca="1">IF(TRIM(INDIRECT("Columns!O58"))="","",TRIM(INDIRECT("Columns!O58")))</f>
        <v/>
      </c>
      <c r="S58" t="str">
        <f t="shared" ca="1" si="52"/>
        <v/>
      </c>
      <c r="T58" t="str">
        <f t="shared" ca="1" si="53"/>
        <v/>
      </c>
      <c r="U58" t="str">
        <f t="shared" ca="1" si="54"/>
        <v/>
      </c>
      <c r="V58" t="str">
        <f t="shared" ca="1" si="55"/>
        <v/>
      </c>
      <c r="W58" t="str">
        <f t="shared" ca="1" si="56"/>
        <v/>
      </c>
      <c r="X58" t="str">
        <f t="shared" ca="1" si="57"/>
        <v/>
      </c>
      <c r="Y58" t="str">
        <f t="shared" ca="1" si="58"/>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9"/>
        <v/>
      </c>
      <c r="AF58" t="str">
        <f ca="1">IF(AE58&lt;&gt;"", HELPER!$B$93 &amp;  "." &amp; AE58,"")</f>
        <v/>
      </c>
      <c r="AG58" t="str">
        <f ca="1">IF(AE58&lt;&gt;"", HELPER!$B$94 &amp; "." &amp; AE58,"")</f>
        <v/>
      </c>
      <c r="AH58" t="str">
        <f t="shared" ca="1" si="88"/>
        <v/>
      </c>
      <c r="AI58" t="str">
        <f t="shared" ca="1" si="60"/>
        <v/>
      </c>
      <c r="AJ58" t="str">
        <f t="shared" ca="1" si="61"/>
        <v/>
      </c>
      <c r="AK58" t="str">
        <f ca="1">IF(E58="4", HELPER!$B$94 &amp;  "." &amp; A58,"")</f>
        <v/>
      </c>
      <c r="AL58" t="str">
        <f ca="1">IF(E58="4", HELPER!$B$93 &amp;  "." &amp; A58,"")</f>
        <v/>
      </c>
      <c r="AM58" t="str">
        <f t="shared" ca="1" si="62"/>
        <v/>
      </c>
      <c r="AN58" t="str">
        <f t="shared" ca="1" si="63"/>
        <v/>
      </c>
      <c r="AO58" t="str">
        <f ca="1">IF(A58&lt;&gt;"", IF(OR(F58="1",H58="1",I58="1"),""," "&amp; HELPER!$B$94 &amp; "." &amp; A58),"")</f>
        <v/>
      </c>
      <c r="AP58" t="str">
        <f t="shared" ca="1" si="64"/>
        <v/>
      </c>
      <c r="AQ58" t="str">
        <f t="shared" ca="1" si="95"/>
        <v/>
      </c>
      <c r="AS58" t="str">
        <f ca="1">IF(A58="","",  HELPER!$B$94 &amp;  "." &amp; A58)</f>
        <v/>
      </c>
      <c r="AT58" t="str">
        <f t="shared" ca="1" si="65"/>
        <v/>
      </c>
      <c r="AU58" t="str">
        <f t="shared" ca="1" si="66"/>
        <v/>
      </c>
      <c r="AV58" s="190" t="str">
        <f t="shared" ca="1" si="67"/>
        <v/>
      </c>
      <c r="AW58" t="str">
        <f t="shared" ca="1" si="68"/>
        <v/>
      </c>
      <c r="AY58" t="str">
        <f t="shared" ca="1" si="69"/>
        <v/>
      </c>
      <c r="BF58" t="str">
        <f t="shared" ca="1" si="73"/>
        <v/>
      </c>
      <c r="BH58" s="285" t="str">
        <f t="shared" ca="1" si="90"/>
        <v/>
      </c>
      <c r="BI58" t="str">
        <f t="shared" ca="1" si="75"/>
        <v/>
      </c>
      <c r="BJ58" t="str">
        <f t="shared" ca="1" si="76"/>
        <v/>
      </c>
      <c r="BK58" t="str">
        <f t="shared" ca="1" si="91"/>
        <v/>
      </c>
      <c r="BM58" t="str">
        <f t="shared" ca="1" si="92"/>
        <v/>
      </c>
      <c r="BN58" t="str">
        <f t="shared" ca="1" si="93"/>
        <v/>
      </c>
      <c r="BO58" t="str">
        <f t="shared" ca="1" si="78"/>
        <v/>
      </c>
      <c r="BP58" t="b">
        <f ca="1">COUNTIF(COLHELPER!A58:'COLHELPER'!A58,COLHELPER!A58)&gt;1</f>
        <v>0</v>
      </c>
      <c r="BQ58">
        <f t="shared" ca="1" si="79"/>
        <v>0</v>
      </c>
      <c r="BR58" s="290" t="str">
        <f t="shared" ca="1" si="48"/>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c r="CD58" t="str">
        <f ca="1">IF(J58="","",Options!$B$23 &amp; "." &amp; J58)</f>
        <v/>
      </c>
    </row>
    <row r="59" spans="1:82">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7" t="str">
        <f t="array" aca="1" ref="O59" ca="1">IF(TRIM(INDIRECT("Columns!B59"))="","",TRIM(INDIRECT("Columns!B59")))</f>
        <v/>
      </c>
      <c r="P59" s="227" t="str">
        <f t="array" aca="1" ref="P59" ca="1">IF(TRIM(INDIRECT("Columns!C59"))="","",TRIM(INDIRECT("Columns!C59")))</f>
        <v/>
      </c>
      <c r="Q59" s="227" t="str">
        <f t="array" aca="1" ref="Q59" ca="1">IF(TRIM(INDIRECT("Columns!D59"))="","",TRIM(INDIRECT("Columns!D59")))</f>
        <v/>
      </c>
      <c r="R59" s="227" t="str">
        <f t="array" aca="1" ref="R59" ca="1">IF(TRIM(INDIRECT("Columns!O59"))="","",TRIM(INDIRECT("Columns!O59")))</f>
        <v/>
      </c>
      <c r="S59" t="str">
        <f t="shared" ca="1" si="52"/>
        <v/>
      </c>
      <c r="T59" t="str">
        <f t="shared" ca="1" si="53"/>
        <v/>
      </c>
      <c r="U59" t="str">
        <f t="shared" ca="1" si="54"/>
        <v/>
      </c>
      <c r="V59" t="str">
        <f t="shared" ca="1" si="55"/>
        <v/>
      </c>
      <c r="W59" t="str">
        <f t="shared" ca="1" si="56"/>
        <v/>
      </c>
      <c r="X59" t="str">
        <f t="shared" ca="1" si="57"/>
        <v/>
      </c>
      <c r="Y59" t="str">
        <f t="shared" ca="1" si="58"/>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9"/>
        <v/>
      </c>
      <c r="AF59" t="str">
        <f ca="1">IF(AE59&lt;&gt;"", HELPER!$B$93 &amp;  "." &amp; AE59,"")</f>
        <v/>
      </c>
      <c r="AG59" t="str">
        <f ca="1">IF(AE59&lt;&gt;"", HELPER!$B$94 &amp; "." &amp; AE59,"")</f>
        <v/>
      </c>
      <c r="AH59" t="str">
        <f t="shared" ca="1" si="88"/>
        <v/>
      </c>
      <c r="AI59" t="str">
        <f t="shared" ca="1" si="60"/>
        <v/>
      </c>
      <c r="AJ59" t="str">
        <f t="shared" ca="1" si="61"/>
        <v/>
      </c>
      <c r="AK59" t="str">
        <f ca="1">IF(E59="4", HELPER!$B$94 &amp;  "." &amp; A59,"")</f>
        <v/>
      </c>
      <c r="AL59" t="str">
        <f ca="1">IF(E59="4", HELPER!$B$93 &amp;  "." &amp; A59,"")</f>
        <v/>
      </c>
      <c r="AM59" t="str">
        <f t="shared" ca="1" si="62"/>
        <v/>
      </c>
      <c r="AN59" t="str">
        <f t="shared" ca="1" si="63"/>
        <v/>
      </c>
      <c r="AO59" t="str">
        <f ca="1">IF(A59&lt;&gt;"", IF(OR(F59="1",H59="1",I59="1"),""," "&amp; HELPER!$B$94 &amp; "." &amp; A59),"")</f>
        <v/>
      </c>
      <c r="AP59" t="str">
        <f t="shared" ca="1" si="64"/>
        <v/>
      </c>
      <c r="AQ59" t="str">
        <f t="shared" ca="1" si="95"/>
        <v/>
      </c>
      <c r="AS59" t="str">
        <f ca="1">IF(A59="","",  HELPER!$B$94 &amp;  "." &amp; A59)</f>
        <v/>
      </c>
      <c r="AT59" t="str">
        <f t="shared" ca="1" si="65"/>
        <v/>
      </c>
      <c r="AU59" t="str">
        <f t="shared" ca="1" si="66"/>
        <v/>
      </c>
      <c r="AV59" s="190" t="str">
        <f t="shared" ca="1" si="67"/>
        <v/>
      </c>
      <c r="AW59" t="str">
        <f t="shared" ca="1" si="68"/>
        <v/>
      </c>
      <c r="AY59" t="str">
        <f t="shared" ca="1" si="69"/>
        <v/>
      </c>
      <c r="BF59" t="str">
        <f t="shared" ca="1" si="73"/>
        <v/>
      </c>
      <c r="BH59" s="285" t="str">
        <f t="shared" ca="1" si="90"/>
        <v/>
      </c>
      <c r="BI59" t="str">
        <f t="shared" ca="1" si="75"/>
        <v/>
      </c>
      <c r="BJ59" t="str">
        <f t="shared" ca="1" si="76"/>
        <v/>
      </c>
      <c r="BK59" t="str">
        <f t="shared" ca="1" si="91"/>
        <v/>
      </c>
      <c r="BM59" t="str">
        <f t="shared" ca="1" si="92"/>
        <v/>
      </c>
      <c r="BN59" t="str">
        <f t="shared" ca="1" si="93"/>
        <v/>
      </c>
      <c r="BO59" t="str">
        <f t="shared" ca="1" si="78"/>
        <v/>
      </c>
      <c r="BP59" t="b">
        <f ca="1">COUNTIF(COLHELPER!A59:'COLHELPER'!A59,COLHELPER!A59)&gt;1</f>
        <v>0</v>
      </c>
      <c r="BQ59">
        <f t="shared" ca="1" si="79"/>
        <v>0</v>
      </c>
      <c r="BR59" s="290" t="str">
        <f t="shared" ca="1" si="48"/>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c r="CD59" t="str">
        <f ca="1">IF(J59="","",Options!$B$23 &amp; "." &amp; J59)</f>
        <v/>
      </c>
    </row>
    <row r="60" spans="1:82">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7" t="str">
        <f t="array" aca="1" ref="O60" ca="1">IF(TRIM(INDIRECT("Columns!B60"))="","",TRIM(INDIRECT("Columns!B60")))</f>
        <v/>
      </c>
      <c r="P60" s="227" t="str">
        <f t="array" aca="1" ref="P60" ca="1">IF(TRIM(INDIRECT("Columns!C60"))="","",TRIM(INDIRECT("Columns!C60")))</f>
        <v/>
      </c>
      <c r="Q60" s="227" t="str">
        <f t="array" aca="1" ref="Q60" ca="1">IF(TRIM(INDIRECT("Columns!D60"))="","",TRIM(INDIRECT("Columns!D60")))</f>
        <v/>
      </c>
      <c r="R60" s="227" t="str">
        <f t="array" aca="1" ref="R60" ca="1">IF(TRIM(INDIRECT("Columns!O60"))="","",TRIM(INDIRECT("Columns!O60")))</f>
        <v/>
      </c>
      <c r="S60" t="str">
        <f t="shared" ca="1" si="52"/>
        <v/>
      </c>
      <c r="T60" t="str">
        <f t="shared" ca="1" si="53"/>
        <v/>
      </c>
      <c r="U60" t="str">
        <f t="shared" ca="1" si="54"/>
        <v/>
      </c>
      <c r="V60" t="str">
        <f t="shared" ca="1" si="55"/>
        <v/>
      </c>
      <c r="W60" t="str">
        <f t="shared" ca="1" si="56"/>
        <v/>
      </c>
      <c r="X60" t="str">
        <f t="shared" ca="1" si="57"/>
        <v/>
      </c>
      <c r="Y60" t="str">
        <f t="shared" ca="1" si="58"/>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9"/>
        <v/>
      </c>
      <c r="AF60" t="str">
        <f ca="1">IF(AE60&lt;&gt;"", HELPER!$B$93 &amp;  "." &amp; AE60,"")</f>
        <v/>
      </c>
      <c r="AG60" t="str">
        <f ca="1">IF(AE60&lt;&gt;"", HELPER!$B$94 &amp; "." &amp; AE60,"")</f>
        <v/>
      </c>
      <c r="AH60" t="str">
        <f t="shared" ca="1" si="88"/>
        <v/>
      </c>
      <c r="AI60" t="str">
        <f t="shared" ca="1" si="60"/>
        <v/>
      </c>
      <c r="AJ60" t="str">
        <f t="shared" ca="1" si="61"/>
        <v/>
      </c>
      <c r="AK60" t="str">
        <f ca="1">IF(E60="4", HELPER!$B$94 &amp;  "." &amp; A60,"")</f>
        <v/>
      </c>
      <c r="AL60" t="str">
        <f ca="1">IF(E60="4", HELPER!$B$93 &amp;  "." &amp; A60,"")</f>
        <v/>
      </c>
      <c r="AM60" t="str">
        <f t="shared" ca="1" si="62"/>
        <v/>
      </c>
      <c r="AN60" t="str">
        <f t="shared" ca="1" si="63"/>
        <v/>
      </c>
      <c r="AO60" t="str">
        <f ca="1">IF(A60&lt;&gt;"", IF(OR(F60="1",H60="1",I60="1"),""," "&amp; HELPER!$B$94 &amp; "." &amp; A60),"")</f>
        <v/>
      </c>
      <c r="AP60" t="str">
        <f t="shared" ca="1" si="64"/>
        <v/>
      </c>
      <c r="AQ60" t="str">
        <f t="shared" ca="1" si="95"/>
        <v/>
      </c>
      <c r="AS60" t="str">
        <f ca="1">IF(A60="","",  HELPER!$B$94 &amp;  "." &amp; A60)</f>
        <v/>
      </c>
      <c r="AT60" t="str">
        <f t="shared" ca="1" si="65"/>
        <v/>
      </c>
      <c r="AU60" t="str">
        <f t="shared" ca="1" si="66"/>
        <v/>
      </c>
      <c r="AV60" s="190" t="str">
        <f t="shared" ca="1" si="67"/>
        <v/>
      </c>
      <c r="AW60" t="str">
        <f t="shared" ca="1" si="68"/>
        <v/>
      </c>
      <c r="AY60" t="str">
        <f t="shared" ca="1" si="69"/>
        <v/>
      </c>
      <c r="BF60" t="str">
        <f t="shared" ca="1" si="73"/>
        <v/>
      </c>
      <c r="BH60" s="285" t="str">
        <f t="shared" ca="1" si="90"/>
        <v/>
      </c>
      <c r="BI60" t="str">
        <f t="shared" ca="1" si="75"/>
        <v/>
      </c>
      <c r="BJ60" t="str">
        <f t="shared" ca="1" si="76"/>
        <v/>
      </c>
      <c r="BK60" t="str">
        <f t="shared" ca="1" si="91"/>
        <v/>
      </c>
      <c r="BM60" t="str">
        <f t="shared" ca="1" si="92"/>
        <v/>
      </c>
      <c r="BN60" t="str">
        <f t="shared" ca="1" si="93"/>
        <v/>
      </c>
      <c r="BO60" t="str">
        <f t="shared" ca="1" si="78"/>
        <v/>
      </c>
      <c r="BP60" t="b">
        <f ca="1">COUNTIF(COLHELPER!A60:'COLHELPER'!A60,COLHELPER!A60)&gt;1</f>
        <v>0</v>
      </c>
      <c r="BQ60">
        <f t="shared" ca="1" si="79"/>
        <v>0</v>
      </c>
      <c r="BR60" s="290" t="str">
        <f t="shared" ca="1" si="48"/>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c r="CD60" t="str">
        <f ca="1">IF(J60="","",Options!$B$23 &amp; "." &amp; J60)</f>
        <v/>
      </c>
    </row>
    <row r="61" spans="1:82">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7" t="str">
        <f t="array" aca="1" ref="O61" ca="1">IF(TRIM(INDIRECT("Columns!B61"))="","",TRIM(INDIRECT("Columns!B61")))</f>
        <v/>
      </c>
      <c r="P61" s="227" t="str">
        <f t="array" aca="1" ref="P61" ca="1">IF(TRIM(INDIRECT("Columns!C61"))="","",TRIM(INDIRECT("Columns!C61")))</f>
        <v/>
      </c>
      <c r="Q61" s="227" t="str">
        <f t="array" aca="1" ref="Q61" ca="1">IF(TRIM(INDIRECT("Columns!D61"))="","",TRIM(INDIRECT("Columns!D61")))</f>
        <v/>
      </c>
      <c r="R61" s="227" t="str">
        <f t="array" aca="1" ref="R61" ca="1">IF(TRIM(INDIRECT("Columns!O61"))="","",TRIM(INDIRECT("Columns!O61")))</f>
        <v/>
      </c>
      <c r="S61" t="str">
        <f t="shared" ca="1" si="52"/>
        <v/>
      </c>
      <c r="T61" t="str">
        <f t="shared" ca="1" si="53"/>
        <v/>
      </c>
      <c r="U61" t="str">
        <f t="shared" ca="1" si="54"/>
        <v/>
      </c>
      <c r="V61" t="str">
        <f t="shared" ca="1" si="55"/>
        <v/>
      </c>
      <c r="W61" t="str">
        <f t="shared" ca="1" si="56"/>
        <v/>
      </c>
      <c r="X61" t="str">
        <f t="shared" ca="1" si="57"/>
        <v/>
      </c>
      <c r="Y61" t="str">
        <f t="shared" ca="1" si="58"/>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9"/>
        <v/>
      </c>
      <c r="AF61" t="str">
        <f ca="1">IF(AE61&lt;&gt;"", HELPER!$B$93 &amp;  "." &amp; AE61,"")</f>
        <v/>
      </c>
      <c r="AG61" t="str">
        <f ca="1">IF(AE61&lt;&gt;"", HELPER!$B$94 &amp; "." &amp; AE61,"")</f>
        <v/>
      </c>
      <c r="AH61" t="str">
        <f t="shared" ca="1" si="88"/>
        <v/>
      </c>
      <c r="AI61" t="str">
        <f t="shared" ca="1" si="60"/>
        <v/>
      </c>
      <c r="AJ61" t="str">
        <f t="shared" ca="1" si="61"/>
        <v/>
      </c>
      <c r="AK61" t="str">
        <f ca="1">IF(E61="4", HELPER!$B$94 &amp;  "." &amp; A61,"")</f>
        <v/>
      </c>
      <c r="AL61" t="str">
        <f ca="1">IF(E61="4", HELPER!$B$93 &amp;  "." &amp; A61,"")</f>
        <v/>
      </c>
      <c r="AM61" t="str">
        <f t="shared" ca="1" si="62"/>
        <v/>
      </c>
      <c r="AN61" t="str">
        <f t="shared" ca="1" si="63"/>
        <v/>
      </c>
      <c r="AO61" t="str">
        <f ca="1">IF(A61&lt;&gt;"", IF(OR(F61="1",H61="1",I61="1"),""," "&amp; HELPER!$B$94 &amp; "." &amp; A61),"")</f>
        <v/>
      </c>
      <c r="AP61" t="str">
        <f t="shared" ca="1" si="64"/>
        <v/>
      </c>
      <c r="AQ61" t="str">
        <f t="shared" ca="1" si="95"/>
        <v/>
      </c>
      <c r="AS61" t="str">
        <f ca="1">IF(A61="","",  HELPER!$B$94 &amp;  "." &amp; A61)</f>
        <v/>
      </c>
      <c r="AT61" t="str">
        <f t="shared" ca="1" si="65"/>
        <v/>
      </c>
      <c r="AU61" t="str">
        <f t="shared" ca="1" si="66"/>
        <v/>
      </c>
      <c r="AV61" s="190" t="str">
        <f t="shared" ca="1" si="67"/>
        <v/>
      </c>
      <c r="AW61" t="str">
        <f t="shared" ca="1" si="68"/>
        <v/>
      </c>
      <c r="AY61" t="str">
        <f t="shared" ca="1" si="69"/>
        <v/>
      </c>
      <c r="BF61" t="str">
        <f t="shared" ca="1" si="73"/>
        <v/>
      </c>
      <c r="BH61" s="285" t="str">
        <f t="shared" ca="1" si="90"/>
        <v/>
      </c>
      <c r="BI61" t="str">
        <f t="shared" ca="1" si="75"/>
        <v/>
      </c>
      <c r="BJ61" t="str">
        <f t="shared" ca="1" si="76"/>
        <v/>
      </c>
      <c r="BK61" t="str">
        <f t="shared" ca="1" si="91"/>
        <v/>
      </c>
      <c r="BM61" t="str">
        <f t="shared" ca="1" si="92"/>
        <v/>
      </c>
      <c r="BN61" t="str">
        <f t="shared" ca="1" si="93"/>
        <v/>
      </c>
      <c r="BO61" t="str">
        <f t="shared" ca="1" si="78"/>
        <v/>
      </c>
      <c r="BP61" t="b">
        <f ca="1">COUNTIF(COLHELPER!A61:'COLHELPER'!A61,COLHELPER!A61)&gt;1</f>
        <v>0</v>
      </c>
      <c r="BQ61">
        <f t="shared" ca="1" si="79"/>
        <v>0</v>
      </c>
      <c r="BR61" s="290" t="str">
        <f t="shared" ca="1" si="48"/>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c r="CD61" t="str">
        <f ca="1">IF(J61="","",Options!$B$23 &amp; "." &amp; J61)</f>
        <v/>
      </c>
    </row>
    <row r="62" spans="1:82">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7" t="str">
        <f t="array" aca="1" ref="O62" ca="1">IF(TRIM(INDIRECT("Columns!B62"))="","",TRIM(INDIRECT("Columns!B62")))</f>
        <v/>
      </c>
      <c r="P62" s="227" t="str">
        <f t="array" aca="1" ref="P62" ca="1">IF(TRIM(INDIRECT("Columns!C62"))="","",TRIM(INDIRECT("Columns!C62")))</f>
        <v/>
      </c>
      <c r="Q62" s="227" t="str">
        <f t="array" aca="1" ref="Q62" ca="1">IF(TRIM(INDIRECT("Columns!D62"))="","",TRIM(INDIRECT("Columns!D62")))</f>
        <v/>
      </c>
      <c r="R62" s="227" t="str">
        <f t="array" aca="1" ref="R62" ca="1">IF(TRIM(INDIRECT("Columns!O62"))="","",TRIM(INDIRECT("Columns!O62")))</f>
        <v/>
      </c>
      <c r="S62" t="str">
        <f t="shared" ca="1" si="52"/>
        <v/>
      </c>
      <c r="T62" t="str">
        <f t="shared" ca="1" si="53"/>
        <v/>
      </c>
      <c r="U62" t="str">
        <f t="shared" ca="1" si="54"/>
        <v/>
      </c>
      <c r="V62" t="str">
        <f t="shared" ca="1" si="55"/>
        <v/>
      </c>
      <c r="W62" t="str">
        <f t="shared" ca="1" si="56"/>
        <v/>
      </c>
      <c r="X62" t="str">
        <f t="shared" ca="1" si="57"/>
        <v/>
      </c>
      <c r="Y62" t="str">
        <f t="shared" ca="1" si="58"/>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9"/>
        <v/>
      </c>
      <c r="AF62" t="str">
        <f ca="1">IF(AE62&lt;&gt;"", HELPER!$B$93 &amp;  "." &amp; AE62,"")</f>
        <v/>
      </c>
      <c r="AG62" t="str">
        <f ca="1">IF(AE62&lt;&gt;"", HELPER!$B$94 &amp; "." &amp; AE62,"")</f>
        <v/>
      </c>
      <c r="AH62" t="str">
        <f t="shared" ca="1" si="88"/>
        <v/>
      </c>
      <c r="AI62" t="str">
        <f t="shared" ca="1" si="60"/>
        <v/>
      </c>
      <c r="AJ62" t="str">
        <f t="shared" ca="1" si="61"/>
        <v/>
      </c>
      <c r="AK62" t="str">
        <f ca="1">IF(E62="4", HELPER!$B$94 &amp;  "." &amp; A62,"")</f>
        <v/>
      </c>
      <c r="AL62" t="str">
        <f ca="1">IF(E62="4", HELPER!$B$93 &amp;  "." &amp; A62,"")</f>
        <v/>
      </c>
      <c r="AM62" t="str">
        <f t="shared" ca="1" si="62"/>
        <v/>
      </c>
      <c r="AN62" t="str">
        <f t="shared" ca="1" si="63"/>
        <v/>
      </c>
      <c r="AO62" t="str">
        <f ca="1">IF(A62&lt;&gt;"", IF(OR(F62="1",H62="1",I62="1"),""," "&amp; HELPER!$B$94 &amp; "." &amp; A62),"")</f>
        <v/>
      </c>
      <c r="AP62" t="str">
        <f t="shared" ca="1" si="64"/>
        <v/>
      </c>
      <c r="AQ62" t="str">
        <f t="shared" ca="1" si="95"/>
        <v/>
      </c>
      <c r="AS62" t="str">
        <f ca="1">IF(A62="","",  HELPER!$B$94 &amp;  "." &amp; A62)</f>
        <v/>
      </c>
      <c r="AT62" t="str">
        <f t="shared" ca="1" si="65"/>
        <v/>
      </c>
      <c r="AU62" t="str">
        <f t="shared" ca="1" si="66"/>
        <v/>
      </c>
      <c r="AV62" s="190" t="str">
        <f t="shared" ca="1" si="67"/>
        <v/>
      </c>
      <c r="AW62" t="str">
        <f t="shared" ca="1" si="68"/>
        <v/>
      </c>
      <c r="AY62" t="str">
        <f t="shared" ca="1" si="69"/>
        <v/>
      </c>
      <c r="BF62" t="str">
        <f t="shared" ca="1" si="73"/>
        <v/>
      </c>
      <c r="BH62" s="285" t="str">
        <f t="shared" ca="1" si="90"/>
        <v/>
      </c>
      <c r="BI62" t="str">
        <f t="shared" ca="1" si="75"/>
        <v/>
      </c>
      <c r="BJ62" t="str">
        <f t="shared" ca="1" si="76"/>
        <v/>
      </c>
      <c r="BK62" t="str">
        <f t="shared" ca="1" si="91"/>
        <v/>
      </c>
      <c r="BM62" t="str">
        <f t="shared" ca="1" si="92"/>
        <v/>
      </c>
      <c r="BN62" t="str">
        <f t="shared" ca="1" si="93"/>
        <v/>
      </c>
      <c r="BO62" t="str">
        <f t="shared" ca="1" si="78"/>
        <v/>
      </c>
      <c r="BP62" t="b">
        <f ca="1">COUNTIF(COLHELPER!A62:'COLHELPER'!A62,COLHELPER!A62)&gt;1</f>
        <v>0</v>
      </c>
      <c r="BQ62">
        <f t="shared" ca="1" si="79"/>
        <v>0</v>
      </c>
      <c r="BR62" s="290" t="str">
        <f t="shared" ca="1" si="48"/>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c r="CD62" t="str">
        <f ca="1">IF(J62="","",Options!$B$23 &amp; "." &amp; J62)</f>
        <v/>
      </c>
    </row>
    <row r="63" spans="1:82">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7" t="str">
        <f t="array" aca="1" ref="O63" ca="1">IF(TRIM(INDIRECT("Columns!B63"))="","",TRIM(INDIRECT("Columns!B63")))</f>
        <v/>
      </c>
      <c r="P63" s="227" t="str">
        <f t="array" aca="1" ref="P63" ca="1">IF(TRIM(INDIRECT("Columns!C63"))="","",TRIM(INDIRECT("Columns!C63")))</f>
        <v/>
      </c>
      <c r="Q63" s="227" t="str">
        <f t="array" aca="1" ref="Q63" ca="1">IF(TRIM(INDIRECT("Columns!D63"))="","",TRIM(INDIRECT("Columns!D63")))</f>
        <v/>
      </c>
      <c r="R63" s="227" t="str">
        <f t="array" aca="1" ref="R63" ca="1">IF(TRIM(INDIRECT("Columns!O63"))="","",TRIM(INDIRECT("Columns!O63")))</f>
        <v/>
      </c>
      <c r="S63" t="str">
        <f t="shared" ca="1" si="52"/>
        <v/>
      </c>
      <c r="T63" t="str">
        <f t="shared" ca="1" si="53"/>
        <v/>
      </c>
      <c r="U63" t="str">
        <f t="shared" ca="1" si="54"/>
        <v/>
      </c>
      <c r="V63" t="str">
        <f t="shared" ca="1" si="55"/>
        <v/>
      </c>
      <c r="W63" t="str">
        <f t="shared" ca="1" si="56"/>
        <v/>
      </c>
      <c r="X63" t="str">
        <f t="shared" ca="1" si="57"/>
        <v/>
      </c>
      <c r="Y63" t="str">
        <f t="shared" ca="1" si="58"/>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9"/>
        <v/>
      </c>
      <c r="AF63" t="str">
        <f ca="1">IF(AE63&lt;&gt;"", HELPER!$B$93 &amp;  "." &amp; AE63,"")</f>
        <v/>
      </c>
      <c r="AG63" t="str">
        <f ca="1">IF(AE63&lt;&gt;"", HELPER!$B$94 &amp; "." &amp; AE63,"")</f>
        <v/>
      </c>
      <c r="AH63" t="str">
        <f t="shared" ca="1" si="88"/>
        <v/>
      </c>
      <c r="AI63" t="str">
        <f t="shared" ca="1" si="60"/>
        <v/>
      </c>
      <c r="AJ63" t="str">
        <f t="shared" ca="1" si="61"/>
        <v/>
      </c>
      <c r="AK63" t="str">
        <f ca="1">IF(E63="4", HELPER!$B$94 &amp;  "." &amp; A63,"")</f>
        <v/>
      </c>
      <c r="AL63" t="str">
        <f ca="1">IF(E63="4", HELPER!$B$93 &amp;  "." &amp; A63,"")</f>
        <v/>
      </c>
      <c r="AM63" t="str">
        <f t="shared" ca="1" si="62"/>
        <v/>
      </c>
      <c r="AN63" t="str">
        <f t="shared" ca="1" si="63"/>
        <v/>
      </c>
      <c r="AO63" t="str">
        <f ca="1">IF(A63&lt;&gt;"", IF(OR(F63="1",H63="1",I63="1"),""," "&amp; HELPER!$B$94 &amp; "." &amp; A63),"")</f>
        <v/>
      </c>
      <c r="AP63" t="str">
        <f t="shared" ca="1" si="64"/>
        <v/>
      </c>
      <c r="AQ63" t="str">
        <f t="shared" ca="1" si="95"/>
        <v/>
      </c>
      <c r="AS63" t="str">
        <f ca="1">IF(A63="","",  HELPER!$B$94 &amp;  "." &amp; A63)</f>
        <v/>
      </c>
      <c r="AT63" t="str">
        <f t="shared" ca="1" si="65"/>
        <v/>
      </c>
      <c r="AU63" t="str">
        <f t="shared" ca="1" si="66"/>
        <v/>
      </c>
      <c r="AV63" s="190" t="str">
        <f t="shared" ca="1" si="67"/>
        <v/>
      </c>
      <c r="AW63" t="str">
        <f t="shared" ca="1" si="68"/>
        <v/>
      </c>
      <c r="AY63" t="str">
        <f t="shared" ca="1" si="69"/>
        <v/>
      </c>
      <c r="BF63" t="str">
        <f t="shared" ca="1" si="73"/>
        <v/>
      </c>
      <c r="BH63" s="285" t="str">
        <f t="shared" ca="1" si="90"/>
        <v/>
      </c>
      <c r="BI63" t="str">
        <f t="shared" ca="1" si="75"/>
        <v/>
      </c>
      <c r="BJ63" t="str">
        <f t="shared" ca="1" si="76"/>
        <v/>
      </c>
      <c r="BK63" t="str">
        <f t="shared" ca="1" si="91"/>
        <v/>
      </c>
      <c r="BM63" t="str">
        <f t="shared" ca="1" si="92"/>
        <v/>
      </c>
      <c r="BN63" t="str">
        <f t="shared" ca="1" si="93"/>
        <v/>
      </c>
      <c r="BO63" t="str">
        <f t="shared" ca="1" si="78"/>
        <v/>
      </c>
      <c r="BP63" t="b">
        <f ca="1">COUNTIF(COLHELPER!A63:'COLHELPER'!A63,COLHELPER!A63)&gt;1</f>
        <v>0</v>
      </c>
      <c r="BQ63">
        <f t="shared" ca="1" si="79"/>
        <v>0</v>
      </c>
      <c r="BR63" s="290" t="str">
        <f t="shared" ca="1" si="48"/>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c r="CD63" t="str">
        <f ca="1">IF(J63="","",Options!$B$23 &amp; "." &amp; J63)</f>
        <v/>
      </c>
    </row>
    <row r="64" spans="1:82">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7" t="str">
        <f t="array" aca="1" ref="O64" ca="1">IF(TRIM(INDIRECT("Columns!B64"))="","",TRIM(INDIRECT("Columns!B64")))</f>
        <v/>
      </c>
      <c r="P64" s="227" t="str">
        <f t="array" aca="1" ref="P64" ca="1">IF(TRIM(INDIRECT("Columns!C64"))="","",TRIM(INDIRECT("Columns!C64")))</f>
        <v/>
      </c>
      <c r="Q64" s="227" t="str">
        <f t="array" aca="1" ref="Q64" ca="1">IF(TRIM(INDIRECT("Columns!D64"))="","",TRIM(INDIRECT("Columns!D64")))</f>
        <v/>
      </c>
      <c r="R64" s="227" t="str">
        <f t="array" aca="1" ref="R64" ca="1">IF(TRIM(INDIRECT("Columns!O64"))="","",TRIM(INDIRECT("Columns!O64")))</f>
        <v/>
      </c>
      <c r="S64" t="str">
        <f t="shared" ca="1" si="52"/>
        <v/>
      </c>
      <c r="T64" t="str">
        <f t="shared" ca="1" si="53"/>
        <v/>
      </c>
      <c r="U64" t="str">
        <f t="shared" ca="1" si="54"/>
        <v/>
      </c>
      <c r="V64" t="str">
        <f t="shared" ca="1" si="55"/>
        <v/>
      </c>
      <c r="W64" t="str">
        <f t="shared" ca="1" si="56"/>
        <v/>
      </c>
      <c r="X64" t="str">
        <f t="shared" ca="1" si="57"/>
        <v/>
      </c>
      <c r="Y64" t="str">
        <f t="shared" ca="1" si="58"/>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9"/>
        <v/>
      </c>
      <c r="AF64" t="str">
        <f ca="1">IF(AE64&lt;&gt;"", HELPER!$B$93 &amp;  "." &amp; AE64,"")</f>
        <v/>
      </c>
      <c r="AG64" t="str">
        <f ca="1">IF(AE64&lt;&gt;"", HELPER!$B$94 &amp; "." &amp; AE64,"")</f>
        <v/>
      </c>
      <c r="AH64" t="str">
        <f t="shared" ca="1" si="88"/>
        <v/>
      </c>
      <c r="AI64" t="str">
        <f t="shared" ca="1" si="60"/>
        <v/>
      </c>
      <c r="AJ64" t="str">
        <f t="shared" ca="1" si="61"/>
        <v/>
      </c>
      <c r="AK64" t="str">
        <f ca="1">IF(E64="4", HELPER!$B$94 &amp;  "." &amp; A64,"")</f>
        <v/>
      </c>
      <c r="AL64" t="str">
        <f ca="1">IF(E64="4", HELPER!$B$93 &amp;  "." &amp; A64,"")</f>
        <v/>
      </c>
      <c r="AM64" t="str">
        <f t="shared" ca="1" si="62"/>
        <v/>
      </c>
      <c r="AN64" t="str">
        <f t="shared" ca="1" si="63"/>
        <v/>
      </c>
      <c r="AO64" t="str">
        <f ca="1">IF(A64&lt;&gt;"", IF(OR(F64="1",H64="1",I64="1"),""," "&amp; HELPER!$B$94 &amp; "." &amp; A64),"")</f>
        <v/>
      </c>
      <c r="AP64" t="str">
        <f t="shared" ca="1" si="64"/>
        <v/>
      </c>
      <c r="AQ64" t="str">
        <f t="shared" ca="1" si="95"/>
        <v/>
      </c>
      <c r="AS64" t="str">
        <f ca="1">IF(A64="","",  HELPER!$B$94 &amp;  "." &amp; A64)</f>
        <v/>
      </c>
      <c r="AT64" t="str">
        <f t="shared" ca="1" si="65"/>
        <v/>
      </c>
      <c r="AU64" t="str">
        <f t="shared" ca="1" si="66"/>
        <v/>
      </c>
      <c r="AV64" s="190" t="str">
        <f t="shared" ca="1" si="67"/>
        <v/>
      </c>
      <c r="AW64" t="str">
        <f t="shared" ca="1" si="68"/>
        <v/>
      </c>
      <c r="AY64" t="str">
        <f t="shared" ca="1" si="69"/>
        <v/>
      </c>
      <c r="BF64" t="str">
        <f t="shared" ca="1" si="73"/>
        <v/>
      </c>
      <c r="BH64" s="285" t="str">
        <f t="shared" ca="1" si="90"/>
        <v/>
      </c>
      <c r="BI64" t="str">
        <f t="shared" ca="1" si="75"/>
        <v/>
      </c>
      <c r="BJ64" t="str">
        <f t="shared" ca="1" si="76"/>
        <v/>
      </c>
      <c r="BK64" t="str">
        <f t="shared" ca="1" si="91"/>
        <v/>
      </c>
      <c r="BM64" t="str">
        <f t="shared" ca="1" si="92"/>
        <v/>
      </c>
      <c r="BN64" t="str">
        <f t="shared" ca="1" si="93"/>
        <v/>
      </c>
      <c r="BO64" t="str">
        <f t="shared" ca="1" si="78"/>
        <v/>
      </c>
      <c r="BP64" t="b">
        <f ca="1">COUNTIF(COLHELPER!A64:'COLHELPER'!A64,COLHELPER!A64)&gt;1</f>
        <v>0</v>
      </c>
      <c r="BQ64">
        <f t="shared" ca="1" si="79"/>
        <v>0</v>
      </c>
      <c r="BR64" s="290" t="str">
        <f t="shared" ca="1" si="48"/>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c r="CD64" t="str">
        <f ca="1">IF(J64="","",Options!$B$23 &amp; "." &amp; J64)</f>
        <v/>
      </c>
    </row>
    <row r="65" spans="1:82">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7" t="str">
        <f t="array" aca="1" ref="O65" ca="1">IF(TRIM(INDIRECT("Columns!B65"))="","",TRIM(INDIRECT("Columns!B65")))</f>
        <v/>
      </c>
      <c r="P65" s="227" t="str">
        <f t="array" aca="1" ref="P65" ca="1">IF(TRIM(INDIRECT("Columns!C65"))="","",TRIM(INDIRECT("Columns!C65")))</f>
        <v/>
      </c>
      <c r="Q65" s="227" t="str">
        <f t="array" aca="1" ref="Q65" ca="1">IF(TRIM(INDIRECT("Columns!D65"))="","",TRIM(INDIRECT("Columns!D65")))</f>
        <v/>
      </c>
      <c r="R65" s="227" t="str">
        <f t="array" aca="1" ref="R65" ca="1">IF(TRIM(INDIRECT("Columns!O65"))="","",TRIM(INDIRECT("Columns!O65")))</f>
        <v/>
      </c>
      <c r="S65" t="str">
        <f t="shared" ca="1" si="52"/>
        <v/>
      </c>
      <c r="T65" t="str">
        <f t="shared" ca="1" si="53"/>
        <v/>
      </c>
      <c r="U65" t="str">
        <f t="shared" ca="1" si="54"/>
        <v/>
      </c>
      <c r="V65" t="str">
        <f t="shared" ca="1" si="55"/>
        <v/>
      </c>
      <c r="W65" t="str">
        <f t="shared" ca="1" si="56"/>
        <v/>
      </c>
      <c r="X65" t="str">
        <f t="shared" ca="1" si="57"/>
        <v/>
      </c>
      <c r="Y65" t="str">
        <f t="shared" ca="1" si="58"/>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9"/>
        <v/>
      </c>
      <c r="AF65" t="str">
        <f ca="1">IF(AE65&lt;&gt;"", HELPER!$B$93 &amp;  "." &amp; AE65,"")</f>
        <v/>
      </c>
      <c r="AG65" t="str">
        <f ca="1">IF(AE65&lt;&gt;"", HELPER!$B$94 &amp; "." &amp; AE65,"")</f>
        <v/>
      </c>
      <c r="AH65" t="str">
        <f t="shared" ca="1" si="88"/>
        <v/>
      </c>
      <c r="AI65" t="str">
        <f t="shared" ca="1" si="60"/>
        <v/>
      </c>
      <c r="AJ65" t="str">
        <f t="shared" ca="1" si="61"/>
        <v/>
      </c>
      <c r="AK65" t="str">
        <f ca="1">IF(E65="4", HELPER!$B$94 &amp;  "." &amp; A65,"")</f>
        <v/>
      </c>
      <c r="AL65" t="str">
        <f ca="1">IF(E65="4", HELPER!$B$93 &amp;  "." &amp; A65,"")</f>
        <v/>
      </c>
      <c r="AM65" t="str">
        <f t="shared" ca="1" si="62"/>
        <v/>
      </c>
      <c r="AN65" t="str">
        <f t="shared" ca="1" si="63"/>
        <v/>
      </c>
      <c r="AO65" t="str">
        <f ca="1">IF(A65&lt;&gt;"", IF(OR(F65="1",H65="1",I65="1"),""," "&amp; HELPER!$B$94 &amp; "." &amp; A65),"")</f>
        <v/>
      </c>
      <c r="AP65" t="str">
        <f t="shared" ca="1" si="64"/>
        <v/>
      </c>
      <c r="AQ65" t="str">
        <f t="shared" ca="1" si="95"/>
        <v/>
      </c>
      <c r="AS65" t="str">
        <f ca="1">IF(A65="","",  HELPER!$B$94 &amp;  "." &amp; A65)</f>
        <v/>
      </c>
      <c r="AT65" t="str">
        <f t="shared" ca="1" si="65"/>
        <v/>
      </c>
      <c r="AU65" t="str">
        <f t="shared" ca="1" si="66"/>
        <v/>
      </c>
      <c r="AV65" s="190" t="str">
        <f t="shared" ca="1" si="67"/>
        <v/>
      </c>
      <c r="AW65" t="str">
        <f t="shared" ca="1" si="68"/>
        <v/>
      </c>
      <c r="AY65" t="str">
        <f t="shared" ca="1" si="69"/>
        <v/>
      </c>
      <c r="BF65" t="str">
        <f t="shared" ca="1" si="73"/>
        <v/>
      </c>
      <c r="BH65" s="285" t="str">
        <f t="shared" ca="1" si="90"/>
        <v/>
      </c>
      <c r="BI65" t="str">
        <f t="shared" ca="1" si="75"/>
        <v/>
      </c>
      <c r="BJ65" t="str">
        <f t="shared" ca="1" si="76"/>
        <v/>
      </c>
      <c r="BK65" t="str">
        <f t="shared" ca="1" si="91"/>
        <v/>
      </c>
      <c r="BM65" t="str">
        <f t="shared" ca="1" si="92"/>
        <v/>
      </c>
      <c r="BN65" t="str">
        <f t="shared" ca="1" si="93"/>
        <v/>
      </c>
      <c r="BO65" t="str">
        <f t="shared" ca="1" si="78"/>
        <v/>
      </c>
      <c r="BP65" t="b">
        <f ca="1">COUNTIF(COLHELPER!A65:'COLHELPER'!A65,COLHELPER!A65)&gt;1</f>
        <v>0</v>
      </c>
      <c r="BQ65">
        <f t="shared" ca="1" si="79"/>
        <v>0</v>
      </c>
      <c r="BR65" s="290" t="str">
        <f t="shared" ca="1" si="48"/>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c r="CD65" t="str">
        <f ca="1">IF(J65="","",Options!$B$23 &amp; "." &amp; J65)</f>
        <v/>
      </c>
    </row>
    <row r="66" spans="1:82">
      <c r="A66" s="161" t="str">
        <f t="array" aca="1" ref="A66" ca="1">IF(TRIM(INDIRECT("Columns!A66")) ="","",TRIM(INDIRECT("Columns!A66")))</f>
        <v/>
      </c>
      <c r="B66" s="161" t="str">
        <f t="shared" ref="B66:B97" ca="1" si="96">IF(I66="1","",IF(O66="",IF(G66="",A66,G66 &amp; " AS " &amp; A66),O66))</f>
        <v/>
      </c>
      <c r="C66" s="161" t="str">
        <f t="shared" ref="C66:C97" ca="1" si="97">IF(I66="1","bigint",P66)</f>
        <v/>
      </c>
      <c r="D66" s="161" t="str">
        <f t="shared" ref="D66:D97" ca="1" si="98">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7" t="str">
        <f t="array" aca="1" ref="O66" ca="1">IF(TRIM(INDIRECT("Columns!B66"))="","",TRIM(INDIRECT("Columns!B66")))</f>
        <v/>
      </c>
      <c r="P66" s="227" t="str">
        <f t="array" aca="1" ref="P66" ca="1">IF(TRIM(INDIRECT("Columns!C66"))="","",TRIM(INDIRECT("Columns!C66")))</f>
        <v/>
      </c>
      <c r="Q66" s="227" t="str">
        <f t="array" aca="1" ref="Q66" ca="1">IF(TRIM(INDIRECT("Columns!D66"))="","",TRIM(INDIRECT("Columns!D66")))</f>
        <v/>
      </c>
      <c r="R66" s="227"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0"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5"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s="290" t="str">
        <f t="shared" ca="1" si="48"/>
        <v/>
      </c>
      <c r="BS66" t="str">
        <f t="shared" ref="BS66:BS97" ca="1" si="122">IF(F66="1",SUBSTITUTE(BR66,"'",""),"")</f>
        <v/>
      </c>
      <c r="BT66" t="str">
        <f ca="1">IF(N66="","", SUBSTITUTE( SUBSTITUTE(BR66,"[:date_yyyy_mm_dd]",  N66),"[:date_yyymm]",N66))</f>
        <v/>
      </c>
      <c r="BU66" t="str">
        <f t="shared" ref="BU66:BU97" ca="1" si="123">IF(N66="","",SUBSTITUTE(BS66,"[:date_yyyy_mm_dd]",SUBSTITUTE(N66,"'","")))</f>
        <v/>
      </c>
      <c r="BV66">
        <f t="shared" ref="BV66:BV97" ca="1" si="124">IF(A65="",0,1)</f>
        <v>0</v>
      </c>
      <c r="BW66" t="str">
        <f t="shared" ref="BW66:BW97" ca="1" si="125">IF(AE66="","", "t3." &amp;AE66 &amp; " = t4." &amp; AE66)</f>
        <v/>
      </c>
      <c r="BX66" t="str">
        <f t="shared" ref="BX66:BX97" ca="1" si="126">IF(AE66="","", "t3." &amp;AE66 )</f>
        <v/>
      </c>
      <c r="BY66" t="str">
        <f ca="1">IF(R66="","",IF(R66&gt;Options!$B$3,"ALTER TABLE "&amp;HELPER!$B$4&amp;" ADD COLUMNS ("&amp;A66&amp;" "&amp;C66&amp;")",""))</f>
        <v/>
      </c>
      <c r="BZ66" t="str">
        <f ca="1">IF(R66="","",IF(R66&gt;Options!$B$3,A66,""))</f>
        <v/>
      </c>
      <c r="CA66" t="str">
        <f ca="1">IF(R66="","",IF(R66&gt;Options!$B$3,B66,""))</f>
        <v/>
      </c>
      <c r="CB66" t="str">
        <f t="shared" ref="CB66:CB97" ca="1" si="127">IF(A66&lt;&gt;"","&lt;tr&gt;&lt;td&gt;" &amp; _xlfn.TEXTJOIN("&lt;td&gt;",FALSE,A66:K66) &amp; "&lt;/td&gt;&lt;/tr&gt;","")</f>
        <v/>
      </c>
      <c r="CC66">
        <f t="shared" ref="CC66:CC97" ca="1" si="128">IF(E66="4",1,0)</f>
        <v>0</v>
      </c>
      <c r="CD66" t="str">
        <f ca="1">IF(J66="","",Options!$B$23 &amp; "." &amp; J66)</f>
        <v/>
      </c>
    </row>
    <row r="67" spans="1:82">
      <c r="A67" s="161" t="str">
        <f t="array" aca="1" ref="A67" ca="1">IF(TRIM(INDIRECT("Columns!A67")) ="","",TRIM(INDIRECT("Columns!A67")))</f>
        <v/>
      </c>
      <c r="B67" s="161" t="str">
        <f t="shared" ca="1" si="96"/>
        <v/>
      </c>
      <c r="C67" s="161" t="str">
        <f t="shared" ca="1" si="97"/>
        <v/>
      </c>
      <c r="D67" s="161" t="str">
        <f t="shared" ca="1" si="98"/>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7" t="str">
        <f t="array" aca="1" ref="O67" ca="1">IF(TRIM(INDIRECT("Columns!B67"))="","",TRIM(INDIRECT("Columns!B67")))</f>
        <v/>
      </c>
      <c r="P67" s="227" t="str">
        <f t="array" aca="1" ref="P67" ca="1">IF(TRIM(INDIRECT("Columns!C67"))="","",TRIM(INDIRECT("Columns!C67")))</f>
        <v/>
      </c>
      <c r="Q67" s="227" t="str">
        <f t="array" aca="1" ref="Q67" ca="1">IF(TRIM(INDIRECT("Columns!D67"))="","",TRIM(INDIRECT("Columns!D67")))</f>
        <v/>
      </c>
      <c r="R67" s="227"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29">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0">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0" t="str">
        <f t="shared" ca="1" si="114"/>
        <v/>
      </c>
      <c r="AW67" t="str">
        <f t="shared" ca="1" si="115"/>
        <v/>
      </c>
      <c r="AY67" t="str">
        <f t="shared" ca="1" si="116"/>
        <v/>
      </c>
      <c r="BF67" t="str">
        <f t="shared" ca="1" si="117"/>
        <v/>
      </c>
      <c r="BH67" s="285" t="str">
        <f t="shared" ref="BH67:BH97" ca="1" si="131">IF(G67="", IF(B67="","","COALESCE(" &amp; B67 &amp; "," &amp; IF(C67="string","''",0 ) &amp; ") AS " &amp; A67),G67 &amp; " AS " &amp;A67 )</f>
        <v/>
      </c>
      <c r="BI67" t="str">
        <f t="shared" ca="1" si="118"/>
        <v/>
      </c>
      <c r="BJ67" t="str">
        <f t="shared" ca="1" si="119"/>
        <v/>
      </c>
      <c r="BK67" t="str">
        <f t="shared" ref="BK67:BK97" ca="1" si="132">IF(A67="","", IF(OR(F67="1",E67="4", I67="1",H67="1"), IF(I67="1","-1",IF(C67="string","'missing'","0")),""))</f>
        <v/>
      </c>
      <c r="BM67" t="str">
        <f t="shared" ref="BM67:BM97" ca="1" si="133">IF(A67="","",IF(I67="1","",IF(C67&lt;&gt;D67, IF(AND(D67="string",C67="timestamp"),"cast(from_iso8601_timestamp(" &amp; BO67 &amp; ") as timestamp) AS " &amp; A67, IF(AND(D67="string",C67="date"),"cast( from_iso8601_timestamp(" &amp; BO67 &amp;") as date) AS " &amp; A67,"")),BO67 &amp; " AS " &amp; A67)))</f>
        <v/>
      </c>
      <c r="BN67" t="str">
        <f t="shared" ref="BN67:BN97" ca="1" si="134">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s="290" t="str">
        <f t="shared" ca="1" si="48"/>
        <v/>
      </c>
      <c r="BS67" t="str">
        <f t="shared" ca="1" si="122"/>
        <v/>
      </c>
      <c r="BT67" t="str">
        <f t="shared" ref="BT67:BT97" ca="1" si="135">IF(N67="","", SUBSTITUTE( SUBSTITUTE(BR67,"[:date_yyyy_mm_dd]", N67),"[:date_yyymm]",N67))</f>
        <v/>
      </c>
      <c r="BU67" t="str">
        <f t="shared" ca="1" si="123"/>
        <v/>
      </c>
      <c r="BV67">
        <f t="shared" ca="1" si="124"/>
        <v>0</v>
      </c>
      <c r="BW67" t="str">
        <f t="shared" ca="1" si="125"/>
        <v/>
      </c>
      <c r="BX67" t="str">
        <f t="shared" ca="1" si="126"/>
        <v/>
      </c>
      <c r="BY67" t="str">
        <f ca="1">IF(R67="","",IF(R67&gt;Options!$B$3,"ALTER TABLE "&amp;HELPER!$B$4&amp;" ADD COLUMNS ("&amp;A67&amp;" "&amp;C67&amp;")",""))</f>
        <v/>
      </c>
      <c r="BZ67" t="str">
        <f ca="1">IF(R67="","",IF(R67&gt;Options!$B$3,A67,""))</f>
        <v/>
      </c>
      <c r="CA67" t="str">
        <f ca="1">IF(R67="","",IF(R67&gt;Options!$B$3,B67,""))</f>
        <v/>
      </c>
      <c r="CB67" t="str">
        <f t="shared" ca="1" si="127"/>
        <v/>
      </c>
      <c r="CC67">
        <f t="shared" ca="1" si="128"/>
        <v>0</v>
      </c>
      <c r="CD67" t="str">
        <f ca="1">IF(J67="","",Options!$B$23 &amp; "." &amp; J67)</f>
        <v/>
      </c>
    </row>
    <row r="68" spans="1:82">
      <c r="A68" s="161" t="str">
        <f t="array" aca="1" ref="A68" ca="1">IF(TRIM(INDIRECT("Columns!A68")) ="","",TRIM(INDIRECT("Columns!A68")))</f>
        <v/>
      </c>
      <c r="B68" s="161" t="str">
        <f t="shared" ca="1" si="96"/>
        <v/>
      </c>
      <c r="C68" s="161" t="str">
        <f t="shared" ca="1" si="97"/>
        <v/>
      </c>
      <c r="D68" s="161" t="str">
        <f t="shared" ca="1" si="98"/>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7" t="str">
        <f t="array" aca="1" ref="O68" ca="1">IF(TRIM(INDIRECT("Columns!B68"))="","",TRIM(INDIRECT("Columns!B68")))</f>
        <v/>
      </c>
      <c r="P68" s="227" t="str">
        <f t="array" aca="1" ref="P68" ca="1">IF(TRIM(INDIRECT("Columns!C68"))="","",TRIM(INDIRECT("Columns!C68")))</f>
        <v/>
      </c>
      <c r="Q68" s="227" t="str">
        <f t="array" aca="1" ref="Q68" ca="1">IF(TRIM(INDIRECT("Columns!D68"))="","",TRIM(INDIRECT("Columns!D68")))</f>
        <v/>
      </c>
      <c r="R68" s="227"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29"/>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0"/>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6">IF(A68="","", IF(E68="4", IF(AN68="","",AN68 &amp; " = " &amp; AO68),""))</f>
        <v/>
      </c>
      <c r="AS68" t="str">
        <f ca="1">IF(A68="","",  HELPER!$B$94 &amp;  "." &amp; A68)</f>
        <v/>
      </c>
      <c r="AT68" t="str">
        <f t="shared" ca="1" si="112"/>
        <v/>
      </c>
      <c r="AU68" t="str">
        <f t="shared" ca="1" si="113"/>
        <v/>
      </c>
      <c r="AV68" s="190" t="str">
        <f t="shared" ca="1" si="114"/>
        <v/>
      </c>
      <c r="AW68" t="str">
        <f t="shared" ca="1" si="115"/>
        <v/>
      </c>
      <c r="AY68" t="str">
        <f t="shared" ca="1" si="116"/>
        <v/>
      </c>
      <c r="BF68" t="str">
        <f t="shared" ca="1" si="117"/>
        <v/>
      </c>
      <c r="BH68" s="285" t="str">
        <f t="shared" ca="1" si="131"/>
        <v/>
      </c>
      <c r="BI68" t="str">
        <f t="shared" ca="1" si="118"/>
        <v/>
      </c>
      <c r="BJ68" t="str">
        <f t="shared" ca="1" si="119"/>
        <v/>
      </c>
      <c r="BK68" t="str">
        <f t="shared" ca="1" si="132"/>
        <v/>
      </c>
      <c r="BM68" t="str">
        <f t="shared" ca="1" si="133"/>
        <v/>
      </c>
      <c r="BN68" t="str">
        <f t="shared" ca="1" si="134"/>
        <v/>
      </c>
      <c r="BO68" t="str">
        <f t="shared" ca="1" si="120"/>
        <v/>
      </c>
      <c r="BP68" t="b">
        <f ca="1">COUNTIF(COLHELPER!A68:'COLHELPER'!A68,COLHELPER!A68)&gt;1</f>
        <v>0</v>
      </c>
      <c r="BQ68">
        <f t="shared" ca="1" si="121"/>
        <v>0</v>
      </c>
      <c r="BR68" s="290" t="str">
        <f t="shared" ca="1" si="48"/>
        <v/>
      </c>
      <c r="BS68" t="str">
        <f t="shared" ca="1" si="122"/>
        <v/>
      </c>
      <c r="BT68" t="str">
        <f t="shared" ca="1" si="135"/>
        <v/>
      </c>
      <c r="BU68" t="str">
        <f t="shared" ca="1" si="123"/>
        <v/>
      </c>
      <c r="BV68">
        <f t="shared" ca="1" si="124"/>
        <v>0</v>
      </c>
      <c r="BW68" t="str">
        <f t="shared" ca="1" si="125"/>
        <v/>
      </c>
      <c r="BX68" t="str">
        <f t="shared" ca="1" si="126"/>
        <v/>
      </c>
      <c r="BY68" t="str">
        <f ca="1">IF(R68="","",IF(R68&gt;Options!$B$3,"ALTER TABLE "&amp;HELPER!$B$4&amp;" ADD COLUMNS ("&amp;A68&amp;" "&amp;C68&amp;")",""))</f>
        <v/>
      </c>
      <c r="BZ68" t="str">
        <f ca="1">IF(R68="","",IF(R68&gt;Options!$B$3,A68,""))</f>
        <v/>
      </c>
      <c r="CA68" t="str">
        <f ca="1">IF(R68="","",IF(R68&gt;Options!$B$3,B68,""))</f>
        <v/>
      </c>
      <c r="CB68" t="str">
        <f t="shared" ca="1" si="127"/>
        <v/>
      </c>
      <c r="CC68">
        <f t="shared" ca="1" si="128"/>
        <v>0</v>
      </c>
      <c r="CD68" t="str">
        <f ca="1">IF(J68="","",Options!$B$23 &amp; "." &amp; J68)</f>
        <v/>
      </c>
    </row>
    <row r="69" spans="1:82">
      <c r="A69" s="161" t="str">
        <f t="array" aca="1" ref="A69" ca="1">IF(TRIM(INDIRECT("Columns!A69")) ="","",TRIM(INDIRECT("Columns!A69")))</f>
        <v/>
      </c>
      <c r="B69" s="161" t="str">
        <f t="shared" ca="1" si="96"/>
        <v/>
      </c>
      <c r="C69" s="161" t="str">
        <f t="shared" ca="1" si="97"/>
        <v/>
      </c>
      <c r="D69" s="161" t="str">
        <f t="shared" ca="1" si="98"/>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7" t="str">
        <f t="array" aca="1" ref="O69" ca="1">IF(TRIM(INDIRECT("Columns!B69"))="","",TRIM(INDIRECT("Columns!B69")))</f>
        <v/>
      </c>
      <c r="P69" s="227" t="str">
        <f t="array" aca="1" ref="P69" ca="1">IF(TRIM(INDIRECT("Columns!C69"))="","",TRIM(INDIRECT("Columns!C69")))</f>
        <v/>
      </c>
      <c r="Q69" s="227" t="str">
        <f t="array" aca="1" ref="Q69" ca="1">IF(TRIM(INDIRECT("Columns!D69"))="","",TRIM(INDIRECT("Columns!D69")))</f>
        <v/>
      </c>
      <c r="R69" s="227"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29"/>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0"/>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6"/>
        <v/>
      </c>
      <c r="AS69" t="str">
        <f ca="1">IF(A69="","",  HELPER!$B$94 &amp;  "." &amp; A69)</f>
        <v/>
      </c>
      <c r="AT69" t="str">
        <f t="shared" ca="1" si="112"/>
        <v/>
      </c>
      <c r="AU69" t="str">
        <f t="shared" ca="1" si="113"/>
        <v/>
      </c>
      <c r="AV69" s="190" t="str">
        <f t="shared" ca="1" si="114"/>
        <v/>
      </c>
      <c r="AW69" t="str">
        <f t="shared" ca="1" si="115"/>
        <v/>
      </c>
      <c r="AY69" t="str">
        <f t="shared" ca="1" si="116"/>
        <v/>
      </c>
      <c r="BF69" t="str">
        <f t="shared" ca="1" si="117"/>
        <v/>
      </c>
      <c r="BH69" s="285" t="str">
        <f t="shared" ca="1" si="131"/>
        <v/>
      </c>
      <c r="BI69" t="str">
        <f t="shared" ca="1" si="118"/>
        <v/>
      </c>
      <c r="BJ69" t="str">
        <f t="shared" ca="1" si="119"/>
        <v/>
      </c>
      <c r="BK69" t="str">
        <f t="shared" ca="1" si="132"/>
        <v/>
      </c>
      <c r="BM69" t="str">
        <f t="shared" ca="1" si="133"/>
        <v/>
      </c>
      <c r="BN69" t="str">
        <f t="shared" ca="1" si="134"/>
        <v/>
      </c>
      <c r="BO69" t="str">
        <f t="shared" ca="1" si="120"/>
        <v/>
      </c>
      <c r="BP69" t="b">
        <f ca="1">COUNTIF(COLHELPER!A69:'COLHELPER'!A69,COLHELPER!A69)&gt;1</f>
        <v>0</v>
      </c>
      <c r="BQ69">
        <f t="shared" ca="1" si="121"/>
        <v>0</v>
      </c>
      <c r="BR69" s="290" t="str">
        <f t="shared" ref="BR69:BR132" ca="1" si="137">SUBSTITUTE(IF(M69&lt;&gt;"",A69 &amp; M69,""),"$eq","=")</f>
        <v/>
      </c>
      <c r="BS69" t="str">
        <f t="shared" ca="1" si="122"/>
        <v/>
      </c>
      <c r="BT69" t="str">
        <f t="shared" ca="1" si="135"/>
        <v/>
      </c>
      <c r="BU69" t="str">
        <f t="shared" ca="1" si="123"/>
        <v/>
      </c>
      <c r="BV69">
        <f t="shared" ca="1" si="124"/>
        <v>0</v>
      </c>
      <c r="BW69" t="str">
        <f t="shared" ca="1" si="125"/>
        <v/>
      </c>
      <c r="BX69" t="str">
        <f t="shared" ca="1" si="126"/>
        <v/>
      </c>
      <c r="BY69" t="str">
        <f ca="1">IF(R69="","",IF(R69&gt;Options!$B$3,"ALTER TABLE "&amp;HELPER!$B$4&amp;" ADD COLUMNS ("&amp;A69&amp;" "&amp;C69&amp;")",""))</f>
        <v/>
      </c>
      <c r="BZ69" t="str">
        <f ca="1">IF(R69="","",IF(R69&gt;Options!$B$3,A69,""))</f>
        <v/>
      </c>
      <c r="CA69" t="str">
        <f ca="1">IF(R69="","",IF(R69&gt;Options!$B$3,B69,""))</f>
        <v/>
      </c>
      <c r="CB69" t="str">
        <f t="shared" ca="1" si="127"/>
        <v/>
      </c>
      <c r="CC69">
        <f t="shared" ca="1" si="128"/>
        <v>0</v>
      </c>
      <c r="CD69" t="str">
        <f ca="1">IF(J69="","",Options!$B$23 &amp; "." &amp; J69)</f>
        <v/>
      </c>
    </row>
    <row r="70" spans="1:82">
      <c r="A70" s="161" t="str">
        <f t="array" aca="1" ref="A70" ca="1">IF(TRIM(INDIRECT("Columns!A70")) ="","",TRIM(INDIRECT("Columns!A70")))</f>
        <v/>
      </c>
      <c r="B70" s="161" t="str">
        <f t="shared" ca="1" si="96"/>
        <v/>
      </c>
      <c r="C70" s="161" t="str">
        <f t="shared" ca="1" si="97"/>
        <v/>
      </c>
      <c r="D70" s="161" t="str">
        <f t="shared" ca="1" si="98"/>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7" t="str">
        <f t="array" aca="1" ref="O70" ca="1">IF(TRIM(INDIRECT("Columns!B70"))="","",TRIM(INDIRECT("Columns!B70")))</f>
        <v/>
      </c>
      <c r="P70" s="227" t="str">
        <f t="array" aca="1" ref="P70" ca="1">IF(TRIM(INDIRECT("Columns!C70"))="","",TRIM(INDIRECT("Columns!C70")))</f>
        <v/>
      </c>
      <c r="Q70" s="227" t="str">
        <f t="array" aca="1" ref="Q70" ca="1">IF(TRIM(INDIRECT("Columns!D70"))="","",TRIM(INDIRECT("Columns!D70")))</f>
        <v/>
      </c>
      <c r="R70" s="227"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29"/>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0"/>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6"/>
        <v/>
      </c>
      <c r="AS70" t="str">
        <f ca="1">IF(A70="","",  HELPER!$B$94 &amp;  "." &amp; A70)</f>
        <v/>
      </c>
      <c r="AT70" t="str">
        <f t="shared" ca="1" si="112"/>
        <v/>
      </c>
      <c r="AU70" t="str">
        <f t="shared" ca="1" si="113"/>
        <v/>
      </c>
      <c r="AV70" s="190" t="str">
        <f t="shared" ca="1" si="114"/>
        <v/>
      </c>
      <c r="AW70" t="str">
        <f t="shared" ca="1" si="115"/>
        <v/>
      </c>
      <c r="AY70" t="str">
        <f t="shared" ca="1" si="116"/>
        <v/>
      </c>
      <c r="BF70" t="str">
        <f t="shared" ca="1" si="117"/>
        <v/>
      </c>
      <c r="BH70" s="285" t="str">
        <f t="shared" ca="1" si="131"/>
        <v/>
      </c>
      <c r="BI70" t="str">
        <f t="shared" ca="1" si="118"/>
        <v/>
      </c>
      <c r="BJ70" t="str">
        <f t="shared" ca="1" si="119"/>
        <v/>
      </c>
      <c r="BK70" t="str">
        <f t="shared" ca="1" si="132"/>
        <v/>
      </c>
      <c r="BM70" t="str">
        <f t="shared" ca="1" si="133"/>
        <v/>
      </c>
      <c r="BN70" t="str">
        <f t="shared" ca="1" si="134"/>
        <v/>
      </c>
      <c r="BO70" t="str">
        <f t="shared" ca="1" si="120"/>
        <v/>
      </c>
      <c r="BP70" t="b">
        <f ca="1">COUNTIF(COLHELPER!A70:'COLHELPER'!A70,COLHELPER!A70)&gt;1</f>
        <v>0</v>
      </c>
      <c r="BQ70">
        <f t="shared" ca="1" si="121"/>
        <v>0</v>
      </c>
      <c r="BR70" s="290" t="str">
        <f t="shared" ca="1" si="137"/>
        <v/>
      </c>
      <c r="BS70" t="str">
        <f t="shared" ca="1" si="122"/>
        <v/>
      </c>
      <c r="BT70" t="str">
        <f t="shared" ca="1" si="135"/>
        <v/>
      </c>
      <c r="BU70" t="str">
        <f t="shared" ca="1" si="123"/>
        <v/>
      </c>
      <c r="BV70">
        <f t="shared" ca="1" si="124"/>
        <v>0</v>
      </c>
      <c r="BW70" t="str">
        <f t="shared" ca="1" si="125"/>
        <v/>
      </c>
      <c r="BX70" t="str">
        <f t="shared" ca="1" si="126"/>
        <v/>
      </c>
      <c r="BY70" t="str">
        <f ca="1">IF(R70="","",IF(R70&gt;Options!$B$3,"ALTER TABLE "&amp;HELPER!$B$4&amp;" ADD COLUMNS ("&amp;A70&amp;" "&amp;C70&amp;")",""))</f>
        <v/>
      </c>
      <c r="BZ70" t="str">
        <f ca="1">IF(R70="","",IF(R70&gt;Options!$B$3,A70,""))</f>
        <v/>
      </c>
      <c r="CA70" t="str">
        <f ca="1">IF(R70="","",IF(R70&gt;Options!$B$3,B70,""))</f>
        <v/>
      </c>
      <c r="CB70" t="str">
        <f t="shared" ca="1" si="127"/>
        <v/>
      </c>
      <c r="CC70">
        <f t="shared" ca="1" si="128"/>
        <v>0</v>
      </c>
      <c r="CD70" t="str">
        <f ca="1">IF(J70="","",Options!$B$23 &amp; "." &amp; J70)</f>
        <v/>
      </c>
    </row>
    <row r="71" spans="1:82">
      <c r="A71" s="161" t="str">
        <f t="array" aca="1" ref="A71" ca="1">IF(TRIM(INDIRECT("Columns!A71")) ="","",TRIM(INDIRECT("Columns!A71")))</f>
        <v/>
      </c>
      <c r="B71" s="161" t="str">
        <f t="shared" ca="1" si="96"/>
        <v/>
      </c>
      <c r="C71" s="161" t="str">
        <f t="shared" ca="1" si="97"/>
        <v/>
      </c>
      <c r="D71" s="161" t="str">
        <f t="shared" ca="1" si="98"/>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7" t="str">
        <f t="array" aca="1" ref="O71" ca="1">IF(TRIM(INDIRECT("Columns!B71"))="","",TRIM(INDIRECT("Columns!B71")))</f>
        <v/>
      </c>
      <c r="P71" s="227" t="str">
        <f t="array" aca="1" ref="P71" ca="1">IF(TRIM(INDIRECT("Columns!C71"))="","",TRIM(INDIRECT("Columns!C71")))</f>
        <v/>
      </c>
      <c r="Q71" s="227" t="str">
        <f t="array" aca="1" ref="Q71" ca="1">IF(TRIM(INDIRECT("Columns!D71"))="","",TRIM(INDIRECT("Columns!D71")))</f>
        <v/>
      </c>
      <c r="R71" s="227"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29"/>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0"/>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6"/>
        <v/>
      </c>
      <c r="AS71" t="str">
        <f ca="1">IF(A71="","",  HELPER!$B$94 &amp;  "." &amp; A71)</f>
        <v/>
      </c>
      <c r="AT71" t="str">
        <f t="shared" ca="1" si="112"/>
        <v/>
      </c>
      <c r="AU71" t="str">
        <f t="shared" ca="1" si="113"/>
        <v/>
      </c>
      <c r="AV71" s="190" t="str">
        <f t="shared" ca="1" si="114"/>
        <v/>
      </c>
      <c r="AW71" t="str">
        <f t="shared" ca="1" si="115"/>
        <v/>
      </c>
      <c r="AY71" t="str">
        <f t="shared" ca="1" si="116"/>
        <v/>
      </c>
      <c r="BF71" t="str">
        <f t="shared" ca="1" si="117"/>
        <v/>
      </c>
      <c r="BH71" s="285" t="str">
        <f t="shared" ca="1" si="131"/>
        <v/>
      </c>
      <c r="BI71" t="str">
        <f t="shared" ca="1" si="118"/>
        <v/>
      </c>
      <c r="BJ71" t="str">
        <f t="shared" ca="1" si="119"/>
        <v/>
      </c>
      <c r="BK71" t="str">
        <f t="shared" ca="1" si="132"/>
        <v/>
      </c>
      <c r="BM71" t="str">
        <f t="shared" ca="1" si="133"/>
        <v/>
      </c>
      <c r="BN71" t="str">
        <f t="shared" ca="1" si="134"/>
        <v/>
      </c>
      <c r="BO71" t="str">
        <f t="shared" ca="1" si="120"/>
        <v/>
      </c>
      <c r="BP71" t="b">
        <f ca="1">COUNTIF(COLHELPER!A71:'COLHELPER'!A71,COLHELPER!A71)&gt;1</f>
        <v>0</v>
      </c>
      <c r="BQ71">
        <f t="shared" ca="1" si="121"/>
        <v>0</v>
      </c>
      <c r="BR71" s="290" t="str">
        <f t="shared" ca="1" si="137"/>
        <v/>
      </c>
      <c r="BS71" t="str">
        <f t="shared" ca="1" si="122"/>
        <v/>
      </c>
      <c r="BT71" t="str">
        <f t="shared" ca="1" si="135"/>
        <v/>
      </c>
      <c r="BU71" t="str">
        <f t="shared" ca="1" si="123"/>
        <v/>
      </c>
      <c r="BV71">
        <f t="shared" ca="1" si="124"/>
        <v>0</v>
      </c>
      <c r="BW71" t="str">
        <f t="shared" ca="1" si="125"/>
        <v/>
      </c>
      <c r="BX71" t="str">
        <f t="shared" ca="1" si="126"/>
        <v/>
      </c>
      <c r="BY71" t="str">
        <f ca="1">IF(R71="","",IF(R71&gt;Options!$B$3,"ALTER TABLE "&amp;HELPER!$B$4&amp;" ADD COLUMNS ("&amp;A71&amp;" "&amp;C71&amp;")",""))</f>
        <v/>
      </c>
      <c r="BZ71" t="str">
        <f ca="1">IF(R71="","",IF(R71&gt;Options!$B$3,A71,""))</f>
        <v/>
      </c>
      <c r="CA71" t="str">
        <f ca="1">IF(R71="","",IF(R71&gt;Options!$B$3,B71,""))</f>
        <v/>
      </c>
      <c r="CB71" t="str">
        <f t="shared" ca="1" si="127"/>
        <v/>
      </c>
      <c r="CC71">
        <f t="shared" ca="1" si="128"/>
        <v>0</v>
      </c>
      <c r="CD71" t="str">
        <f ca="1">IF(J71="","",Options!$B$23 &amp; "." &amp; J71)</f>
        <v/>
      </c>
    </row>
    <row r="72" spans="1:82">
      <c r="A72" s="161" t="str">
        <f t="array" aca="1" ref="A72" ca="1">IF(TRIM(INDIRECT("Columns!A72")) ="","",TRIM(INDIRECT("Columns!A72")))</f>
        <v/>
      </c>
      <c r="B72" s="161" t="str">
        <f t="shared" ca="1" si="96"/>
        <v/>
      </c>
      <c r="C72" s="161" t="str">
        <f t="shared" ca="1" si="97"/>
        <v/>
      </c>
      <c r="D72" s="161" t="str">
        <f t="shared" ca="1" si="98"/>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7" t="str">
        <f t="array" aca="1" ref="O72" ca="1">IF(TRIM(INDIRECT("Columns!B72"))="","",TRIM(INDIRECT("Columns!B72")))</f>
        <v/>
      </c>
      <c r="P72" s="227" t="str">
        <f t="array" aca="1" ref="P72" ca="1">IF(TRIM(INDIRECT("Columns!C72"))="","",TRIM(INDIRECT("Columns!C72")))</f>
        <v/>
      </c>
      <c r="Q72" s="227" t="str">
        <f t="array" aca="1" ref="Q72" ca="1">IF(TRIM(INDIRECT("Columns!D72"))="","",TRIM(INDIRECT("Columns!D72")))</f>
        <v/>
      </c>
      <c r="R72" s="227"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29"/>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0"/>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6"/>
        <v/>
      </c>
      <c r="AS72" t="str">
        <f ca="1">IF(A72="","",  HELPER!$B$94 &amp;  "." &amp; A72)</f>
        <v/>
      </c>
      <c r="AT72" t="str">
        <f t="shared" ca="1" si="112"/>
        <v/>
      </c>
      <c r="AU72" t="str">
        <f t="shared" ca="1" si="113"/>
        <v/>
      </c>
      <c r="AV72" s="190" t="str">
        <f t="shared" ca="1" si="114"/>
        <v/>
      </c>
      <c r="AW72" t="str">
        <f t="shared" ca="1" si="115"/>
        <v/>
      </c>
      <c r="AY72" t="str">
        <f t="shared" ca="1" si="116"/>
        <v/>
      </c>
      <c r="BF72" t="str">
        <f t="shared" ca="1" si="117"/>
        <v/>
      </c>
      <c r="BH72" s="285" t="str">
        <f t="shared" ca="1" si="131"/>
        <v/>
      </c>
      <c r="BI72" t="str">
        <f t="shared" ca="1" si="118"/>
        <v/>
      </c>
      <c r="BJ72" t="str">
        <f t="shared" ca="1" si="119"/>
        <v/>
      </c>
      <c r="BK72" t="str">
        <f t="shared" ca="1" si="132"/>
        <v/>
      </c>
      <c r="BM72" t="str">
        <f t="shared" ca="1" si="133"/>
        <v/>
      </c>
      <c r="BN72" t="str">
        <f t="shared" ca="1" si="134"/>
        <v/>
      </c>
      <c r="BO72" t="str">
        <f t="shared" ca="1" si="120"/>
        <v/>
      </c>
      <c r="BP72" t="b">
        <f ca="1">COUNTIF(COLHELPER!A72:'COLHELPER'!A72,COLHELPER!A72)&gt;1</f>
        <v>0</v>
      </c>
      <c r="BQ72">
        <f t="shared" ca="1" si="121"/>
        <v>0</v>
      </c>
      <c r="BR72" s="290" t="str">
        <f t="shared" ca="1" si="137"/>
        <v/>
      </c>
      <c r="BS72" t="str">
        <f t="shared" ca="1" si="122"/>
        <v/>
      </c>
      <c r="BT72" t="str">
        <f t="shared" ca="1" si="135"/>
        <v/>
      </c>
      <c r="BU72" t="str">
        <f t="shared" ca="1" si="123"/>
        <v/>
      </c>
      <c r="BV72">
        <f t="shared" ca="1" si="124"/>
        <v>0</v>
      </c>
      <c r="BW72" t="str">
        <f t="shared" ca="1" si="125"/>
        <v/>
      </c>
      <c r="BX72" t="str">
        <f t="shared" ca="1" si="126"/>
        <v/>
      </c>
      <c r="BY72" t="str">
        <f ca="1">IF(R72="","",IF(R72&gt;Options!$B$3,"ALTER TABLE "&amp;HELPER!$B$4&amp;" ADD COLUMNS ("&amp;A72&amp;" "&amp;C72&amp;")",""))</f>
        <v/>
      </c>
      <c r="BZ72" t="str">
        <f ca="1">IF(R72="","",IF(R72&gt;Options!$B$3,A72,""))</f>
        <v/>
      </c>
      <c r="CA72" t="str">
        <f ca="1">IF(R72="","",IF(R72&gt;Options!$B$3,B72,""))</f>
        <v/>
      </c>
      <c r="CB72" t="str">
        <f t="shared" ca="1" si="127"/>
        <v/>
      </c>
      <c r="CC72">
        <f t="shared" ca="1" si="128"/>
        <v>0</v>
      </c>
      <c r="CD72" t="str">
        <f ca="1">IF(J72="","",Options!$B$23 &amp; "." &amp; J72)</f>
        <v/>
      </c>
    </row>
    <row r="73" spans="1:82">
      <c r="A73" s="161" t="str">
        <f t="array" aca="1" ref="A73" ca="1">IF(TRIM(INDIRECT("Columns!A73")) ="","",TRIM(INDIRECT("Columns!A73")))</f>
        <v/>
      </c>
      <c r="B73" s="161" t="str">
        <f t="shared" ca="1" si="96"/>
        <v/>
      </c>
      <c r="C73" s="161" t="str">
        <f t="shared" ca="1" si="97"/>
        <v/>
      </c>
      <c r="D73" s="161" t="str">
        <f t="shared" ca="1" si="98"/>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7" t="str">
        <f t="array" aca="1" ref="O73" ca="1">IF(TRIM(INDIRECT("Columns!B73"))="","",TRIM(INDIRECT("Columns!B73")))</f>
        <v/>
      </c>
      <c r="P73" s="227" t="str">
        <f t="array" aca="1" ref="P73" ca="1">IF(TRIM(INDIRECT("Columns!C73"))="","",TRIM(INDIRECT("Columns!C73")))</f>
        <v/>
      </c>
      <c r="Q73" s="227" t="str">
        <f t="array" aca="1" ref="Q73" ca="1">IF(TRIM(INDIRECT("Columns!D73"))="","",TRIM(INDIRECT("Columns!D73")))</f>
        <v/>
      </c>
      <c r="R73" s="227"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29"/>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0"/>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6"/>
        <v/>
      </c>
      <c r="AS73" t="str">
        <f ca="1">IF(A73="","",  HELPER!$B$94 &amp;  "." &amp; A73)</f>
        <v/>
      </c>
      <c r="AT73" t="str">
        <f t="shared" ca="1" si="112"/>
        <v/>
      </c>
      <c r="AU73" t="str">
        <f t="shared" ca="1" si="113"/>
        <v/>
      </c>
      <c r="AV73" s="190" t="str">
        <f t="shared" ca="1" si="114"/>
        <v/>
      </c>
      <c r="AW73" t="str">
        <f t="shared" ca="1" si="115"/>
        <v/>
      </c>
      <c r="AY73" t="str">
        <f t="shared" ca="1" si="116"/>
        <v/>
      </c>
      <c r="BF73" t="str">
        <f t="shared" ca="1" si="117"/>
        <v/>
      </c>
      <c r="BH73" s="285" t="str">
        <f t="shared" ca="1" si="131"/>
        <v/>
      </c>
      <c r="BI73" t="str">
        <f t="shared" ca="1" si="118"/>
        <v/>
      </c>
      <c r="BJ73" t="str">
        <f t="shared" ca="1" si="119"/>
        <v/>
      </c>
      <c r="BK73" t="str">
        <f t="shared" ca="1" si="132"/>
        <v/>
      </c>
      <c r="BM73" t="str">
        <f t="shared" ca="1" si="133"/>
        <v/>
      </c>
      <c r="BN73" t="str">
        <f t="shared" ca="1" si="134"/>
        <v/>
      </c>
      <c r="BO73" t="str">
        <f t="shared" ca="1" si="120"/>
        <v/>
      </c>
      <c r="BP73" t="b">
        <f ca="1">COUNTIF(COLHELPER!A73:'COLHELPER'!A73,COLHELPER!A73)&gt;1</f>
        <v>0</v>
      </c>
      <c r="BQ73">
        <f t="shared" ca="1" si="121"/>
        <v>0</v>
      </c>
      <c r="BR73" s="290" t="str">
        <f t="shared" ca="1" si="137"/>
        <v/>
      </c>
      <c r="BS73" t="str">
        <f t="shared" ca="1" si="122"/>
        <v/>
      </c>
      <c r="BT73" t="str">
        <f t="shared" ca="1" si="135"/>
        <v/>
      </c>
      <c r="BU73" t="str">
        <f t="shared" ca="1" si="123"/>
        <v/>
      </c>
      <c r="BV73">
        <f t="shared" ca="1" si="124"/>
        <v>0</v>
      </c>
      <c r="BW73" t="str">
        <f t="shared" ca="1" si="125"/>
        <v/>
      </c>
      <c r="BX73" t="str">
        <f t="shared" ca="1" si="126"/>
        <v/>
      </c>
      <c r="BY73" t="str">
        <f ca="1">IF(R73="","",IF(R73&gt;Options!$B$3,"ALTER TABLE "&amp;HELPER!$B$4&amp;" ADD COLUMNS ("&amp;A73&amp;" "&amp;C73&amp;")",""))</f>
        <v/>
      </c>
      <c r="BZ73" t="str">
        <f ca="1">IF(R73="","",IF(R73&gt;Options!$B$3,A73,""))</f>
        <v/>
      </c>
      <c r="CA73" t="str">
        <f ca="1">IF(R73="","",IF(R73&gt;Options!$B$3,B73,""))</f>
        <v/>
      </c>
      <c r="CB73" t="str">
        <f t="shared" ca="1" si="127"/>
        <v/>
      </c>
      <c r="CC73">
        <f t="shared" ca="1" si="128"/>
        <v>0</v>
      </c>
      <c r="CD73" t="str">
        <f ca="1">IF(J73="","",Options!$B$23 &amp; "." &amp; J73)</f>
        <v/>
      </c>
    </row>
    <row r="74" spans="1:82">
      <c r="A74" s="161" t="str">
        <f t="array" aca="1" ref="A74" ca="1">IF(TRIM(INDIRECT("Columns!A74")) ="","",TRIM(INDIRECT("Columns!A74")))</f>
        <v/>
      </c>
      <c r="B74" s="161" t="str">
        <f t="shared" ca="1" si="96"/>
        <v/>
      </c>
      <c r="C74" s="161" t="str">
        <f t="shared" ca="1" si="97"/>
        <v/>
      </c>
      <c r="D74" s="161" t="str">
        <f t="shared" ca="1" si="98"/>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7" t="str">
        <f t="array" aca="1" ref="O74" ca="1">IF(TRIM(INDIRECT("Columns!B74"))="","",TRIM(INDIRECT("Columns!B74")))</f>
        <v/>
      </c>
      <c r="P74" s="227" t="str">
        <f t="array" aca="1" ref="P74" ca="1">IF(TRIM(INDIRECT("Columns!C74"))="","",TRIM(INDIRECT("Columns!C74")))</f>
        <v/>
      </c>
      <c r="Q74" s="227" t="str">
        <f t="array" aca="1" ref="Q74" ca="1">IF(TRIM(INDIRECT("Columns!D74"))="","",TRIM(INDIRECT("Columns!D74")))</f>
        <v/>
      </c>
      <c r="R74" s="227"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29"/>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0"/>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6"/>
        <v/>
      </c>
      <c r="AS74" t="str">
        <f ca="1">IF(A74="","",  HELPER!$B$94 &amp;  "." &amp; A74)</f>
        <v/>
      </c>
      <c r="AT74" t="str">
        <f t="shared" ca="1" si="112"/>
        <v/>
      </c>
      <c r="AU74" t="str">
        <f t="shared" ca="1" si="113"/>
        <v/>
      </c>
      <c r="AV74" s="190" t="str">
        <f t="shared" ca="1" si="114"/>
        <v/>
      </c>
      <c r="AW74" t="str">
        <f t="shared" ca="1" si="115"/>
        <v/>
      </c>
      <c r="AY74" t="str">
        <f t="shared" ca="1" si="116"/>
        <v/>
      </c>
      <c r="BF74" t="str">
        <f t="shared" ca="1" si="117"/>
        <v/>
      </c>
      <c r="BH74" s="285" t="str">
        <f t="shared" ca="1" si="131"/>
        <v/>
      </c>
      <c r="BI74" t="str">
        <f t="shared" ca="1" si="118"/>
        <v/>
      </c>
      <c r="BJ74" t="str">
        <f t="shared" ca="1" si="119"/>
        <v/>
      </c>
      <c r="BK74" t="str">
        <f t="shared" ca="1" si="132"/>
        <v/>
      </c>
      <c r="BM74" t="str">
        <f t="shared" ca="1" si="133"/>
        <v/>
      </c>
      <c r="BN74" t="str">
        <f t="shared" ca="1" si="134"/>
        <v/>
      </c>
      <c r="BO74" t="str">
        <f t="shared" ca="1" si="120"/>
        <v/>
      </c>
      <c r="BP74" t="b">
        <f ca="1">COUNTIF(COLHELPER!A74:'COLHELPER'!A74,COLHELPER!A74)&gt;1</f>
        <v>0</v>
      </c>
      <c r="BQ74">
        <f t="shared" ca="1" si="121"/>
        <v>0</v>
      </c>
      <c r="BR74" s="290" t="str">
        <f t="shared" ca="1" si="137"/>
        <v/>
      </c>
      <c r="BS74" t="str">
        <f t="shared" ca="1" si="122"/>
        <v/>
      </c>
      <c r="BT74" t="str">
        <f t="shared" ca="1" si="135"/>
        <v/>
      </c>
      <c r="BU74" t="str">
        <f t="shared" ca="1" si="123"/>
        <v/>
      </c>
      <c r="BV74">
        <f t="shared" ca="1" si="124"/>
        <v>0</v>
      </c>
      <c r="BW74" t="str">
        <f t="shared" ca="1" si="125"/>
        <v/>
      </c>
      <c r="BX74" t="str">
        <f t="shared" ca="1" si="126"/>
        <v/>
      </c>
      <c r="BY74" t="str">
        <f ca="1">IF(R74="","",IF(R74&gt;Options!$B$3,"ALTER TABLE "&amp;HELPER!$B$4&amp;" ADD COLUMNS ("&amp;A74&amp;" "&amp;C74&amp;")",""))</f>
        <v/>
      </c>
      <c r="BZ74" t="str">
        <f ca="1">IF(R74="","",IF(R74&gt;Options!$B$3,A74,""))</f>
        <v/>
      </c>
      <c r="CA74" t="str">
        <f ca="1">IF(R74="","",IF(R74&gt;Options!$B$3,B74,""))</f>
        <v/>
      </c>
      <c r="CB74" t="str">
        <f t="shared" ca="1" si="127"/>
        <v/>
      </c>
      <c r="CC74">
        <f t="shared" ca="1" si="128"/>
        <v>0</v>
      </c>
      <c r="CD74" t="str">
        <f ca="1">IF(J74="","",Options!$B$23 &amp; "." &amp; J74)</f>
        <v/>
      </c>
    </row>
    <row r="75" spans="1:82">
      <c r="A75" s="161" t="str">
        <f t="array" aca="1" ref="A75" ca="1">IF(TRIM(INDIRECT("Columns!A75")) ="","",TRIM(INDIRECT("Columns!A75")))</f>
        <v/>
      </c>
      <c r="B75" s="161" t="str">
        <f t="shared" ca="1" si="96"/>
        <v/>
      </c>
      <c r="C75" s="161" t="str">
        <f t="shared" ca="1" si="97"/>
        <v/>
      </c>
      <c r="D75" s="161" t="str">
        <f t="shared" ca="1" si="98"/>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7" t="str">
        <f t="array" aca="1" ref="O75" ca="1">IF(TRIM(INDIRECT("Columns!B75"))="","",TRIM(INDIRECT("Columns!B75")))</f>
        <v/>
      </c>
      <c r="P75" s="227" t="str">
        <f t="array" aca="1" ref="P75" ca="1">IF(TRIM(INDIRECT("Columns!C75"))="","",TRIM(INDIRECT("Columns!C75")))</f>
        <v/>
      </c>
      <c r="Q75" s="227" t="str">
        <f t="array" aca="1" ref="Q75" ca="1">IF(TRIM(INDIRECT("Columns!D75"))="","",TRIM(INDIRECT("Columns!D75")))</f>
        <v/>
      </c>
      <c r="R75" s="227"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29"/>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0"/>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6"/>
        <v/>
      </c>
      <c r="AS75" t="str">
        <f ca="1">IF(A75="","",  HELPER!$B$94 &amp;  "." &amp; A75)</f>
        <v/>
      </c>
      <c r="AT75" t="str">
        <f t="shared" ca="1" si="112"/>
        <v/>
      </c>
      <c r="AU75" t="str">
        <f t="shared" ca="1" si="113"/>
        <v/>
      </c>
      <c r="AV75" s="190" t="str">
        <f t="shared" ca="1" si="114"/>
        <v/>
      </c>
      <c r="AW75" t="str">
        <f t="shared" ca="1" si="115"/>
        <v/>
      </c>
      <c r="AY75" t="str">
        <f t="shared" ca="1" si="116"/>
        <v/>
      </c>
      <c r="BF75" t="str">
        <f t="shared" ca="1" si="117"/>
        <v/>
      </c>
      <c r="BH75" s="285" t="str">
        <f t="shared" ca="1" si="131"/>
        <v/>
      </c>
      <c r="BI75" t="str">
        <f t="shared" ca="1" si="118"/>
        <v/>
      </c>
      <c r="BJ75" t="str">
        <f t="shared" ca="1" si="119"/>
        <v/>
      </c>
      <c r="BK75" t="str">
        <f t="shared" ca="1" si="132"/>
        <v/>
      </c>
      <c r="BM75" t="str">
        <f t="shared" ca="1" si="133"/>
        <v/>
      </c>
      <c r="BN75" t="str">
        <f t="shared" ca="1" si="134"/>
        <v/>
      </c>
      <c r="BO75" t="str">
        <f t="shared" ca="1" si="120"/>
        <v/>
      </c>
      <c r="BP75" t="b">
        <f ca="1">COUNTIF(COLHELPER!A75:'COLHELPER'!A75,COLHELPER!A75)&gt;1</f>
        <v>0</v>
      </c>
      <c r="BQ75">
        <f t="shared" ca="1" si="121"/>
        <v>0</v>
      </c>
      <c r="BR75" s="290" t="str">
        <f t="shared" ca="1" si="137"/>
        <v/>
      </c>
      <c r="BS75" t="str">
        <f t="shared" ca="1" si="122"/>
        <v/>
      </c>
      <c r="BT75" t="str">
        <f t="shared" ca="1" si="135"/>
        <v/>
      </c>
      <c r="BU75" t="str">
        <f t="shared" ca="1" si="123"/>
        <v/>
      </c>
      <c r="BV75">
        <f t="shared" ca="1" si="124"/>
        <v>0</v>
      </c>
      <c r="BW75" t="str">
        <f t="shared" ca="1" si="125"/>
        <v/>
      </c>
      <c r="BX75" t="str">
        <f t="shared" ca="1" si="126"/>
        <v/>
      </c>
      <c r="BY75" t="str">
        <f ca="1">IF(R75="","",IF(R75&gt;Options!$B$3,"ALTER TABLE "&amp;HELPER!$B$4&amp;" ADD COLUMNS ("&amp;A75&amp;" "&amp;C75&amp;")",""))</f>
        <v/>
      </c>
      <c r="BZ75" t="str">
        <f ca="1">IF(R75="","",IF(R75&gt;Options!$B$3,A75,""))</f>
        <v/>
      </c>
      <c r="CA75" t="str">
        <f ca="1">IF(R75="","",IF(R75&gt;Options!$B$3,B75,""))</f>
        <v/>
      </c>
      <c r="CB75" t="str">
        <f t="shared" ca="1" si="127"/>
        <v/>
      </c>
      <c r="CC75">
        <f t="shared" ca="1" si="128"/>
        <v>0</v>
      </c>
      <c r="CD75" t="str">
        <f ca="1">IF(J75="","",Options!$B$23 &amp; "." &amp; J75)</f>
        <v/>
      </c>
    </row>
    <row r="76" spans="1:82">
      <c r="A76" s="161" t="str">
        <f t="array" aca="1" ref="A76" ca="1">IF(TRIM(INDIRECT("Columns!A76")) ="","",TRIM(INDIRECT("Columns!A76")))</f>
        <v/>
      </c>
      <c r="B76" s="161" t="str">
        <f t="shared" ca="1" si="96"/>
        <v/>
      </c>
      <c r="C76" s="161" t="str">
        <f t="shared" ca="1" si="97"/>
        <v/>
      </c>
      <c r="D76" s="161" t="str">
        <f t="shared" ca="1" si="98"/>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7" t="str">
        <f t="array" aca="1" ref="O76" ca="1">IF(TRIM(INDIRECT("Columns!B76"))="","",TRIM(INDIRECT("Columns!B76")))</f>
        <v/>
      </c>
      <c r="P76" s="227" t="str">
        <f t="array" aca="1" ref="P76" ca="1">IF(TRIM(INDIRECT("Columns!C76"))="","",TRIM(INDIRECT("Columns!C76")))</f>
        <v/>
      </c>
      <c r="Q76" s="227" t="str">
        <f t="array" aca="1" ref="Q76" ca="1">IF(TRIM(INDIRECT("Columns!D76"))="","",TRIM(INDIRECT("Columns!D76")))</f>
        <v/>
      </c>
      <c r="R76" s="227"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29"/>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0"/>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6"/>
        <v/>
      </c>
      <c r="AS76" t="str">
        <f ca="1">IF(A76="","",  HELPER!$B$94 &amp;  "." &amp; A76)</f>
        <v/>
      </c>
      <c r="AT76" t="str">
        <f t="shared" ca="1" si="112"/>
        <v/>
      </c>
      <c r="AU76" t="str">
        <f t="shared" ca="1" si="113"/>
        <v/>
      </c>
      <c r="AV76" s="190" t="str">
        <f t="shared" ca="1" si="114"/>
        <v/>
      </c>
      <c r="AW76" t="str">
        <f t="shared" ca="1" si="115"/>
        <v/>
      </c>
      <c r="AY76" t="str">
        <f t="shared" ca="1" si="116"/>
        <v/>
      </c>
      <c r="BF76" t="str">
        <f t="shared" ca="1" si="117"/>
        <v/>
      </c>
      <c r="BH76" s="285" t="str">
        <f t="shared" ca="1" si="131"/>
        <v/>
      </c>
      <c r="BI76" t="str">
        <f t="shared" ca="1" si="118"/>
        <v/>
      </c>
      <c r="BJ76" t="str">
        <f t="shared" ca="1" si="119"/>
        <v/>
      </c>
      <c r="BK76" t="str">
        <f t="shared" ca="1" si="132"/>
        <v/>
      </c>
      <c r="BM76" t="str">
        <f t="shared" ca="1" si="133"/>
        <v/>
      </c>
      <c r="BN76" t="str">
        <f t="shared" ca="1" si="134"/>
        <v/>
      </c>
      <c r="BO76" t="str">
        <f t="shared" ca="1" si="120"/>
        <v/>
      </c>
      <c r="BP76" t="b">
        <f ca="1">COUNTIF(COLHELPER!A76:'COLHELPER'!A76,COLHELPER!A76)&gt;1</f>
        <v>0</v>
      </c>
      <c r="BQ76">
        <f t="shared" ca="1" si="121"/>
        <v>0</v>
      </c>
      <c r="BR76" s="290" t="str">
        <f t="shared" ca="1" si="137"/>
        <v/>
      </c>
      <c r="BS76" t="str">
        <f t="shared" ca="1" si="122"/>
        <v/>
      </c>
      <c r="BT76" t="str">
        <f t="shared" ca="1" si="135"/>
        <v/>
      </c>
      <c r="BU76" t="str">
        <f t="shared" ca="1" si="123"/>
        <v/>
      </c>
      <c r="BV76">
        <f t="shared" ca="1" si="124"/>
        <v>0</v>
      </c>
      <c r="BW76" t="str">
        <f t="shared" ca="1" si="125"/>
        <v/>
      </c>
      <c r="BX76" t="str">
        <f t="shared" ca="1" si="126"/>
        <v/>
      </c>
      <c r="BY76" t="str">
        <f ca="1">IF(R76="","",IF(R76&gt;Options!$B$3,"ALTER TABLE "&amp;HELPER!$B$4&amp;" ADD COLUMNS ("&amp;A76&amp;" "&amp;C76&amp;")",""))</f>
        <v/>
      </c>
      <c r="BZ76" t="str">
        <f ca="1">IF(R76="","",IF(R76&gt;Options!$B$3,A76,""))</f>
        <v/>
      </c>
      <c r="CA76" t="str">
        <f ca="1">IF(R76="","",IF(R76&gt;Options!$B$3,B76,""))</f>
        <v/>
      </c>
      <c r="CB76" t="str">
        <f t="shared" ca="1" si="127"/>
        <v/>
      </c>
      <c r="CC76">
        <f t="shared" ca="1" si="128"/>
        <v>0</v>
      </c>
      <c r="CD76" t="str">
        <f ca="1">IF(J76="","",Options!$B$23 &amp; "." &amp; J76)</f>
        <v/>
      </c>
    </row>
    <row r="77" spans="1:82">
      <c r="A77" s="161" t="str">
        <f t="array" aca="1" ref="A77" ca="1">IF(TRIM(INDIRECT("Columns!A77")) ="","",TRIM(INDIRECT("Columns!A77")))</f>
        <v/>
      </c>
      <c r="B77" s="161" t="str">
        <f t="shared" ca="1" si="96"/>
        <v/>
      </c>
      <c r="C77" s="161" t="str">
        <f t="shared" ca="1" si="97"/>
        <v/>
      </c>
      <c r="D77" s="161" t="str">
        <f t="shared" ca="1" si="98"/>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7" t="str">
        <f t="array" aca="1" ref="O77" ca="1">IF(TRIM(INDIRECT("Columns!B77"))="","",TRIM(INDIRECT("Columns!B77")))</f>
        <v/>
      </c>
      <c r="P77" s="227" t="str">
        <f t="array" aca="1" ref="P77" ca="1">IF(TRIM(INDIRECT("Columns!C77"))="","",TRIM(INDIRECT("Columns!C77")))</f>
        <v/>
      </c>
      <c r="Q77" s="227" t="str">
        <f t="array" aca="1" ref="Q77" ca="1">IF(TRIM(INDIRECT("Columns!D77"))="","",TRIM(INDIRECT("Columns!D77")))</f>
        <v/>
      </c>
      <c r="R77" s="227"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29"/>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0"/>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6"/>
        <v/>
      </c>
      <c r="AS77" t="str">
        <f ca="1">IF(A77="","",  HELPER!$B$94 &amp;  "." &amp; A77)</f>
        <v/>
      </c>
      <c r="AT77" t="str">
        <f t="shared" ca="1" si="112"/>
        <v/>
      </c>
      <c r="AU77" t="str">
        <f t="shared" ca="1" si="113"/>
        <v/>
      </c>
      <c r="AV77" s="190" t="str">
        <f t="shared" ca="1" si="114"/>
        <v/>
      </c>
      <c r="AW77" t="str">
        <f t="shared" ca="1" si="115"/>
        <v/>
      </c>
      <c r="AY77" t="str">
        <f t="shared" ca="1" si="116"/>
        <v/>
      </c>
      <c r="BF77" t="str">
        <f t="shared" ca="1" si="117"/>
        <v/>
      </c>
      <c r="BH77" s="285" t="str">
        <f t="shared" ca="1" si="131"/>
        <v/>
      </c>
      <c r="BI77" t="str">
        <f t="shared" ca="1" si="118"/>
        <v/>
      </c>
      <c r="BJ77" t="str">
        <f t="shared" ca="1" si="119"/>
        <v/>
      </c>
      <c r="BK77" t="str">
        <f t="shared" ca="1" si="132"/>
        <v/>
      </c>
      <c r="BM77" t="str">
        <f t="shared" ca="1" si="133"/>
        <v/>
      </c>
      <c r="BN77" t="str">
        <f t="shared" ca="1" si="134"/>
        <v/>
      </c>
      <c r="BO77" t="str">
        <f t="shared" ca="1" si="120"/>
        <v/>
      </c>
      <c r="BP77" t="b">
        <f ca="1">COUNTIF(COLHELPER!A77:'COLHELPER'!A77,COLHELPER!A77)&gt;1</f>
        <v>0</v>
      </c>
      <c r="BQ77">
        <f t="shared" ca="1" si="121"/>
        <v>0</v>
      </c>
      <c r="BR77" s="290" t="str">
        <f t="shared" ca="1" si="137"/>
        <v/>
      </c>
      <c r="BS77" t="str">
        <f t="shared" ca="1" si="122"/>
        <v/>
      </c>
      <c r="BT77" t="str">
        <f t="shared" ca="1" si="135"/>
        <v/>
      </c>
      <c r="BU77" t="str">
        <f t="shared" ca="1" si="123"/>
        <v/>
      </c>
      <c r="BV77">
        <f t="shared" ca="1" si="124"/>
        <v>0</v>
      </c>
      <c r="BW77" t="str">
        <f t="shared" ca="1" si="125"/>
        <v/>
      </c>
      <c r="BX77" t="str">
        <f t="shared" ca="1" si="126"/>
        <v/>
      </c>
      <c r="BY77" t="str">
        <f ca="1">IF(R77="","",IF(R77&gt;Options!$B$3,"ALTER TABLE "&amp;HELPER!$B$4&amp;" ADD COLUMNS ("&amp;A77&amp;" "&amp;C77&amp;")",""))</f>
        <v/>
      </c>
      <c r="BZ77" t="str">
        <f ca="1">IF(R77="","",IF(R77&gt;Options!$B$3,A77,""))</f>
        <v/>
      </c>
      <c r="CA77" t="str">
        <f ca="1">IF(R77="","",IF(R77&gt;Options!$B$3,B77,""))</f>
        <v/>
      </c>
      <c r="CB77" t="str">
        <f t="shared" ca="1" si="127"/>
        <v/>
      </c>
      <c r="CC77">
        <f t="shared" ca="1" si="128"/>
        <v>0</v>
      </c>
      <c r="CD77" t="str">
        <f ca="1">IF(J77="","",Options!$B$23 &amp; "." &amp; J77)</f>
        <v/>
      </c>
    </row>
    <row r="78" spans="1:82">
      <c r="A78" s="161" t="str">
        <f t="array" aca="1" ref="A78" ca="1">IF(TRIM(INDIRECT("Columns!A78")) ="","",TRIM(INDIRECT("Columns!A78")))</f>
        <v/>
      </c>
      <c r="B78" s="161" t="str">
        <f t="shared" ca="1" si="96"/>
        <v/>
      </c>
      <c r="C78" s="161" t="str">
        <f t="shared" ca="1" si="97"/>
        <v/>
      </c>
      <c r="D78" s="161" t="str">
        <f t="shared" ca="1" si="98"/>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7" t="str">
        <f t="array" aca="1" ref="O78" ca="1">IF(TRIM(INDIRECT("Columns!B78"))="","",TRIM(INDIRECT("Columns!B78")))</f>
        <v/>
      </c>
      <c r="P78" s="227" t="str">
        <f t="array" aca="1" ref="P78" ca="1">IF(TRIM(INDIRECT("Columns!C78"))="","",TRIM(INDIRECT("Columns!C78")))</f>
        <v/>
      </c>
      <c r="Q78" s="227" t="str">
        <f t="array" aca="1" ref="Q78" ca="1">IF(TRIM(INDIRECT("Columns!D78"))="","",TRIM(INDIRECT("Columns!D78")))</f>
        <v/>
      </c>
      <c r="R78" s="227"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29"/>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0"/>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6"/>
        <v/>
      </c>
      <c r="AS78" t="str">
        <f ca="1">IF(A78="","",  HELPER!$B$94 &amp;  "." &amp; A78)</f>
        <v/>
      </c>
      <c r="AT78" t="str">
        <f t="shared" ca="1" si="112"/>
        <v/>
      </c>
      <c r="AU78" t="str">
        <f t="shared" ca="1" si="113"/>
        <v/>
      </c>
      <c r="AV78" s="190" t="str">
        <f t="shared" ca="1" si="114"/>
        <v/>
      </c>
      <c r="AW78" t="str">
        <f t="shared" ca="1" si="115"/>
        <v/>
      </c>
      <c r="AY78" t="str">
        <f t="shared" ca="1" si="116"/>
        <v/>
      </c>
      <c r="BF78" t="str">
        <f t="shared" ca="1" si="117"/>
        <v/>
      </c>
      <c r="BH78" s="285" t="str">
        <f t="shared" ca="1" si="131"/>
        <v/>
      </c>
      <c r="BI78" t="str">
        <f t="shared" ca="1" si="118"/>
        <v/>
      </c>
      <c r="BJ78" t="str">
        <f t="shared" ca="1" si="119"/>
        <v/>
      </c>
      <c r="BK78" t="str">
        <f t="shared" ca="1" si="132"/>
        <v/>
      </c>
      <c r="BM78" t="str">
        <f t="shared" ca="1" si="133"/>
        <v/>
      </c>
      <c r="BN78" t="str">
        <f t="shared" ca="1" si="134"/>
        <v/>
      </c>
      <c r="BO78" t="str">
        <f t="shared" ca="1" si="120"/>
        <v/>
      </c>
      <c r="BP78" t="b">
        <f ca="1">COUNTIF(COLHELPER!A78:'COLHELPER'!A78,COLHELPER!A78)&gt;1</f>
        <v>0</v>
      </c>
      <c r="BQ78">
        <f t="shared" ca="1" si="121"/>
        <v>0</v>
      </c>
      <c r="BR78" s="290" t="str">
        <f t="shared" ca="1" si="137"/>
        <v/>
      </c>
      <c r="BS78" t="str">
        <f t="shared" ca="1" si="122"/>
        <v/>
      </c>
      <c r="BT78" t="str">
        <f t="shared" ca="1" si="135"/>
        <v/>
      </c>
      <c r="BU78" t="str">
        <f t="shared" ca="1" si="123"/>
        <v/>
      </c>
      <c r="BV78">
        <f t="shared" ca="1" si="124"/>
        <v>0</v>
      </c>
      <c r="BW78" t="str">
        <f t="shared" ca="1" si="125"/>
        <v/>
      </c>
      <c r="BX78" t="str">
        <f t="shared" ca="1" si="126"/>
        <v/>
      </c>
      <c r="BY78" t="str">
        <f ca="1">IF(R78="","",IF(R78&gt;Options!$B$3,"ALTER TABLE "&amp;HELPER!$B$4&amp;" ADD COLUMNS ("&amp;A78&amp;" "&amp;C78&amp;")",""))</f>
        <v/>
      </c>
      <c r="BZ78" t="str">
        <f ca="1">IF(R78="","",IF(R78&gt;Options!$B$3,A78,""))</f>
        <v/>
      </c>
      <c r="CA78" t="str">
        <f ca="1">IF(R78="","",IF(R78&gt;Options!$B$3,B78,""))</f>
        <v/>
      </c>
      <c r="CB78" t="str">
        <f t="shared" ca="1" si="127"/>
        <v/>
      </c>
      <c r="CC78">
        <f t="shared" ca="1" si="128"/>
        <v>0</v>
      </c>
      <c r="CD78" t="str">
        <f ca="1">IF(J78="","",Options!$B$23 &amp; "." &amp; J78)</f>
        <v/>
      </c>
    </row>
    <row r="79" spans="1:82">
      <c r="A79" s="161" t="str">
        <f t="array" aca="1" ref="A79" ca="1">IF(TRIM(INDIRECT("Columns!A79")) ="","",TRIM(INDIRECT("Columns!A79")))</f>
        <v/>
      </c>
      <c r="B79" s="161" t="str">
        <f t="shared" ca="1" si="96"/>
        <v/>
      </c>
      <c r="C79" s="161" t="str">
        <f t="shared" ca="1" si="97"/>
        <v/>
      </c>
      <c r="D79" s="161" t="str">
        <f t="shared" ca="1" si="98"/>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7" t="str">
        <f t="array" aca="1" ref="O79" ca="1">IF(TRIM(INDIRECT("Columns!B79"))="","",TRIM(INDIRECT("Columns!B79")))</f>
        <v/>
      </c>
      <c r="P79" s="227" t="str">
        <f t="array" aca="1" ref="P79" ca="1">IF(TRIM(INDIRECT("Columns!C79"))="","",TRIM(INDIRECT("Columns!C79")))</f>
        <v/>
      </c>
      <c r="Q79" s="227" t="str">
        <f t="array" aca="1" ref="Q79" ca="1">IF(TRIM(INDIRECT("Columns!D79"))="","",TRIM(INDIRECT("Columns!D79")))</f>
        <v/>
      </c>
      <c r="R79" s="227"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29"/>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0"/>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6"/>
        <v/>
      </c>
      <c r="AS79" t="str">
        <f ca="1">IF(A79="","",  HELPER!$B$94 &amp;  "." &amp; A79)</f>
        <v/>
      </c>
      <c r="AT79" t="str">
        <f t="shared" ca="1" si="112"/>
        <v/>
      </c>
      <c r="AU79" t="str">
        <f t="shared" ca="1" si="113"/>
        <v/>
      </c>
      <c r="AV79" s="190" t="str">
        <f t="shared" ca="1" si="114"/>
        <v/>
      </c>
      <c r="AW79" t="str">
        <f t="shared" ca="1" si="115"/>
        <v/>
      </c>
      <c r="AY79" t="str">
        <f t="shared" ca="1" si="116"/>
        <v/>
      </c>
      <c r="BF79" t="str">
        <f t="shared" ca="1" si="117"/>
        <v/>
      </c>
      <c r="BH79" s="285" t="str">
        <f t="shared" ca="1" si="131"/>
        <v/>
      </c>
      <c r="BI79" t="str">
        <f t="shared" ca="1" si="118"/>
        <v/>
      </c>
      <c r="BJ79" t="str">
        <f t="shared" ca="1" si="119"/>
        <v/>
      </c>
      <c r="BK79" t="str">
        <f t="shared" ca="1" si="132"/>
        <v/>
      </c>
      <c r="BM79" t="str">
        <f t="shared" ca="1" si="133"/>
        <v/>
      </c>
      <c r="BN79" t="str">
        <f t="shared" ca="1" si="134"/>
        <v/>
      </c>
      <c r="BO79" t="str">
        <f t="shared" ca="1" si="120"/>
        <v/>
      </c>
      <c r="BP79" t="b">
        <f ca="1">COUNTIF(COLHELPER!A79:'COLHELPER'!A79,COLHELPER!A79)&gt;1</f>
        <v>0</v>
      </c>
      <c r="BQ79">
        <f t="shared" ca="1" si="121"/>
        <v>0</v>
      </c>
      <c r="BR79" s="290" t="str">
        <f t="shared" ca="1" si="137"/>
        <v/>
      </c>
      <c r="BS79" t="str">
        <f t="shared" ca="1" si="122"/>
        <v/>
      </c>
      <c r="BT79" t="str">
        <f t="shared" ca="1" si="135"/>
        <v/>
      </c>
      <c r="BU79" t="str">
        <f t="shared" ca="1" si="123"/>
        <v/>
      </c>
      <c r="BV79">
        <f t="shared" ca="1" si="124"/>
        <v>0</v>
      </c>
      <c r="BW79" t="str">
        <f t="shared" ca="1" si="125"/>
        <v/>
      </c>
      <c r="BX79" t="str">
        <f t="shared" ca="1" si="126"/>
        <v/>
      </c>
      <c r="BY79" t="str">
        <f ca="1">IF(R79="","",IF(R79&gt;Options!$B$3,"ALTER TABLE "&amp;HELPER!$B$4&amp;" ADD COLUMNS ("&amp;A79&amp;" "&amp;C79&amp;")",""))</f>
        <v/>
      </c>
      <c r="BZ79" t="str">
        <f ca="1">IF(R79="","",IF(R79&gt;Options!$B$3,A79,""))</f>
        <v/>
      </c>
      <c r="CA79" t="str">
        <f ca="1">IF(R79="","",IF(R79&gt;Options!$B$3,B79,""))</f>
        <v/>
      </c>
      <c r="CB79" t="str">
        <f t="shared" ca="1" si="127"/>
        <v/>
      </c>
      <c r="CC79">
        <f t="shared" ca="1" si="128"/>
        <v>0</v>
      </c>
      <c r="CD79" t="str">
        <f ca="1">IF(J79="","",Options!$B$23 &amp; "." &amp; J79)</f>
        <v/>
      </c>
    </row>
    <row r="80" spans="1:82">
      <c r="A80" s="161" t="str">
        <f t="array" aca="1" ref="A80" ca="1">IF(TRIM(INDIRECT("Columns!A80")) ="","",TRIM(INDIRECT("Columns!A80")))</f>
        <v/>
      </c>
      <c r="B80" s="161" t="str">
        <f t="shared" ca="1" si="96"/>
        <v/>
      </c>
      <c r="C80" s="161" t="str">
        <f t="shared" ca="1" si="97"/>
        <v/>
      </c>
      <c r="D80" s="161" t="str">
        <f t="shared" ca="1" si="98"/>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7" t="str">
        <f t="array" aca="1" ref="O80" ca="1">IF(TRIM(INDIRECT("Columns!B80"))="","",TRIM(INDIRECT("Columns!B80")))</f>
        <v/>
      </c>
      <c r="P80" s="227" t="str">
        <f t="array" aca="1" ref="P80" ca="1">IF(TRIM(INDIRECT("Columns!C80"))="","",TRIM(INDIRECT("Columns!C80")))</f>
        <v/>
      </c>
      <c r="Q80" s="227" t="str">
        <f t="array" aca="1" ref="Q80" ca="1">IF(TRIM(INDIRECT("Columns!D80"))="","",TRIM(INDIRECT("Columns!D80")))</f>
        <v/>
      </c>
      <c r="R80" s="227"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29"/>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0"/>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6"/>
        <v/>
      </c>
      <c r="AS80" t="str">
        <f ca="1">IF(A80="","",  HELPER!$B$94 &amp;  "." &amp; A80)</f>
        <v/>
      </c>
      <c r="AT80" t="str">
        <f t="shared" ca="1" si="112"/>
        <v/>
      </c>
      <c r="AU80" t="str">
        <f t="shared" ca="1" si="113"/>
        <v/>
      </c>
      <c r="AV80" s="190" t="str">
        <f t="shared" ca="1" si="114"/>
        <v/>
      </c>
      <c r="AW80" t="str">
        <f t="shared" ca="1" si="115"/>
        <v/>
      </c>
      <c r="AY80" t="str">
        <f t="shared" ca="1" si="116"/>
        <v/>
      </c>
      <c r="BF80" t="str">
        <f t="shared" ca="1" si="117"/>
        <v/>
      </c>
      <c r="BH80" s="285" t="str">
        <f t="shared" ca="1" si="131"/>
        <v/>
      </c>
      <c r="BI80" t="str">
        <f t="shared" ca="1" si="118"/>
        <v/>
      </c>
      <c r="BJ80" t="str">
        <f t="shared" ca="1" si="119"/>
        <v/>
      </c>
      <c r="BK80" t="str">
        <f t="shared" ca="1" si="132"/>
        <v/>
      </c>
      <c r="BM80" t="str">
        <f t="shared" ca="1" si="133"/>
        <v/>
      </c>
      <c r="BN80" t="str">
        <f t="shared" ca="1" si="134"/>
        <v/>
      </c>
      <c r="BO80" t="str">
        <f t="shared" ca="1" si="120"/>
        <v/>
      </c>
      <c r="BP80" t="b">
        <f ca="1">COUNTIF(COLHELPER!A80:'COLHELPER'!A80,COLHELPER!A80)&gt;1</f>
        <v>0</v>
      </c>
      <c r="BQ80">
        <f t="shared" ca="1" si="121"/>
        <v>0</v>
      </c>
      <c r="BR80" s="290" t="str">
        <f t="shared" ca="1" si="137"/>
        <v/>
      </c>
      <c r="BS80" t="str">
        <f t="shared" ca="1" si="122"/>
        <v/>
      </c>
      <c r="BT80" t="str">
        <f t="shared" ca="1" si="135"/>
        <v/>
      </c>
      <c r="BU80" t="str">
        <f t="shared" ca="1" si="123"/>
        <v/>
      </c>
      <c r="BV80">
        <f t="shared" ca="1" si="124"/>
        <v>0</v>
      </c>
      <c r="BW80" t="str">
        <f t="shared" ca="1" si="125"/>
        <v/>
      </c>
      <c r="BX80" t="str">
        <f t="shared" ca="1" si="126"/>
        <v/>
      </c>
      <c r="BY80" t="str">
        <f ca="1">IF(R80="","",IF(R80&gt;Options!$B$3,"ALTER TABLE "&amp;HELPER!$B$4&amp;" ADD COLUMNS ("&amp;A80&amp;" "&amp;C80&amp;")",""))</f>
        <v/>
      </c>
      <c r="BZ80" t="str">
        <f ca="1">IF(R80="","",IF(R80&gt;Options!$B$3,A80,""))</f>
        <v/>
      </c>
      <c r="CA80" t="str">
        <f ca="1">IF(R80="","",IF(R80&gt;Options!$B$3,B80,""))</f>
        <v/>
      </c>
      <c r="CB80" t="str">
        <f t="shared" ca="1" si="127"/>
        <v/>
      </c>
      <c r="CC80">
        <f t="shared" ca="1" si="128"/>
        <v>0</v>
      </c>
      <c r="CD80" t="str">
        <f ca="1">IF(J80="","",Options!$B$23 &amp; "." &amp; J80)</f>
        <v/>
      </c>
    </row>
    <row r="81" spans="1:82">
      <c r="A81" s="161" t="str">
        <f t="array" aca="1" ref="A81" ca="1">IF(TRIM(INDIRECT("Columns!A81")) ="","",TRIM(INDIRECT("Columns!A81")))</f>
        <v/>
      </c>
      <c r="B81" s="161" t="str">
        <f t="shared" ca="1" si="96"/>
        <v/>
      </c>
      <c r="C81" s="161" t="str">
        <f t="shared" ca="1" si="97"/>
        <v/>
      </c>
      <c r="D81" s="161" t="str">
        <f t="shared" ca="1" si="98"/>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7" t="str">
        <f t="array" aca="1" ref="O81" ca="1">IF(TRIM(INDIRECT("Columns!B81"))="","",TRIM(INDIRECT("Columns!B81")))</f>
        <v/>
      </c>
      <c r="P81" s="227" t="str">
        <f t="array" aca="1" ref="P81" ca="1">IF(TRIM(INDIRECT("Columns!C81"))="","",TRIM(INDIRECT("Columns!C81")))</f>
        <v/>
      </c>
      <c r="Q81" s="227" t="str">
        <f t="array" aca="1" ref="Q81" ca="1">IF(TRIM(INDIRECT("Columns!D81"))="","",TRIM(INDIRECT("Columns!D81")))</f>
        <v/>
      </c>
      <c r="R81" s="227"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29"/>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0"/>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6"/>
        <v/>
      </c>
      <c r="AS81" t="str">
        <f ca="1">IF(A81="","",  HELPER!$B$94 &amp;  "." &amp; A81)</f>
        <v/>
      </c>
      <c r="AT81" t="str">
        <f t="shared" ca="1" si="112"/>
        <v/>
      </c>
      <c r="AU81" t="str">
        <f t="shared" ca="1" si="113"/>
        <v/>
      </c>
      <c r="AV81" s="190" t="str">
        <f t="shared" ca="1" si="114"/>
        <v/>
      </c>
      <c r="AW81" t="str">
        <f t="shared" ca="1" si="115"/>
        <v/>
      </c>
      <c r="AY81" t="str">
        <f t="shared" ca="1" si="116"/>
        <v/>
      </c>
      <c r="BF81" t="str">
        <f t="shared" ca="1" si="117"/>
        <v/>
      </c>
      <c r="BH81" s="285" t="str">
        <f t="shared" ca="1" si="131"/>
        <v/>
      </c>
      <c r="BI81" t="str">
        <f t="shared" ca="1" si="118"/>
        <v/>
      </c>
      <c r="BJ81" t="str">
        <f t="shared" ca="1" si="119"/>
        <v/>
      </c>
      <c r="BK81" t="str">
        <f t="shared" ca="1" si="132"/>
        <v/>
      </c>
      <c r="BM81" t="str">
        <f t="shared" ca="1" si="133"/>
        <v/>
      </c>
      <c r="BN81" t="str">
        <f t="shared" ca="1" si="134"/>
        <v/>
      </c>
      <c r="BO81" t="str">
        <f t="shared" ca="1" si="120"/>
        <v/>
      </c>
      <c r="BP81" t="b">
        <f ca="1">COUNTIF(COLHELPER!A81:'COLHELPER'!A81,COLHELPER!A81)&gt;1</f>
        <v>0</v>
      </c>
      <c r="BQ81">
        <f t="shared" ca="1" si="121"/>
        <v>0</v>
      </c>
      <c r="BR81" s="290" t="str">
        <f t="shared" ca="1" si="137"/>
        <v/>
      </c>
      <c r="BS81" t="str">
        <f t="shared" ca="1" si="122"/>
        <v/>
      </c>
      <c r="BT81" t="str">
        <f t="shared" ca="1" si="135"/>
        <v/>
      </c>
      <c r="BU81" t="str">
        <f t="shared" ca="1" si="123"/>
        <v/>
      </c>
      <c r="BV81">
        <f t="shared" ca="1" si="124"/>
        <v>0</v>
      </c>
      <c r="BW81" t="str">
        <f t="shared" ca="1" si="125"/>
        <v/>
      </c>
      <c r="BX81" t="str">
        <f t="shared" ca="1" si="126"/>
        <v/>
      </c>
      <c r="BY81" t="str">
        <f ca="1">IF(R81="","",IF(R81&gt;Options!$B$3,"ALTER TABLE "&amp;HELPER!$B$4&amp;" ADD COLUMNS ("&amp;A81&amp;" "&amp;C81&amp;")",""))</f>
        <v/>
      </c>
      <c r="BZ81" t="str">
        <f ca="1">IF(R81="","",IF(R81&gt;Options!$B$3,A81,""))</f>
        <v/>
      </c>
      <c r="CA81" t="str">
        <f ca="1">IF(R81="","",IF(R81&gt;Options!$B$3,B81,""))</f>
        <v/>
      </c>
      <c r="CB81" t="str">
        <f t="shared" ca="1" si="127"/>
        <v/>
      </c>
      <c r="CC81">
        <f t="shared" ca="1" si="128"/>
        <v>0</v>
      </c>
      <c r="CD81" t="str">
        <f ca="1">IF(J81="","",Options!$B$23 &amp; "." &amp; J81)</f>
        <v/>
      </c>
    </row>
    <row r="82" spans="1:82">
      <c r="A82" s="161" t="str">
        <f t="array" aca="1" ref="A82" ca="1">IF(TRIM(INDIRECT("Columns!A82")) ="","",TRIM(INDIRECT("Columns!A82")))</f>
        <v/>
      </c>
      <c r="B82" s="161" t="str">
        <f t="shared" ca="1" si="96"/>
        <v/>
      </c>
      <c r="C82" s="161" t="str">
        <f t="shared" ca="1" si="97"/>
        <v/>
      </c>
      <c r="D82" s="161" t="str">
        <f t="shared" ca="1" si="98"/>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7" t="str">
        <f t="array" aca="1" ref="O82" ca="1">IF(TRIM(INDIRECT("Columns!B82"))="","",TRIM(INDIRECT("Columns!B82")))</f>
        <v/>
      </c>
      <c r="P82" s="227" t="str">
        <f t="array" aca="1" ref="P82" ca="1">IF(TRIM(INDIRECT("Columns!C82"))="","",TRIM(INDIRECT("Columns!C82")))</f>
        <v/>
      </c>
      <c r="Q82" s="227" t="str">
        <f t="array" aca="1" ref="Q82" ca="1">IF(TRIM(INDIRECT("Columns!D82"))="","",TRIM(INDIRECT("Columns!D82")))</f>
        <v/>
      </c>
      <c r="R82" s="227"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29"/>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0"/>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6"/>
        <v/>
      </c>
      <c r="AS82" t="str">
        <f ca="1">IF(A82="","",  HELPER!$B$94 &amp;  "." &amp; A82)</f>
        <v/>
      </c>
      <c r="AT82" t="str">
        <f t="shared" ca="1" si="112"/>
        <v/>
      </c>
      <c r="AU82" t="str">
        <f t="shared" ca="1" si="113"/>
        <v/>
      </c>
      <c r="AV82" s="190" t="str">
        <f t="shared" ca="1" si="114"/>
        <v/>
      </c>
      <c r="AW82" t="str">
        <f t="shared" ca="1" si="115"/>
        <v/>
      </c>
      <c r="AY82" t="str">
        <f t="shared" ca="1" si="116"/>
        <v/>
      </c>
      <c r="BF82" t="str">
        <f t="shared" ca="1" si="117"/>
        <v/>
      </c>
      <c r="BH82" s="285" t="str">
        <f t="shared" ca="1" si="131"/>
        <v/>
      </c>
      <c r="BI82" t="str">
        <f t="shared" ca="1" si="118"/>
        <v/>
      </c>
      <c r="BJ82" t="str">
        <f t="shared" ca="1" si="119"/>
        <v/>
      </c>
      <c r="BK82" t="str">
        <f t="shared" ca="1" si="132"/>
        <v/>
      </c>
      <c r="BM82" t="str">
        <f t="shared" ca="1" si="133"/>
        <v/>
      </c>
      <c r="BN82" t="str">
        <f t="shared" ca="1" si="134"/>
        <v/>
      </c>
      <c r="BO82" t="str">
        <f t="shared" ca="1" si="120"/>
        <v/>
      </c>
      <c r="BP82" t="b">
        <f ca="1">COUNTIF(COLHELPER!A82:'COLHELPER'!A82,COLHELPER!A82)&gt;1</f>
        <v>0</v>
      </c>
      <c r="BQ82">
        <f t="shared" ca="1" si="121"/>
        <v>0</v>
      </c>
      <c r="BR82" s="290" t="str">
        <f t="shared" ca="1" si="137"/>
        <v/>
      </c>
      <c r="BS82" t="str">
        <f t="shared" ca="1" si="122"/>
        <v/>
      </c>
      <c r="BT82" t="str">
        <f t="shared" ca="1" si="135"/>
        <v/>
      </c>
      <c r="BU82" t="str">
        <f t="shared" ca="1" si="123"/>
        <v/>
      </c>
      <c r="BV82">
        <f t="shared" ca="1" si="124"/>
        <v>0</v>
      </c>
      <c r="BW82" t="str">
        <f t="shared" ca="1" si="125"/>
        <v/>
      </c>
      <c r="BX82" t="str">
        <f t="shared" ca="1" si="126"/>
        <v/>
      </c>
      <c r="BY82" t="str">
        <f ca="1">IF(R82="","",IF(R82&gt;Options!$B$3,"ALTER TABLE "&amp;HELPER!$B$4&amp;" ADD COLUMNS ("&amp;A82&amp;" "&amp;C82&amp;")",""))</f>
        <v/>
      </c>
      <c r="BZ82" t="str">
        <f ca="1">IF(R82="","",IF(R82&gt;Options!$B$3,A82,""))</f>
        <v/>
      </c>
      <c r="CA82" t="str">
        <f ca="1">IF(R82="","",IF(R82&gt;Options!$B$3,B82,""))</f>
        <v/>
      </c>
      <c r="CB82" t="str">
        <f t="shared" ca="1" si="127"/>
        <v/>
      </c>
      <c r="CC82">
        <f t="shared" ca="1" si="128"/>
        <v>0</v>
      </c>
      <c r="CD82" t="str">
        <f ca="1">IF(J82="","",Options!$B$23 &amp; "." &amp; J82)</f>
        <v/>
      </c>
    </row>
    <row r="83" spans="1:82">
      <c r="A83" s="161" t="str">
        <f t="array" aca="1" ref="A83" ca="1">IF(TRIM(INDIRECT("Columns!A83")) ="","",TRIM(INDIRECT("Columns!A83")))</f>
        <v/>
      </c>
      <c r="B83" s="161" t="str">
        <f t="shared" ca="1" si="96"/>
        <v/>
      </c>
      <c r="C83" s="161" t="str">
        <f t="shared" ca="1" si="97"/>
        <v/>
      </c>
      <c r="D83" s="161" t="str">
        <f t="shared" ca="1" si="98"/>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7" t="str">
        <f t="array" aca="1" ref="O83" ca="1">IF(TRIM(INDIRECT("Columns!B83"))="","",TRIM(INDIRECT("Columns!B83")))</f>
        <v/>
      </c>
      <c r="P83" s="227" t="str">
        <f t="array" aca="1" ref="P83" ca="1">IF(TRIM(INDIRECT("Columns!C83"))="","",TRIM(INDIRECT("Columns!C83")))</f>
        <v/>
      </c>
      <c r="Q83" s="227" t="str">
        <f t="array" aca="1" ref="Q83" ca="1">IF(TRIM(INDIRECT("Columns!D83"))="","",TRIM(INDIRECT("Columns!D83")))</f>
        <v/>
      </c>
      <c r="R83" s="227"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29"/>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0"/>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6"/>
        <v/>
      </c>
      <c r="AS83" t="str">
        <f ca="1">IF(A83="","",  HELPER!$B$94 &amp;  "." &amp; A83)</f>
        <v/>
      </c>
      <c r="AT83" t="str">
        <f t="shared" ca="1" si="112"/>
        <v/>
      </c>
      <c r="AU83" t="str">
        <f t="shared" ca="1" si="113"/>
        <v/>
      </c>
      <c r="AV83" s="190" t="str">
        <f t="shared" ca="1" si="114"/>
        <v/>
      </c>
      <c r="AW83" t="str">
        <f t="shared" ca="1" si="115"/>
        <v/>
      </c>
      <c r="AY83" t="str">
        <f t="shared" ca="1" si="116"/>
        <v/>
      </c>
      <c r="BF83" t="str">
        <f t="shared" ca="1" si="117"/>
        <v/>
      </c>
      <c r="BH83" s="285" t="str">
        <f t="shared" ca="1" si="131"/>
        <v/>
      </c>
      <c r="BI83" t="str">
        <f t="shared" ca="1" si="118"/>
        <v/>
      </c>
      <c r="BJ83" t="str">
        <f t="shared" ca="1" si="119"/>
        <v/>
      </c>
      <c r="BK83" t="str">
        <f t="shared" ca="1" si="132"/>
        <v/>
      </c>
      <c r="BM83" t="str">
        <f t="shared" ca="1" si="133"/>
        <v/>
      </c>
      <c r="BN83" t="str">
        <f t="shared" ca="1" si="134"/>
        <v/>
      </c>
      <c r="BO83" t="str">
        <f t="shared" ca="1" si="120"/>
        <v/>
      </c>
      <c r="BP83" t="b">
        <f ca="1">COUNTIF(COLHELPER!A83:'COLHELPER'!A83,COLHELPER!A83)&gt;1</f>
        <v>0</v>
      </c>
      <c r="BQ83">
        <f t="shared" ca="1" si="121"/>
        <v>0</v>
      </c>
      <c r="BR83" s="290" t="str">
        <f t="shared" ca="1" si="137"/>
        <v/>
      </c>
      <c r="BS83" t="str">
        <f t="shared" ca="1" si="122"/>
        <v/>
      </c>
      <c r="BT83" t="str">
        <f t="shared" ca="1" si="135"/>
        <v/>
      </c>
      <c r="BU83" t="str">
        <f t="shared" ca="1" si="123"/>
        <v/>
      </c>
      <c r="BV83">
        <f t="shared" ca="1" si="124"/>
        <v>0</v>
      </c>
      <c r="BW83" t="str">
        <f t="shared" ca="1" si="125"/>
        <v/>
      </c>
      <c r="BX83" t="str">
        <f t="shared" ca="1" si="126"/>
        <v/>
      </c>
      <c r="BY83" t="str">
        <f ca="1">IF(R83="","",IF(R83&gt;Options!$B$3,"ALTER TABLE "&amp;HELPER!$B$4&amp;" ADD COLUMNS ("&amp;A83&amp;" "&amp;C83&amp;")",""))</f>
        <v/>
      </c>
      <c r="BZ83" t="str">
        <f ca="1">IF(R83="","",IF(R83&gt;Options!$B$3,A83,""))</f>
        <v/>
      </c>
      <c r="CA83" t="str">
        <f ca="1">IF(R83="","",IF(R83&gt;Options!$B$3,B83,""))</f>
        <v/>
      </c>
      <c r="CB83" t="str">
        <f t="shared" ca="1" si="127"/>
        <v/>
      </c>
      <c r="CC83">
        <f t="shared" ca="1" si="128"/>
        <v>0</v>
      </c>
      <c r="CD83" t="str">
        <f ca="1">IF(J83="","",Options!$B$23 &amp; "." &amp; J83)</f>
        <v/>
      </c>
    </row>
    <row r="84" spans="1:82">
      <c r="A84" s="161" t="str">
        <f t="array" aca="1" ref="A84" ca="1">IF(TRIM(INDIRECT("Columns!A84")) ="","",TRIM(INDIRECT("Columns!A84")))</f>
        <v/>
      </c>
      <c r="B84" s="161" t="str">
        <f t="shared" ca="1" si="96"/>
        <v/>
      </c>
      <c r="C84" s="161" t="str">
        <f t="shared" ca="1" si="97"/>
        <v/>
      </c>
      <c r="D84" s="161" t="str">
        <f t="shared" ca="1" si="98"/>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7" t="str">
        <f t="array" aca="1" ref="O84" ca="1">IF(TRIM(INDIRECT("Columns!B84"))="","",TRIM(INDIRECT("Columns!B84")))</f>
        <v/>
      </c>
      <c r="P84" s="227" t="str">
        <f t="array" aca="1" ref="P84" ca="1">IF(TRIM(INDIRECT("Columns!C84"))="","",TRIM(INDIRECT("Columns!C84")))</f>
        <v/>
      </c>
      <c r="Q84" s="227" t="str">
        <f t="array" aca="1" ref="Q84" ca="1">IF(TRIM(INDIRECT("Columns!D84"))="","",TRIM(INDIRECT("Columns!D84")))</f>
        <v/>
      </c>
      <c r="R84" s="227"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29"/>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0"/>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6"/>
        <v/>
      </c>
      <c r="AS84" t="str">
        <f ca="1">IF(A84="","",  HELPER!$B$94 &amp;  "." &amp; A84)</f>
        <v/>
      </c>
      <c r="AT84" t="str">
        <f t="shared" ca="1" si="112"/>
        <v/>
      </c>
      <c r="AU84" t="str">
        <f t="shared" ca="1" si="113"/>
        <v/>
      </c>
      <c r="AV84" s="190" t="str">
        <f t="shared" ca="1" si="114"/>
        <v/>
      </c>
      <c r="AW84" t="str">
        <f t="shared" ca="1" si="115"/>
        <v/>
      </c>
      <c r="AY84" t="str">
        <f t="shared" ca="1" si="116"/>
        <v/>
      </c>
      <c r="BF84" t="str">
        <f t="shared" ca="1" si="117"/>
        <v/>
      </c>
      <c r="BH84" s="285" t="str">
        <f t="shared" ca="1" si="131"/>
        <v/>
      </c>
      <c r="BI84" t="str">
        <f t="shared" ca="1" si="118"/>
        <v/>
      </c>
      <c r="BJ84" t="str">
        <f t="shared" ca="1" si="119"/>
        <v/>
      </c>
      <c r="BK84" t="str">
        <f t="shared" ca="1" si="132"/>
        <v/>
      </c>
      <c r="BM84" t="str">
        <f t="shared" ca="1" si="133"/>
        <v/>
      </c>
      <c r="BN84" t="str">
        <f t="shared" ca="1" si="134"/>
        <v/>
      </c>
      <c r="BO84" t="str">
        <f t="shared" ca="1" si="120"/>
        <v/>
      </c>
      <c r="BP84" t="b">
        <f ca="1">COUNTIF(COLHELPER!A84:'COLHELPER'!A84,COLHELPER!A84)&gt;1</f>
        <v>0</v>
      </c>
      <c r="BQ84">
        <f t="shared" ca="1" si="121"/>
        <v>0</v>
      </c>
      <c r="BR84" s="290" t="str">
        <f t="shared" ca="1" si="137"/>
        <v/>
      </c>
      <c r="BS84" t="str">
        <f t="shared" ca="1" si="122"/>
        <v/>
      </c>
      <c r="BT84" t="str">
        <f t="shared" ca="1" si="135"/>
        <v/>
      </c>
      <c r="BU84" t="str">
        <f t="shared" ca="1" si="123"/>
        <v/>
      </c>
      <c r="BV84">
        <f t="shared" ca="1" si="124"/>
        <v>0</v>
      </c>
      <c r="BW84" t="str">
        <f t="shared" ca="1" si="125"/>
        <v/>
      </c>
      <c r="BX84" t="str">
        <f t="shared" ca="1" si="126"/>
        <v/>
      </c>
      <c r="BY84" t="str">
        <f ca="1">IF(R84="","",IF(R84&gt;Options!$B$3,"ALTER TABLE "&amp;HELPER!$B$4&amp;" ADD COLUMNS ("&amp;A84&amp;" "&amp;C84&amp;")",""))</f>
        <v/>
      </c>
      <c r="BZ84" t="str">
        <f ca="1">IF(R84="","",IF(R84&gt;Options!$B$3,A84,""))</f>
        <v/>
      </c>
      <c r="CA84" t="str">
        <f ca="1">IF(R84="","",IF(R84&gt;Options!$B$3,B84,""))</f>
        <v/>
      </c>
      <c r="CB84" t="str">
        <f t="shared" ca="1" si="127"/>
        <v/>
      </c>
      <c r="CC84">
        <f t="shared" ca="1" si="128"/>
        <v>0</v>
      </c>
      <c r="CD84" t="str">
        <f ca="1">IF(J84="","",Options!$B$23 &amp; "." &amp; J84)</f>
        <v/>
      </c>
    </row>
    <row r="85" spans="1:82">
      <c r="A85" s="161" t="str">
        <f t="array" aca="1" ref="A85" ca="1">IF(TRIM(INDIRECT("Columns!A85")) ="","",TRIM(INDIRECT("Columns!A85")))</f>
        <v/>
      </c>
      <c r="B85" s="161" t="str">
        <f t="shared" ca="1" si="96"/>
        <v/>
      </c>
      <c r="C85" s="161" t="str">
        <f t="shared" ca="1" si="97"/>
        <v/>
      </c>
      <c r="D85" s="161" t="str">
        <f t="shared" ca="1" si="98"/>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7" t="str">
        <f t="array" aca="1" ref="O85" ca="1">IF(TRIM(INDIRECT("Columns!B85"))="","",TRIM(INDIRECT("Columns!B85")))</f>
        <v/>
      </c>
      <c r="P85" s="227" t="str">
        <f t="array" aca="1" ref="P85" ca="1">IF(TRIM(INDIRECT("Columns!C85"))="","",TRIM(INDIRECT("Columns!C85")))</f>
        <v/>
      </c>
      <c r="Q85" s="227" t="str">
        <f t="array" aca="1" ref="Q85" ca="1">IF(TRIM(INDIRECT("Columns!D85"))="","",TRIM(INDIRECT("Columns!D85")))</f>
        <v/>
      </c>
      <c r="R85" s="227"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29"/>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0"/>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6"/>
        <v/>
      </c>
      <c r="AS85" t="str">
        <f ca="1">IF(A85="","",  HELPER!$B$94 &amp;  "." &amp; A85)</f>
        <v/>
      </c>
      <c r="AT85" t="str">
        <f t="shared" ca="1" si="112"/>
        <v/>
      </c>
      <c r="AU85" t="str">
        <f t="shared" ca="1" si="113"/>
        <v/>
      </c>
      <c r="AV85" s="190" t="str">
        <f t="shared" ca="1" si="114"/>
        <v/>
      </c>
      <c r="AW85" t="str">
        <f t="shared" ca="1" si="115"/>
        <v/>
      </c>
      <c r="AY85" t="str">
        <f t="shared" ca="1" si="116"/>
        <v/>
      </c>
      <c r="BF85" t="str">
        <f t="shared" ca="1" si="117"/>
        <v/>
      </c>
      <c r="BH85" s="285" t="str">
        <f t="shared" ca="1" si="131"/>
        <v/>
      </c>
      <c r="BI85" t="str">
        <f t="shared" ca="1" si="118"/>
        <v/>
      </c>
      <c r="BJ85" t="str">
        <f t="shared" ca="1" si="119"/>
        <v/>
      </c>
      <c r="BK85" t="str">
        <f t="shared" ca="1" si="132"/>
        <v/>
      </c>
      <c r="BM85" t="str">
        <f t="shared" ca="1" si="133"/>
        <v/>
      </c>
      <c r="BN85" t="str">
        <f t="shared" ca="1" si="134"/>
        <v/>
      </c>
      <c r="BO85" t="str">
        <f t="shared" ca="1" si="120"/>
        <v/>
      </c>
      <c r="BP85" t="b">
        <f ca="1">COUNTIF(COLHELPER!A85:'COLHELPER'!A85,COLHELPER!A85)&gt;1</f>
        <v>0</v>
      </c>
      <c r="BQ85">
        <f t="shared" ca="1" si="121"/>
        <v>0</v>
      </c>
      <c r="BR85" s="290" t="str">
        <f t="shared" ca="1" si="137"/>
        <v/>
      </c>
      <c r="BS85" t="str">
        <f t="shared" ca="1" si="122"/>
        <v/>
      </c>
      <c r="BT85" t="str">
        <f t="shared" ca="1" si="135"/>
        <v/>
      </c>
      <c r="BU85" t="str">
        <f t="shared" ca="1" si="123"/>
        <v/>
      </c>
      <c r="BV85">
        <f t="shared" ca="1" si="124"/>
        <v>0</v>
      </c>
      <c r="BW85" t="str">
        <f t="shared" ca="1" si="125"/>
        <v/>
      </c>
      <c r="BX85" t="str">
        <f t="shared" ca="1" si="126"/>
        <v/>
      </c>
      <c r="BY85" t="str">
        <f ca="1">IF(R85="","",IF(R85&gt;Options!$B$3,"ALTER TABLE "&amp;HELPER!$B$4&amp;" ADD COLUMNS ("&amp;A85&amp;" "&amp;C85&amp;")",""))</f>
        <v/>
      </c>
      <c r="BZ85" t="str">
        <f ca="1">IF(R85="","",IF(R85&gt;Options!$B$3,A85,""))</f>
        <v/>
      </c>
      <c r="CA85" t="str">
        <f ca="1">IF(R85="","",IF(R85&gt;Options!$B$3,B85,""))</f>
        <v/>
      </c>
      <c r="CB85" t="str">
        <f t="shared" ca="1" si="127"/>
        <v/>
      </c>
      <c r="CC85">
        <f t="shared" ca="1" si="128"/>
        <v>0</v>
      </c>
      <c r="CD85" t="str">
        <f ca="1">IF(J85="","",Options!$B$23 &amp; "." &amp; J85)</f>
        <v/>
      </c>
    </row>
    <row r="86" spans="1:82">
      <c r="A86" s="161" t="str">
        <f t="array" aca="1" ref="A86" ca="1">IF(TRIM(INDIRECT("Columns!A86")) ="","",TRIM(INDIRECT("Columns!A86")))</f>
        <v/>
      </c>
      <c r="B86" s="161" t="str">
        <f t="shared" ca="1" si="96"/>
        <v/>
      </c>
      <c r="C86" s="161" t="str">
        <f t="shared" ca="1" si="97"/>
        <v/>
      </c>
      <c r="D86" s="161" t="str">
        <f t="shared" ca="1" si="98"/>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7" t="str">
        <f t="array" aca="1" ref="O86" ca="1">IF(TRIM(INDIRECT("Columns!B86"))="","",TRIM(INDIRECT("Columns!B86")))</f>
        <v/>
      </c>
      <c r="P86" s="227" t="str">
        <f t="array" aca="1" ref="P86" ca="1">IF(TRIM(INDIRECT("Columns!C86"))="","",TRIM(INDIRECT("Columns!C86")))</f>
        <v/>
      </c>
      <c r="Q86" s="227" t="str">
        <f t="array" aca="1" ref="Q86" ca="1">IF(TRIM(INDIRECT("Columns!D86"))="","",TRIM(INDIRECT("Columns!D86")))</f>
        <v/>
      </c>
      <c r="R86" s="227"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29"/>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0"/>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6"/>
        <v/>
      </c>
      <c r="AS86" t="str">
        <f ca="1">IF(A86="","",  HELPER!$B$94 &amp;  "." &amp; A86)</f>
        <v/>
      </c>
      <c r="AT86" t="str">
        <f t="shared" ca="1" si="112"/>
        <v/>
      </c>
      <c r="AU86" t="str">
        <f t="shared" ca="1" si="113"/>
        <v/>
      </c>
      <c r="AV86" s="190" t="str">
        <f t="shared" ca="1" si="114"/>
        <v/>
      </c>
      <c r="AW86" t="str">
        <f t="shared" ca="1" si="115"/>
        <v/>
      </c>
      <c r="AY86" t="str">
        <f t="shared" ca="1" si="116"/>
        <v/>
      </c>
      <c r="BF86" t="str">
        <f t="shared" ca="1" si="117"/>
        <v/>
      </c>
      <c r="BH86" s="285" t="str">
        <f t="shared" ca="1" si="131"/>
        <v/>
      </c>
      <c r="BI86" t="str">
        <f t="shared" ca="1" si="118"/>
        <v/>
      </c>
      <c r="BJ86" t="str">
        <f t="shared" ca="1" si="119"/>
        <v/>
      </c>
      <c r="BK86" t="str">
        <f t="shared" ca="1" si="132"/>
        <v/>
      </c>
      <c r="BM86" t="str">
        <f t="shared" ca="1" si="133"/>
        <v/>
      </c>
      <c r="BN86" t="str">
        <f t="shared" ca="1" si="134"/>
        <v/>
      </c>
      <c r="BO86" t="str">
        <f t="shared" ca="1" si="120"/>
        <v/>
      </c>
      <c r="BP86" t="b">
        <f ca="1">COUNTIF(COLHELPER!A86:'COLHELPER'!A86,COLHELPER!A86)&gt;1</f>
        <v>0</v>
      </c>
      <c r="BQ86">
        <f t="shared" ca="1" si="121"/>
        <v>0</v>
      </c>
      <c r="BR86" s="290" t="str">
        <f t="shared" ca="1" si="137"/>
        <v/>
      </c>
      <c r="BS86" t="str">
        <f t="shared" ca="1" si="122"/>
        <v/>
      </c>
      <c r="BT86" t="str">
        <f t="shared" ca="1" si="135"/>
        <v/>
      </c>
      <c r="BU86" t="str">
        <f t="shared" ca="1" si="123"/>
        <v/>
      </c>
      <c r="BV86">
        <f t="shared" ca="1" si="124"/>
        <v>0</v>
      </c>
      <c r="BW86" t="str">
        <f t="shared" ca="1" si="125"/>
        <v/>
      </c>
      <c r="BX86" t="str">
        <f t="shared" ca="1" si="126"/>
        <v/>
      </c>
      <c r="BY86" t="str">
        <f ca="1">IF(R86="","",IF(R86&gt;Options!$B$3,"ALTER TABLE "&amp;HELPER!$B$4&amp;" ADD COLUMNS ("&amp;A86&amp;" "&amp;C86&amp;")",""))</f>
        <v/>
      </c>
      <c r="BZ86" t="str">
        <f ca="1">IF(R86="","",IF(R86&gt;Options!$B$3,A86,""))</f>
        <v/>
      </c>
      <c r="CA86" t="str">
        <f ca="1">IF(R86="","",IF(R86&gt;Options!$B$3,B86,""))</f>
        <v/>
      </c>
      <c r="CB86" t="str">
        <f t="shared" ca="1" si="127"/>
        <v/>
      </c>
      <c r="CC86">
        <f t="shared" ca="1" si="128"/>
        <v>0</v>
      </c>
      <c r="CD86" t="str">
        <f ca="1">IF(J86="","",Options!$B$23 &amp; "." &amp; J86)</f>
        <v/>
      </c>
    </row>
    <row r="87" spans="1:82">
      <c r="A87" s="161" t="str">
        <f t="array" aca="1" ref="A87" ca="1">IF(TRIM(INDIRECT("Columns!A87")) ="","",TRIM(INDIRECT("Columns!A87")))</f>
        <v/>
      </c>
      <c r="B87" s="161" t="str">
        <f t="shared" ca="1" si="96"/>
        <v/>
      </c>
      <c r="C87" s="161" t="str">
        <f t="shared" ca="1" si="97"/>
        <v/>
      </c>
      <c r="D87" s="161" t="str">
        <f t="shared" ca="1" si="98"/>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7" t="str">
        <f t="array" aca="1" ref="O87" ca="1">IF(TRIM(INDIRECT("Columns!B87"))="","",TRIM(INDIRECT("Columns!B87")))</f>
        <v/>
      </c>
      <c r="P87" s="227" t="str">
        <f t="array" aca="1" ref="P87" ca="1">IF(TRIM(INDIRECT("Columns!C87"))="","",TRIM(INDIRECT("Columns!C87")))</f>
        <v/>
      </c>
      <c r="Q87" s="227" t="str">
        <f t="array" aca="1" ref="Q87" ca="1">IF(TRIM(INDIRECT("Columns!D87"))="","",TRIM(INDIRECT("Columns!D87")))</f>
        <v/>
      </c>
      <c r="R87" s="227"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29"/>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0"/>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6"/>
        <v/>
      </c>
      <c r="AS87" t="str">
        <f ca="1">IF(A87="","",  HELPER!$B$94 &amp;  "." &amp; A87)</f>
        <v/>
      </c>
      <c r="AT87" t="str">
        <f t="shared" ca="1" si="112"/>
        <v/>
      </c>
      <c r="AU87" t="str">
        <f t="shared" ca="1" si="113"/>
        <v/>
      </c>
      <c r="AV87" s="190" t="str">
        <f t="shared" ca="1" si="114"/>
        <v/>
      </c>
      <c r="AW87" t="str">
        <f t="shared" ca="1" si="115"/>
        <v/>
      </c>
      <c r="AY87" t="str">
        <f t="shared" ca="1" si="116"/>
        <v/>
      </c>
      <c r="BF87" t="str">
        <f t="shared" ca="1" si="117"/>
        <v/>
      </c>
      <c r="BH87" s="285" t="str">
        <f t="shared" ca="1" si="131"/>
        <v/>
      </c>
      <c r="BI87" t="str">
        <f t="shared" ca="1" si="118"/>
        <v/>
      </c>
      <c r="BJ87" t="str">
        <f t="shared" ca="1" si="119"/>
        <v/>
      </c>
      <c r="BK87" t="str">
        <f t="shared" ca="1" si="132"/>
        <v/>
      </c>
      <c r="BM87" t="str">
        <f t="shared" ca="1" si="133"/>
        <v/>
      </c>
      <c r="BN87" t="str">
        <f t="shared" ca="1" si="134"/>
        <v/>
      </c>
      <c r="BO87" t="str">
        <f t="shared" ca="1" si="120"/>
        <v/>
      </c>
      <c r="BP87" t="b">
        <f ca="1">COUNTIF(COLHELPER!A87:'COLHELPER'!A87,COLHELPER!A87)&gt;1</f>
        <v>0</v>
      </c>
      <c r="BQ87">
        <f t="shared" ca="1" si="121"/>
        <v>0</v>
      </c>
      <c r="BR87" s="290" t="str">
        <f t="shared" ca="1" si="137"/>
        <v/>
      </c>
      <c r="BS87" t="str">
        <f t="shared" ca="1" si="122"/>
        <v/>
      </c>
      <c r="BT87" t="str">
        <f t="shared" ca="1" si="135"/>
        <v/>
      </c>
      <c r="BU87" t="str">
        <f t="shared" ca="1" si="123"/>
        <v/>
      </c>
      <c r="BV87">
        <f t="shared" ca="1" si="124"/>
        <v>0</v>
      </c>
      <c r="BW87" t="str">
        <f t="shared" ca="1" si="125"/>
        <v/>
      </c>
      <c r="BX87" t="str">
        <f t="shared" ca="1" si="126"/>
        <v/>
      </c>
      <c r="BY87" t="str">
        <f ca="1">IF(R87="","",IF(R87&gt;Options!$B$3,"ALTER TABLE "&amp;HELPER!$B$4&amp;" ADD COLUMNS ("&amp;A87&amp;" "&amp;C87&amp;")",""))</f>
        <v/>
      </c>
      <c r="BZ87" t="str">
        <f ca="1">IF(R87="","",IF(R87&gt;Options!$B$3,A87,""))</f>
        <v/>
      </c>
      <c r="CA87" t="str">
        <f ca="1">IF(R87="","",IF(R87&gt;Options!$B$3,B87,""))</f>
        <v/>
      </c>
      <c r="CB87" t="str">
        <f t="shared" ca="1" si="127"/>
        <v/>
      </c>
      <c r="CC87">
        <f t="shared" ca="1" si="128"/>
        <v>0</v>
      </c>
      <c r="CD87" t="str">
        <f ca="1">IF(J87="","",Options!$B$23 &amp; "." &amp; J87)</f>
        <v/>
      </c>
    </row>
    <row r="88" spans="1:82">
      <c r="A88" s="161" t="str">
        <f t="array" aca="1" ref="A88" ca="1">IF(TRIM(INDIRECT("Columns!A88")) ="","",TRIM(INDIRECT("Columns!A88")))</f>
        <v/>
      </c>
      <c r="B88" s="161" t="str">
        <f t="shared" ca="1" si="96"/>
        <v/>
      </c>
      <c r="C88" s="161" t="str">
        <f t="shared" ca="1" si="97"/>
        <v/>
      </c>
      <c r="D88" s="161" t="str">
        <f t="shared" ca="1" si="98"/>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7" t="str">
        <f t="array" aca="1" ref="O88" ca="1">IF(TRIM(INDIRECT("Columns!B88"))="","",TRIM(INDIRECT("Columns!B88")))</f>
        <v/>
      </c>
      <c r="P88" s="227" t="str">
        <f t="array" aca="1" ref="P88" ca="1">IF(TRIM(INDIRECT("Columns!C88"))="","",TRIM(INDIRECT("Columns!C88")))</f>
        <v/>
      </c>
      <c r="Q88" s="227" t="str">
        <f t="array" aca="1" ref="Q88" ca="1">IF(TRIM(INDIRECT("Columns!D88"))="","",TRIM(INDIRECT("Columns!D88")))</f>
        <v/>
      </c>
      <c r="R88" s="227"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29"/>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0"/>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6"/>
        <v/>
      </c>
      <c r="AS88" t="str">
        <f ca="1">IF(A88="","",  HELPER!$B$94 &amp;  "." &amp; A88)</f>
        <v/>
      </c>
      <c r="AT88" t="str">
        <f t="shared" ca="1" si="112"/>
        <v/>
      </c>
      <c r="AU88" t="str">
        <f t="shared" ca="1" si="113"/>
        <v/>
      </c>
      <c r="AV88" s="190" t="str">
        <f t="shared" ca="1" si="114"/>
        <v/>
      </c>
      <c r="AW88" t="str">
        <f t="shared" ca="1" si="115"/>
        <v/>
      </c>
      <c r="AY88" t="str">
        <f t="shared" ca="1" si="116"/>
        <v/>
      </c>
      <c r="BF88" t="str">
        <f t="shared" ca="1" si="117"/>
        <v/>
      </c>
      <c r="BH88" s="285" t="str">
        <f t="shared" ca="1" si="131"/>
        <v/>
      </c>
      <c r="BI88" t="str">
        <f t="shared" ca="1" si="118"/>
        <v/>
      </c>
      <c r="BJ88" t="str">
        <f t="shared" ca="1" si="119"/>
        <v/>
      </c>
      <c r="BK88" t="str">
        <f t="shared" ca="1" si="132"/>
        <v/>
      </c>
      <c r="BM88" t="str">
        <f t="shared" ca="1" si="133"/>
        <v/>
      </c>
      <c r="BN88" t="str">
        <f t="shared" ca="1" si="134"/>
        <v/>
      </c>
      <c r="BO88" t="str">
        <f t="shared" ca="1" si="120"/>
        <v/>
      </c>
      <c r="BP88" t="b">
        <f ca="1">COUNTIF(COLHELPER!A88:'COLHELPER'!A88,COLHELPER!A88)&gt;1</f>
        <v>0</v>
      </c>
      <c r="BQ88">
        <f t="shared" ca="1" si="121"/>
        <v>0</v>
      </c>
      <c r="BR88" s="290" t="str">
        <f t="shared" ca="1" si="137"/>
        <v/>
      </c>
      <c r="BS88" t="str">
        <f t="shared" ca="1" si="122"/>
        <v/>
      </c>
      <c r="BT88" t="str">
        <f t="shared" ca="1" si="135"/>
        <v/>
      </c>
      <c r="BU88" t="str">
        <f t="shared" ca="1" si="123"/>
        <v/>
      </c>
      <c r="BV88">
        <f t="shared" ca="1" si="124"/>
        <v>0</v>
      </c>
      <c r="BW88" t="str">
        <f t="shared" ca="1" si="125"/>
        <v/>
      </c>
      <c r="BX88" t="str">
        <f t="shared" ca="1" si="126"/>
        <v/>
      </c>
      <c r="BY88" t="str">
        <f ca="1">IF(R88="","",IF(R88&gt;Options!$B$3,"ALTER TABLE "&amp;HELPER!$B$4&amp;" ADD COLUMNS ("&amp;A88&amp;" "&amp;C88&amp;")",""))</f>
        <v/>
      </c>
      <c r="BZ88" t="str">
        <f ca="1">IF(R88="","",IF(R88&gt;Options!$B$3,A88,""))</f>
        <v/>
      </c>
      <c r="CA88" t="str">
        <f ca="1">IF(R88="","",IF(R88&gt;Options!$B$3,B88,""))</f>
        <v/>
      </c>
      <c r="CB88" t="str">
        <f t="shared" ca="1" si="127"/>
        <v/>
      </c>
      <c r="CC88">
        <f t="shared" ca="1" si="128"/>
        <v>0</v>
      </c>
      <c r="CD88" t="str">
        <f ca="1">IF(J88="","",Options!$B$23 &amp; "." &amp; J88)</f>
        <v/>
      </c>
    </row>
    <row r="89" spans="1:82">
      <c r="A89" s="161" t="str">
        <f t="array" aca="1" ref="A89" ca="1">IF(TRIM(INDIRECT("Columns!A89")) ="","",TRIM(INDIRECT("Columns!A89")))</f>
        <v/>
      </c>
      <c r="B89" s="161" t="str">
        <f t="shared" ca="1" si="96"/>
        <v/>
      </c>
      <c r="C89" s="161" t="str">
        <f t="shared" ca="1" si="97"/>
        <v/>
      </c>
      <c r="D89" s="161" t="str">
        <f t="shared" ca="1" si="98"/>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7" t="str">
        <f t="array" aca="1" ref="O89" ca="1">IF(TRIM(INDIRECT("Columns!B89"))="","",TRIM(INDIRECT("Columns!B89")))</f>
        <v/>
      </c>
      <c r="P89" s="227" t="str">
        <f t="array" aca="1" ref="P89" ca="1">IF(TRIM(INDIRECT("Columns!C89"))="","",TRIM(INDIRECT("Columns!C89")))</f>
        <v/>
      </c>
      <c r="Q89" s="227" t="str">
        <f t="array" aca="1" ref="Q89" ca="1">IF(TRIM(INDIRECT("Columns!D89"))="","",TRIM(INDIRECT("Columns!D89")))</f>
        <v/>
      </c>
      <c r="R89" s="227"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29"/>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0"/>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6"/>
        <v/>
      </c>
      <c r="AS89" t="str">
        <f ca="1">IF(A89="","",  HELPER!$B$94 &amp;  "." &amp; A89)</f>
        <v/>
      </c>
      <c r="AT89" t="str">
        <f t="shared" ca="1" si="112"/>
        <v/>
      </c>
      <c r="AU89" t="str">
        <f t="shared" ca="1" si="113"/>
        <v/>
      </c>
      <c r="AV89" s="190" t="str">
        <f t="shared" ca="1" si="114"/>
        <v/>
      </c>
      <c r="AW89" t="str">
        <f t="shared" ca="1" si="115"/>
        <v/>
      </c>
      <c r="AY89" t="str">
        <f t="shared" ca="1" si="116"/>
        <v/>
      </c>
      <c r="BF89" t="str">
        <f t="shared" ca="1" si="117"/>
        <v/>
      </c>
      <c r="BH89" s="285" t="str">
        <f t="shared" ca="1" si="131"/>
        <v/>
      </c>
      <c r="BI89" t="str">
        <f t="shared" ca="1" si="118"/>
        <v/>
      </c>
      <c r="BJ89" t="str">
        <f t="shared" ca="1" si="119"/>
        <v/>
      </c>
      <c r="BK89" t="str">
        <f t="shared" ca="1" si="132"/>
        <v/>
      </c>
      <c r="BM89" t="str">
        <f t="shared" ca="1" si="133"/>
        <v/>
      </c>
      <c r="BN89" t="str">
        <f t="shared" ca="1" si="134"/>
        <v/>
      </c>
      <c r="BO89" t="str">
        <f t="shared" ca="1" si="120"/>
        <v/>
      </c>
      <c r="BP89" t="b">
        <f ca="1">COUNTIF(COLHELPER!A89:'COLHELPER'!A89,COLHELPER!A89)&gt;1</f>
        <v>0</v>
      </c>
      <c r="BQ89">
        <f t="shared" ca="1" si="121"/>
        <v>0</v>
      </c>
      <c r="BR89" s="290" t="str">
        <f t="shared" ca="1" si="137"/>
        <v/>
      </c>
      <c r="BS89" t="str">
        <f t="shared" ca="1" si="122"/>
        <v/>
      </c>
      <c r="BT89" t="str">
        <f t="shared" ca="1" si="135"/>
        <v/>
      </c>
      <c r="BU89" t="str">
        <f t="shared" ca="1" si="123"/>
        <v/>
      </c>
      <c r="BV89">
        <f t="shared" ca="1" si="124"/>
        <v>0</v>
      </c>
      <c r="BW89" t="str">
        <f t="shared" ca="1" si="125"/>
        <v/>
      </c>
      <c r="BX89" t="str">
        <f t="shared" ca="1" si="126"/>
        <v/>
      </c>
      <c r="BY89" t="str">
        <f ca="1">IF(R89="","",IF(R89&gt;Options!$B$3,"ALTER TABLE "&amp;HELPER!$B$4&amp;" ADD COLUMNS ("&amp;A89&amp;" "&amp;C89&amp;")",""))</f>
        <v/>
      </c>
      <c r="BZ89" t="str">
        <f ca="1">IF(R89="","",IF(R89&gt;Options!$B$3,A89,""))</f>
        <v/>
      </c>
      <c r="CA89" t="str">
        <f ca="1">IF(R89="","",IF(R89&gt;Options!$B$3,B89,""))</f>
        <v/>
      </c>
      <c r="CB89" t="str">
        <f t="shared" ca="1" si="127"/>
        <v/>
      </c>
      <c r="CC89">
        <f t="shared" ca="1" si="128"/>
        <v>0</v>
      </c>
      <c r="CD89" t="str">
        <f ca="1">IF(J89="","",Options!$B$23 &amp; "." &amp; J89)</f>
        <v/>
      </c>
    </row>
    <row r="90" spans="1:82">
      <c r="A90" s="161" t="str">
        <f t="array" aca="1" ref="A90" ca="1">IF(TRIM(INDIRECT("Columns!A90")) ="","",TRIM(INDIRECT("Columns!A90")))</f>
        <v/>
      </c>
      <c r="B90" s="161" t="str">
        <f t="shared" ca="1" si="96"/>
        <v/>
      </c>
      <c r="C90" s="161" t="str">
        <f t="shared" ca="1" si="97"/>
        <v/>
      </c>
      <c r="D90" s="161" t="str">
        <f t="shared" ca="1" si="98"/>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7" t="str">
        <f t="array" aca="1" ref="O90" ca="1">IF(TRIM(INDIRECT("Columns!B90"))="","",TRIM(INDIRECT("Columns!B90")))</f>
        <v/>
      </c>
      <c r="P90" s="227" t="str">
        <f t="array" aca="1" ref="P90" ca="1">IF(TRIM(INDIRECT("Columns!C90"))="","",TRIM(INDIRECT("Columns!C90")))</f>
        <v/>
      </c>
      <c r="Q90" s="227" t="str">
        <f t="array" aca="1" ref="Q90" ca="1">IF(TRIM(INDIRECT("Columns!D90"))="","",TRIM(INDIRECT("Columns!D90")))</f>
        <v/>
      </c>
      <c r="R90" s="227"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29"/>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0"/>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6"/>
        <v/>
      </c>
      <c r="AS90" t="str">
        <f ca="1">IF(A90="","",  HELPER!$B$94 &amp;  "." &amp; A90)</f>
        <v/>
      </c>
      <c r="AT90" t="str">
        <f t="shared" ca="1" si="112"/>
        <v/>
      </c>
      <c r="AU90" t="str">
        <f t="shared" ca="1" si="113"/>
        <v/>
      </c>
      <c r="AV90" s="190" t="str">
        <f t="shared" ca="1" si="114"/>
        <v/>
      </c>
      <c r="AW90" t="str">
        <f t="shared" ca="1" si="115"/>
        <v/>
      </c>
      <c r="AY90" t="str">
        <f t="shared" ca="1" si="116"/>
        <v/>
      </c>
      <c r="BF90" t="str">
        <f t="shared" ca="1" si="117"/>
        <v/>
      </c>
      <c r="BH90" s="285" t="str">
        <f t="shared" ca="1" si="131"/>
        <v/>
      </c>
      <c r="BI90" t="str">
        <f t="shared" ca="1" si="118"/>
        <v/>
      </c>
      <c r="BJ90" t="str">
        <f t="shared" ca="1" si="119"/>
        <v/>
      </c>
      <c r="BK90" t="str">
        <f t="shared" ca="1" si="132"/>
        <v/>
      </c>
      <c r="BM90" t="str">
        <f t="shared" ca="1" si="133"/>
        <v/>
      </c>
      <c r="BN90" t="str">
        <f t="shared" ca="1" si="134"/>
        <v/>
      </c>
      <c r="BO90" t="str">
        <f t="shared" ca="1" si="120"/>
        <v/>
      </c>
      <c r="BP90" t="b">
        <f ca="1">COUNTIF(COLHELPER!A90:'COLHELPER'!A90,COLHELPER!A90)&gt;1</f>
        <v>0</v>
      </c>
      <c r="BQ90">
        <f t="shared" ca="1" si="121"/>
        <v>0</v>
      </c>
      <c r="BR90" s="290" t="str">
        <f t="shared" ca="1" si="137"/>
        <v/>
      </c>
      <c r="BS90" t="str">
        <f t="shared" ca="1" si="122"/>
        <v/>
      </c>
      <c r="BT90" t="str">
        <f t="shared" ca="1" si="135"/>
        <v/>
      </c>
      <c r="BU90" t="str">
        <f t="shared" ca="1" si="123"/>
        <v/>
      </c>
      <c r="BV90">
        <f t="shared" ca="1" si="124"/>
        <v>0</v>
      </c>
      <c r="BW90" t="str">
        <f t="shared" ca="1" si="125"/>
        <v/>
      </c>
      <c r="BX90" t="str">
        <f t="shared" ca="1" si="126"/>
        <v/>
      </c>
      <c r="BY90" t="str">
        <f ca="1">IF(R90="","",IF(R90&gt;Options!$B$3,"ALTER TABLE "&amp;HELPER!$B$4&amp;" ADD COLUMNS ("&amp;A90&amp;" "&amp;C90&amp;")",""))</f>
        <v/>
      </c>
      <c r="BZ90" t="str">
        <f ca="1">IF(R90="","",IF(R90&gt;Options!$B$3,A90,""))</f>
        <v/>
      </c>
      <c r="CA90" t="str">
        <f ca="1">IF(R90="","",IF(R90&gt;Options!$B$3,B90,""))</f>
        <v/>
      </c>
      <c r="CB90" t="str">
        <f t="shared" ca="1" si="127"/>
        <v/>
      </c>
      <c r="CC90">
        <f t="shared" ca="1" si="128"/>
        <v>0</v>
      </c>
      <c r="CD90" t="str">
        <f ca="1">IF(J90="","",Options!$B$23 &amp; "." &amp; J90)</f>
        <v/>
      </c>
    </row>
    <row r="91" spans="1:82">
      <c r="A91" s="161" t="str">
        <f t="array" aca="1" ref="A91" ca="1">IF(TRIM(INDIRECT("Columns!A91")) ="","",TRIM(INDIRECT("Columns!A91")))</f>
        <v/>
      </c>
      <c r="B91" s="161" t="str">
        <f t="shared" ca="1" si="96"/>
        <v/>
      </c>
      <c r="C91" s="161" t="str">
        <f t="shared" ca="1" si="97"/>
        <v/>
      </c>
      <c r="D91" s="161" t="str">
        <f t="shared" ca="1" si="98"/>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7" t="str">
        <f t="array" aca="1" ref="O91" ca="1">IF(TRIM(INDIRECT("Columns!B91"))="","",TRIM(INDIRECT("Columns!B91")))</f>
        <v/>
      </c>
      <c r="P91" s="227" t="str">
        <f t="array" aca="1" ref="P91" ca="1">IF(TRIM(INDIRECT("Columns!C91"))="","",TRIM(INDIRECT("Columns!C91")))</f>
        <v/>
      </c>
      <c r="Q91" s="227" t="str">
        <f t="array" aca="1" ref="Q91" ca="1">IF(TRIM(INDIRECT("Columns!D91"))="","",TRIM(INDIRECT("Columns!D91")))</f>
        <v/>
      </c>
      <c r="R91" s="227"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29"/>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0"/>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6"/>
        <v/>
      </c>
      <c r="AS91" t="str">
        <f ca="1">IF(A91="","",  HELPER!$B$94 &amp;  "." &amp; A91)</f>
        <v/>
      </c>
      <c r="AT91" t="str">
        <f t="shared" ca="1" si="112"/>
        <v/>
      </c>
      <c r="AU91" t="str">
        <f t="shared" ca="1" si="113"/>
        <v/>
      </c>
      <c r="AV91" s="190" t="str">
        <f t="shared" ca="1" si="114"/>
        <v/>
      </c>
      <c r="AW91" t="str">
        <f t="shared" ca="1" si="115"/>
        <v/>
      </c>
      <c r="AY91" t="str">
        <f t="shared" ca="1" si="116"/>
        <v/>
      </c>
      <c r="BF91" t="str">
        <f t="shared" ca="1" si="117"/>
        <v/>
      </c>
      <c r="BH91" s="285" t="str">
        <f t="shared" ca="1" si="131"/>
        <v/>
      </c>
      <c r="BI91" t="str">
        <f t="shared" ca="1" si="118"/>
        <v/>
      </c>
      <c r="BJ91" t="str">
        <f t="shared" ca="1" si="119"/>
        <v/>
      </c>
      <c r="BK91" t="str">
        <f t="shared" ca="1" si="132"/>
        <v/>
      </c>
      <c r="BM91" t="str">
        <f t="shared" ca="1" si="133"/>
        <v/>
      </c>
      <c r="BN91" t="str">
        <f t="shared" ca="1" si="134"/>
        <v/>
      </c>
      <c r="BO91" t="str">
        <f t="shared" ca="1" si="120"/>
        <v/>
      </c>
      <c r="BP91" t="b">
        <f ca="1">COUNTIF(COLHELPER!A91:'COLHELPER'!A91,COLHELPER!A91)&gt;1</f>
        <v>0</v>
      </c>
      <c r="BQ91">
        <f t="shared" ca="1" si="121"/>
        <v>0</v>
      </c>
      <c r="BR91" s="290" t="str">
        <f t="shared" ca="1" si="137"/>
        <v/>
      </c>
      <c r="BS91" t="str">
        <f t="shared" ca="1" si="122"/>
        <v/>
      </c>
      <c r="BT91" t="str">
        <f t="shared" ca="1" si="135"/>
        <v/>
      </c>
      <c r="BU91" t="str">
        <f t="shared" ca="1" si="123"/>
        <v/>
      </c>
      <c r="BV91">
        <f t="shared" ca="1" si="124"/>
        <v>0</v>
      </c>
      <c r="BW91" t="str">
        <f t="shared" ca="1" si="125"/>
        <v/>
      </c>
      <c r="BX91" t="str">
        <f t="shared" ca="1" si="126"/>
        <v/>
      </c>
      <c r="BY91" t="str">
        <f ca="1">IF(R91="","",IF(R91&gt;Options!$B$3,"ALTER TABLE "&amp;HELPER!$B$4&amp;" ADD COLUMNS ("&amp;A91&amp;" "&amp;C91&amp;")",""))</f>
        <v/>
      </c>
      <c r="BZ91" t="str">
        <f ca="1">IF(R91="","",IF(R91&gt;Options!$B$3,A91,""))</f>
        <v/>
      </c>
      <c r="CA91" t="str">
        <f ca="1">IF(R91="","",IF(R91&gt;Options!$B$3,B91,""))</f>
        <v/>
      </c>
      <c r="CB91" t="str">
        <f t="shared" ca="1" si="127"/>
        <v/>
      </c>
      <c r="CC91">
        <f t="shared" ca="1" si="128"/>
        <v>0</v>
      </c>
      <c r="CD91" t="str">
        <f ca="1">IF(J91="","",Options!$B$23 &amp; "." &amp; J91)</f>
        <v/>
      </c>
    </row>
    <row r="92" spans="1:82">
      <c r="A92" s="161" t="str">
        <f t="array" aca="1" ref="A92" ca="1">IF(TRIM(INDIRECT("Columns!A92")) ="","",TRIM(INDIRECT("Columns!A92")))</f>
        <v/>
      </c>
      <c r="B92" s="161" t="str">
        <f t="shared" ca="1" si="96"/>
        <v/>
      </c>
      <c r="C92" s="161" t="str">
        <f t="shared" ca="1" si="97"/>
        <v/>
      </c>
      <c r="D92" s="161" t="str">
        <f t="shared" ca="1" si="98"/>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7" t="str">
        <f t="array" aca="1" ref="O92" ca="1">IF(TRIM(INDIRECT("Columns!B92"))="","",TRIM(INDIRECT("Columns!B92")))</f>
        <v/>
      </c>
      <c r="P92" s="227" t="str">
        <f t="array" aca="1" ref="P92" ca="1">IF(TRIM(INDIRECT("Columns!C92"))="","",TRIM(INDIRECT("Columns!C92")))</f>
        <v/>
      </c>
      <c r="Q92" s="227" t="str">
        <f t="array" aca="1" ref="Q92" ca="1">IF(TRIM(INDIRECT("Columns!D92"))="","",TRIM(INDIRECT("Columns!D92")))</f>
        <v/>
      </c>
      <c r="R92" s="227"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29"/>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0"/>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6"/>
        <v/>
      </c>
      <c r="AS92" t="str">
        <f ca="1">IF(A92="","",  HELPER!$B$94 &amp;  "." &amp; A92)</f>
        <v/>
      </c>
      <c r="AT92" t="str">
        <f t="shared" ca="1" si="112"/>
        <v/>
      </c>
      <c r="AU92" t="str">
        <f t="shared" ca="1" si="113"/>
        <v/>
      </c>
      <c r="AV92" s="190" t="str">
        <f t="shared" ca="1" si="114"/>
        <v/>
      </c>
      <c r="AW92" t="str">
        <f t="shared" ca="1" si="115"/>
        <v/>
      </c>
      <c r="AY92" t="str">
        <f t="shared" ca="1" si="116"/>
        <v/>
      </c>
      <c r="BF92" t="str">
        <f t="shared" ca="1" si="117"/>
        <v/>
      </c>
      <c r="BH92" s="285" t="str">
        <f t="shared" ca="1" si="131"/>
        <v/>
      </c>
      <c r="BI92" t="str">
        <f t="shared" ca="1" si="118"/>
        <v/>
      </c>
      <c r="BJ92" t="str">
        <f t="shared" ca="1" si="119"/>
        <v/>
      </c>
      <c r="BK92" t="str">
        <f t="shared" ca="1" si="132"/>
        <v/>
      </c>
      <c r="BM92" t="str">
        <f t="shared" ca="1" si="133"/>
        <v/>
      </c>
      <c r="BN92" t="str">
        <f t="shared" ca="1" si="134"/>
        <v/>
      </c>
      <c r="BO92" t="str">
        <f t="shared" ca="1" si="120"/>
        <v/>
      </c>
      <c r="BP92" t="b">
        <f ca="1">COUNTIF(COLHELPER!A92:'COLHELPER'!A92,COLHELPER!A92)&gt;1</f>
        <v>0</v>
      </c>
      <c r="BQ92">
        <f t="shared" ca="1" si="121"/>
        <v>0</v>
      </c>
      <c r="BR92" s="290" t="str">
        <f t="shared" ca="1" si="137"/>
        <v/>
      </c>
      <c r="BS92" t="str">
        <f t="shared" ca="1" si="122"/>
        <v/>
      </c>
      <c r="BT92" t="str">
        <f t="shared" ca="1" si="135"/>
        <v/>
      </c>
      <c r="BU92" t="str">
        <f t="shared" ca="1" si="123"/>
        <v/>
      </c>
      <c r="BV92">
        <f t="shared" ca="1" si="124"/>
        <v>0</v>
      </c>
      <c r="BW92" t="str">
        <f t="shared" ca="1" si="125"/>
        <v/>
      </c>
      <c r="BX92" t="str">
        <f t="shared" ca="1" si="126"/>
        <v/>
      </c>
      <c r="BY92" t="str">
        <f ca="1">IF(R92="","",IF(R92&gt;Options!$B$3,"ALTER TABLE "&amp;HELPER!$B$4&amp;" ADD COLUMNS ("&amp;A92&amp;" "&amp;C92&amp;")",""))</f>
        <v/>
      </c>
      <c r="BZ92" t="str">
        <f ca="1">IF(R92="","",IF(R92&gt;Options!$B$3,A92,""))</f>
        <v/>
      </c>
      <c r="CA92" t="str">
        <f ca="1">IF(R92="","",IF(R92&gt;Options!$B$3,B92,""))</f>
        <v/>
      </c>
      <c r="CB92" t="str">
        <f t="shared" ca="1" si="127"/>
        <v/>
      </c>
      <c r="CC92">
        <f t="shared" ca="1" si="128"/>
        <v>0</v>
      </c>
      <c r="CD92" t="str">
        <f ca="1">IF(J92="","",Options!$B$23 &amp; "." &amp; J92)</f>
        <v/>
      </c>
    </row>
    <row r="93" spans="1:82">
      <c r="A93" s="161" t="str">
        <f t="array" aca="1" ref="A93" ca="1">IF(TRIM(INDIRECT("Columns!A93")) ="","",TRIM(INDIRECT("Columns!A93")))</f>
        <v/>
      </c>
      <c r="B93" s="161" t="str">
        <f t="shared" ca="1" si="96"/>
        <v/>
      </c>
      <c r="C93" s="161" t="str">
        <f t="shared" ca="1" si="97"/>
        <v/>
      </c>
      <c r="D93" s="161" t="str">
        <f t="shared" ca="1" si="98"/>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7" t="str">
        <f t="array" aca="1" ref="O93" ca="1">IF(TRIM(INDIRECT("Columns!B93"))="","",TRIM(INDIRECT("Columns!B93")))</f>
        <v/>
      </c>
      <c r="P93" s="227" t="str">
        <f t="array" aca="1" ref="P93" ca="1">IF(TRIM(INDIRECT("Columns!C93"))="","",TRIM(INDIRECT("Columns!C93")))</f>
        <v/>
      </c>
      <c r="Q93" s="227" t="str">
        <f t="array" aca="1" ref="Q93" ca="1">IF(TRIM(INDIRECT("Columns!D93"))="","",TRIM(INDIRECT("Columns!D93")))</f>
        <v/>
      </c>
      <c r="R93" s="227"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29"/>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0"/>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6"/>
        <v/>
      </c>
      <c r="AS93" t="str">
        <f ca="1">IF(A93="","",  HELPER!$B$94 &amp;  "." &amp; A93)</f>
        <v/>
      </c>
      <c r="AT93" t="str">
        <f t="shared" ca="1" si="112"/>
        <v/>
      </c>
      <c r="AU93" t="str">
        <f t="shared" ca="1" si="113"/>
        <v/>
      </c>
      <c r="AV93" s="190" t="str">
        <f t="shared" ca="1" si="114"/>
        <v/>
      </c>
      <c r="AW93" t="str">
        <f t="shared" ca="1" si="115"/>
        <v/>
      </c>
      <c r="AY93" t="str">
        <f t="shared" ca="1" si="116"/>
        <v/>
      </c>
      <c r="BF93" t="str">
        <f t="shared" ca="1" si="117"/>
        <v/>
      </c>
      <c r="BH93" s="285" t="str">
        <f t="shared" ca="1" si="131"/>
        <v/>
      </c>
      <c r="BI93" t="str">
        <f t="shared" ca="1" si="118"/>
        <v/>
      </c>
      <c r="BJ93" t="str">
        <f t="shared" ca="1" si="119"/>
        <v/>
      </c>
      <c r="BK93" t="str">
        <f t="shared" ca="1" si="132"/>
        <v/>
      </c>
      <c r="BM93" t="str">
        <f t="shared" ca="1" si="133"/>
        <v/>
      </c>
      <c r="BN93" t="str">
        <f t="shared" ca="1" si="134"/>
        <v/>
      </c>
      <c r="BO93" t="str">
        <f t="shared" ca="1" si="120"/>
        <v/>
      </c>
      <c r="BP93" t="b">
        <f ca="1">COUNTIF(COLHELPER!A93:'COLHELPER'!A93,COLHELPER!A93)&gt;1</f>
        <v>0</v>
      </c>
      <c r="BQ93">
        <f t="shared" ca="1" si="121"/>
        <v>0</v>
      </c>
      <c r="BR93" s="290" t="str">
        <f t="shared" ca="1" si="137"/>
        <v/>
      </c>
      <c r="BS93" t="str">
        <f t="shared" ca="1" si="122"/>
        <v/>
      </c>
      <c r="BT93" t="str">
        <f t="shared" ca="1" si="135"/>
        <v/>
      </c>
      <c r="BU93" t="str">
        <f t="shared" ca="1" si="123"/>
        <v/>
      </c>
      <c r="BV93">
        <f t="shared" ca="1" si="124"/>
        <v>0</v>
      </c>
      <c r="BW93" t="str">
        <f t="shared" ca="1" si="125"/>
        <v/>
      </c>
      <c r="BX93" t="str">
        <f t="shared" ca="1" si="126"/>
        <v/>
      </c>
      <c r="BY93" t="str">
        <f ca="1">IF(R93="","",IF(R93&gt;Options!$B$3,"ALTER TABLE "&amp;HELPER!$B$4&amp;" ADD COLUMNS ("&amp;A93&amp;" "&amp;C93&amp;")",""))</f>
        <v/>
      </c>
      <c r="BZ93" t="str">
        <f ca="1">IF(R93="","",IF(R93&gt;Options!$B$3,A93,""))</f>
        <v/>
      </c>
      <c r="CA93" t="str">
        <f ca="1">IF(R93="","",IF(R93&gt;Options!$B$3,B93,""))</f>
        <v/>
      </c>
      <c r="CB93" t="str">
        <f t="shared" ca="1" si="127"/>
        <v/>
      </c>
      <c r="CC93">
        <f t="shared" ca="1" si="128"/>
        <v>0</v>
      </c>
      <c r="CD93" t="str">
        <f ca="1">IF(J93="","",Options!$B$23 &amp; "." &amp; J93)</f>
        <v/>
      </c>
    </row>
    <row r="94" spans="1:82">
      <c r="A94" s="161" t="str">
        <f t="array" aca="1" ref="A94" ca="1">IF(TRIM(INDIRECT("Columns!A94")) ="","",TRIM(INDIRECT("Columns!A94")))</f>
        <v/>
      </c>
      <c r="B94" s="161" t="str">
        <f t="shared" ca="1" si="96"/>
        <v/>
      </c>
      <c r="C94" s="161" t="str">
        <f t="shared" ca="1" si="97"/>
        <v/>
      </c>
      <c r="D94" s="161" t="str">
        <f t="shared" ca="1" si="98"/>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7" t="str">
        <f t="array" aca="1" ref="O94" ca="1">IF(TRIM(INDIRECT("Columns!B94"))="","",TRIM(INDIRECT("Columns!B94")))</f>
        <v/>
      </c>
      <c r="P94" s="227" t="str">
        <f t="array" aca="1" ref="P94" ca="1">IF(TRIM(INDIRECT("Columns!C94"))="","",TRIM(INDIRECT("Columns!C94")))</f>
        <v/>
      </c>
      <c r="Q94" s="227" t="str">
        <f t="array" aca="1" ref="Q94" ca="1">IF(TRIM(INDIRECT("Columns!D94"))="","",TRIM(INDIRECT("Columns!D94")))</f>
        <v/>
      </c>
      <c r="R94" s="227"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29"/>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0"/>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6"/>
        <v/>
      </c>
      <c r="AS94" t="str">
        <f ca="1">IF(A94="","",  HELPER!$B$94 &amp;  "." &amp; A94)</f>
        <v/>
      </c>
      <c r="AT94" t="str">
        <f t="shared" ca="1" si="112"/>
        <v/>
      </c>
      <c r="AU94" t="str">
        <f t="shared" ca="1" si="113"/>
        <v/>
      </c>
      <c r="AV94" s="190" t="str">
        <f t="shared" ca="1" si="114"/>
        <v/>
      </c>
      <c r="AW94" t="str">
        <f t="shared" ca="1" si="115"/>
        <v/>
      </c>
      <c r="AY94" t="str">
        <f t="shared" ca="1" si="116"/>
        <v/>
      </c>
      <c r="BF94" t="str">
        <f t="shared" ca="1" si="117"/>
        <v/>
      </c>
      <c r="BH94" s="285" t="str">
        <f t="shared" ca="1" si="131"/>
        <v/>
      </c>
      <c r="BI94" t="str">
        <f t="shared" ca="1" si="118"/>
        <v/>
      </c>
      <c r="BJ94" t="str">
        <f t="shared" ca="1" si="119"/>
        <v/>
      </c>
      <c r="BK94" t="str">
        <f t="shared" ca="1" si="132"/>
        <v/>
      </c>
      <c r="BM94" t="str">
        <f t="shared" ca="1" si="133"/>
        <v/>
      </c>
      <c r="BN94" t="str">
        <f t="shared" ca="1" si="134"/>
        <v/>
      </c>
      <c r="BO94" t="str">
        <f t="shared" ca="1" si="120"/>
        <v/>
      </c>
      <c r="BP94" t="b">
        <f ca="1">COUNTIF(COLHELPER!A94:'COLHELPER'!A94,COLHELPER!A94)&gt;1</f>
        <v>0</v>
      </c>
      <c r="BQ94">
        <f t="shared" ca="1" si="121"/>
        <v>0</v>
      </c>
      <c r="BR94" s="290" t="str">
        <f t="shared" ca="1" si="137"/>
        <v/>
      </c>
      <c r="BS94" t="str">
        <f t="shared" ca="1" si="122"/>
        <v/>
      </c>
      <c r="BT94" t="str">
        <f t="shared" ca="1" si="135"/>
        <v/>
      </c>
      <c r="BU94" t="str">
        <f t="shared" ca="1" si="123"/>
        <v/>
      </c>
      <c r="BV94">
        <f t="shared" ca="1" si="124"/>
        <v>0</v>
      </c>
      <c r="BW94" t="str">
        <f t="shared" ca="1" si="125"/>
        <v/>
      </c>
      <c r="BX94" t="str">
        <f t="shared" ca="1" si="126"/>
        <v/>
      </c>
      <c r="BY94" t="str">
        <f ca="1">IF(R94="","",IF(R94&gt;Options!$B$3,"ALTER TABLE "&amp;HELPER!$B$4&amp;" ADD COLUMNS ("&amp;A94&amp;" "&amp;C94&amp;")",""))</f>
        <v/>
      </c>
      <c r="BZ94" t="str">
        <f ca="1">IF(R94="","",IF(R94&gt;Options!$B$3,A94,""))</f>
        <v/>
      </c>
      <c r="CA94" t="str">
        <f ca="1">IF(R94="","",IF(R94&gt;Options!$B$3,B94,""))</f>
        <v/>
      </c>
      <c r="CB94" t="str">
        <f t="shared" ca="1" si="127"/>
        <v/>
      </c>
      <c r="CC94">
        <f t="shared" ca="1" si="128"/>
        <v>0</v>
      </c>
      <c r="CD94" t="str">
        <f ca="1">IF(J94="","",Options!$B$23 &amp; "." &amp; J94)</f>
        <v/>
      </c>
    </row>
    <row r="95" spans="1:82">
      <c r="A95" s="161" t="str">
        <f t="array" aca="1" ref="A95" ca="1">IF(TRIM(INDIRECT("Columns!A95")) ="","",TRIM(INDIRECT("Columns!A95")))</f>
        <v/>
      </c>
      <c r="B95" s="161" t="str">
        <f t="shared" ca="1" si="96"/>
        <v/>
      </c>
      <c r="C95" s="161" t="str">
        <f t="shared" ca="1" si="97"/>
        <v/>
      </c>
      <c r="D95" s="161" t="str">
        <f t="shared" ca="1" si="98"/>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7" t="str">
        <f t="array" aca="1" ref="O95" ca="1">IF(TRIM(INDIRECT("Columns!B95"))="","",TRIM(INDIRECT("Columns!B95")))</f>
        <v/>
      </c>
      <c r="P95" s="227" t="str">
        <f t="array" aca="1" ref="P95" ca="1">IF(TRIM(INDIRECT("Columns!C95"))="","",TRIM(INDIRECT("Columns!C95")))</f>
        <v/>
      </c>
      <c r="Q95" s="227" t="str">
        <f t="array" aca="1" ref="Q95" ca="1">IF(TRIM(INDIRECT("Columns!D95"))="","",TRIM(INDIRECT("Columns!D95")))</f>
        <v/>
      </c>
      <c r="R95" s="227"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29"/>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0"/>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6"/>
        <v/>
      </c>
      <c r="AS95" t="str">
        <f ca="1">IF(A95="","",  HELPER!$B$94 &amp;  "." &amp; A95)</f>
        <v/>
      </c>
      <c r="AT95" t="str">
        <f t="shared" ca="1" si="112"/>
        <v/>
      </c>
      <c r="AU95" t="str">
        <f t="shared" ca="1" si="113"/>
        <v/>
      </c>
      <c r="AV95" s="190" t="str">
        <f t="shared" ca="1" si="114"/>
        <v/>
      </c>
      <c r="AW95" t="str">
        <f t="shared" ca="1" si="115"/>
        <v/>
      </c>
      <c r="AY95" t="str">
        <f t="shared" ca="1" si="116"/>
        <v/>
      </c>
      <c r="BF95" t="str">
        <f t="shared" ca="1" si="117"/>
        <v/>
      </c>
      <c r="BH95" s="285" t="str">
        <f t="shared" ca="1" si="131"/>
        <v/>
      </c>
      <c r="BI95" t="str">
        <f t="shared" ca="1" si="118"/>
        <v/>
      </c>
      <c r="BJ95" t="str">
        <f t="shared" ca="1" si="119"/>
        <v/>
      </c>
      <c r="BK95" t="str">
        <f t="shared" ca="1" si="132"/>
        <v/>
      </c>
      <c r="BM95" t="str">
        <f t="shared" ca="1" si="133"/>
        <v/>
      </c>
      <c r="BN95" t="str">
        <f t="shared" ca="1" si="134"/>
        <v/>
      </c>
      <c r="BO95" t="str">
        <f t="shared" ca="1" si="120"/>
        <v/>
      </c>
      <c r="BP95" t="b">
        <f ca="1">COUNTIF(COLHELPER!A95:'COLHELPER'!A95,COLHELPER!A95)&gt;1</f>
        <v>0</v>
      </c>
      <c r="BQ95">
        <f t="shared" ca="1" si="121"/>
        <v>0</v>
      </c>
      <c r="BR95" s="290" t="str">
        <f t="shared" ca="1" si="137"/>
        <v/>
      </c>
      <c r="BS95" t="str">
        <f t="shared" ca="1" si="122"/>
        <v/>
      </c>
      <c r="BT95" t="str">
        <f t="shared" ca="1" si="135"/>
        <v/>
      </c>
      <c r="BU95" t="str">
        <f t="shared" ca="1" si="123"/>
        <v/>
      </c>
      <c r="BV95">
        <f t="shared" ca="1" si="124"/>
        <v>0</v>
      </c>
      <c r="BW95" t="str">
        <f t="shared" ca="1" si="125"/>
        <v/>
      </c>
      <c r="BX95" t="str">
        <f t="shared" ca="1" si="126"/>
        <v/>
      </c>
      <c r="BY95" t="str">
        <f ca="1">IF(R95="","",IF(R95&gt;Options!$B$3,"ALTER TABLE "&amp;HELPER!$B$4&amp;" ADD COLUMNS ("&amp;A95&amp;" "&amp;C95&amp;")",""))</f>
        <v/>
      </c>
      <c r="BZ95" t="str">
        <f ca="1">IF(R95="","",IF(R95&gt;Options!$B$3,A95,""))</f>
        <v/>
      </c>
      <c r="CA95" t="str">
        <f ca="1">IF(R95="","",IF(R95&gt;Options!$B$3,B95,""))</f>
        <v/>
      </c>
      <c r="CB95" t="str">
        <f t="shared" ca="1" si="127"/>
        <v/>
      </c>
      <c r="CC95">
        <f t="shared" ca="1" si="128"/>
        <v>0</v>
      </c>
      <c r="CD95" t="str">
        <f ca="1">IF(J95="","",Options!$B$23 &amp; "." &amp; J95)</f>
        <v/>
      </c>
    </row>
    <row r="96" spans="1:82">
      <c r="A96" s="161" t="str">
        <f t="array" aca="1" ref="A96" ca="1">IF(TRIM(INDIRECT("Columns!A96")) ="","",TRIM(INDIRECT("Columns!A96")))</f>
        <v/>
      </c>
      <c r="B96" s="161" t="str">
        <f t="shared" ca="1" si="96"/>
        <v/>
      </c>
      <c r="C96" s="161" t="str">
        <f t="shared" ca="1" si="97"/>
        <v/>
      </c>
      <c r="D96" s="161" t="str">
        <f t="shared" ca="1" si="98"/>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7" t="str">
        <f t="array" aca="1" ref="O96" ca="1">IF(TRIM(INDIRECT("Columns!B96"))="","",TRIM(INDIRECT("Columns!B96")))</f>
        <v/>
      </c>
      <c r="P96" s="227" t="str">
        <f t="array" aca="1" ref="P96" ca="1">IF(TRIM(INDIRECT("Columns!C96"))="","",TRIM(INDIRECT("Columns!C96")))</f>
        <v/>
      </c>
      <c r="Q96" s="227" t="str">
        <f t="array" aca="1" ref="Q96" ca="1">IF(TRIM(INDIRECT("Columns!D96"))="","",TRIM(INDIRECT("Columns!D96")))</f>
        <v/>
      </c>
      <c r="R96" s="227"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29"/>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0"/>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6"/>
        <v/>
      </c>
      <c r="AS96" t="str">
        <f ca="1">IF(A96="","",  HELPER!$B$94 &amp;  "." &amp; A96)</f>
        <v/>
      </c>
      <c r="AT96" t="str">
        <f t="shared" ca="1" si="112"/>
        <v/>
      </c>
      <c r="AU96" t="str">
        <f t="shared" ca="1" si="113"/>
        <v/>
      </c>
      <c r="AV96" s="190" t="str">
        <f t="shared" ca="1" si="114"/>
        <v/>
      </c>
      <c r="AW96" t="str">
        <f t="shared" ca="1" si="115"/>
        <v/>
      </c>
      <c r="AY96" t="str">
        <f t="shared" ca="1" si="116"/>
        <v/>
      </c>
      <c r="BF96" t="str">
        <f t="shared" ca="1" si="117"/>
        <v/>
      </c>
      <c r="BH96" s="285" t="str">
        <f t="shared" ca="1" si="131"/>
        <v/>
      </c>
      <c r="BI96" t="str">
        <f t="shared" ca="1" si="118"/>
        <v/>
      </c>
      <c r="BJ96" t="str">
        <f t="shared" ca="1" si="119"/>
        <v/>
      </c>
      <c r="BK96" t="str">
        <f t="shared" ca="1" si="132"/>
        <v/>
      </c>
      <c r="BM96" t="str">
        <f t="shared" ca="1" si="133"/>
        <v/>
      </c>
      <c r="BN96" t="str">
        <f t="shared" ca="1" si="134"/>
        <v/>
      </c>
      <c r="BO96" t="str">
        <f t="shared" ca="1" si="120"/>
        <v/>
      </c>
      <c r="BP96" t="b">
        <f ca="1">COUNTIF(COLHELPER!A96:'COLHELPER'!A96,COLHELPER!A96)&gt;1</f>
        <v>0</v>
      </c>
      <c r="BQ96">
        <f t="shared" ca="1" si="121"/>
        <v>0</v>
      </c>
      <c r="BR96" s="290" t="str">
        <f t="shared" ca="1" si="137"/>
        <v/>
      </c>
      <c r="BS96" t="str">
        <f t="shared" ca="1" si="122"/>
        <v/>
      </c>
      <c r="BT96" t="str">
        <f t="shared" ca="1" si="135"/>
        <v/>
      </c>
      <c r="BU96" t="str">
        <f t="shared" ca="1" si="123"/>
        <v/>
      </c>
      <c r="BV96">
        <f t="shared" ca="1" si="124"/>
        <v>0</v>
      </c>
      <c r="BW96" t="str">
        <f t="shared" ca="1" si="125"/>
        <v/>
      </c>
      <c r="BX96" t="str">
        <f t="shared" ca="1" si="126"/>
        <v/>
      </c>
      <c r="BY96" t="str">
        <f ca="1">IF(R96="","",IF(R96&gt;Options!$B$3,"ALTER TABLE "&amp;HELPER!$B$4&amp;" ADD COLUMNS ("&amp;A96&amp;" "&amp;C96&amp;")",""))</f>
        <v/>
      </c>
      <c r="BZ96" t="str">
        <f ca="1">IF(R96="","",IF(R96&gt;Options!$B$3,A96,""))</f>
        <v/>
      </c>
      <c r="CA96" t="str">
        <f ca="1">IF(R96="","",IF(R96&gt;Options!$B$3,B96,""))</f>
        <v/>
      </c>
      <c r="CB96" t="str">
        <f t="shared" ca="1" si="127"/>
        <v/>
      </c>
      <c r="CC96">
        <f t="shared" ca="1" si="128"/>
        <v>0</v>
      </c>
      <c r="CD96" t="str">
        <f ca="1">IF(J96="","",Options!$B$23 &amp; "." &amp; J96)</f>
        <v/>
      </c>
    </row>
    <row r="97" spans="1:82">
      <c r="A97" s="161" t="str">
        <f t="array" aca="1" ref="A97" ca="1">IF(TRIM(INDIRECT("Columns!A97")) ="","",TRIM(INDIRECT("Columns!A97")))</f>
        <v/>
      </c>
      <c r="B97" s="161" t="str">
        <f t="shared" ca="1" si="96"/>
        <v/>
      </c>
      <c r="C97" s="161" t="str">
        <f t="shared" ca="1" si="97"/>
        <v/>
      </c>
      <c r="D97" s="161" t="str">
        <f t="shared" ca="1" si="98"/>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7" t="str">
        <f t="array" aca="1" ref="O97" ca="1">IF(TRIM(INDIRECT("Columns!B97"))="","",TRIM(INDIRECT("Columns!B97")))</f>
        <v/>
      </c>
      <c r="P97" s="227" t="str">
        <f t="array" aca="1" ref="P97" ca="1">IF(TRIM(INDIRECT("Columns!C97"))="","",TRIM(INDIRECT("Columns!C97")))</f>
        <v/>
      </c>
      <c r="Q97" s="227" t="str">
        <f t="array" aca="1" ref="Q97" ca="1">IF(TRIM(INDIRECT("Columns!D97"))="","",TRIM(INDIRECT("Columns!D97")))</f>
        <v/>
      </c>
      <c r="R97" s="227"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29"/>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0"/>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6"/>
        <v/>
      </c>
      <c r="AS97" t="str">
        <f ca="1">IF(A97="","",  HELPER!$B$94 &amp;  "." &amp; A97)</f>
        <v/>
      </c>
      <c r="AT97" t="str">
        <f t="shared" ca="1" si="112"/>
        <v/>
      </c>
      <c r="AU97" t="str">
        <f t="shared" ca="1" si="113"/>
        <v/>
      </c>
      <c r="AV97" s="190" t="str">
        <f t="shared" ca="1" si="114"/>
        <v/>
      </c>
      <c r="AW97" t="str">
        <f t="shared" ca="1" si="115"/>
        <v/>
      </c>
      <c r="AY97" t="str">
        <f t="shared" ca="1" si="116"/>
        <v/>
      </c>
      <c r="BF97" t="str">
        <f t="shared" ca="1" si="117"/>
        <v/>
      </c>
      <c r="BH97" s="285" t="str">
        <f t="shared" ca="1" si="131"/>
        <v/>
      </c>
      <c r="BI97" t="str">
        <f t="shared" ca="1" si="118"/>
        <v/>
      </c>
      <c r="BJ97" t="str">
        <f t="shared" ca="1" si="119"/>
        <v/>
      </c>
      <c r="BK97" t="str">
        <f t="shared" ca="1" si="132"/>
        <v/>
      </c>
      <c r="BM97" t="str">
        <f t="shared" ca="1" si="133"/>
        <v/>
      </c>
      <c r="BN97" t="str">
        <f t="shared" ca="1" si="134"/>
        <v/>
      </c>
      <c r="BO97" t="str">
        <f t="shared" ca="1" si="120"/>
        <v/>
      </c>
      <c r="BP97" t="b">
        <f ca="1">COUNTIF(COLHELPER!A97:'COLHELPER'!A97,COLHELPER!A97)&gt;1</f>
        <v>0</v>
      </c>
      <c r="BQ97">
        <f t="shared" ca="1" si="121"/>
        <v>0</v>
      </c>
      <c r="BR97" s="290" t="str">
        <f t="shared" ca="1" si="137"/>
        <v/>
      </c>
      <c r="BS97" t="str">
        <f t="shared" ca="1" si="122"/>
        <v/>
      </c>
      <c r="BT97" t="str">
        <f t="shared" ca="1" si="135"/>
        <v/>
      </c>
      <c r="BU97" t="str">
        <f t="shared" ca="1" si="123"/>
        <v/>
      </c>
      <c r="BV97">
        <f t="shared" ca="1" si="124"/>
        <v>0</v>
      </c>
      <c r="BW97" t="str">
        <f t="shared" ca="1" si="125"/>
        <v/>
      </c>
      <c r="BX97" t="str">
        <f t="shared" ca="1" si="126"/>
        <v/>
      </c>
      <c r="BY97" t="str">
        <f ca="1">IF(R97="","",IF(R97&gt;Options!$B$3,"ALTER TABLE "&amp;HELPER!$B$4&amp;" ADD COLUMNS ("&amp;A97&amp;" "&amp;C97&amp;")",""))</f>
        <v/>
      </c>
      <c r="BZ97" t="str">
        <f ca="1">IF(R97="","",IF(R97&gt;Options!$B$3,A97,""))</f>
        <v/>
      </c>
      <c r="CA97" t="str">
        <f ca="1">IF(R97="","",IF(R97&gt;Options!$B$3,B97,""))</f>
        <v/>
      </c>
      <c r="CB97" t="str">
        <f t="shared" ca="1" si="127"/>
        <v/>
      </c>
      <c r="CC97">
        <f t="shared" ca="1" si="128"/>
        <v>0</v>
      </c>
      <c r="CD97" t="str">
        <f ca="1">IF(J97="","",Options!$B$23 &amp; "." &amp; J97)</f>
        <v/>
      </c>
    </row>
    <row r="98" spans="1:82">
      <c r="A98" s="161" t="str">
        <f t="array" aca="1" ref="A98" ca="1">IF(TRIM(INDIRECT("Columns!A98")) ="","",TRIM(INDIRECT("Columns!A98")))</f>
        <v/>
      </c>
      <c r="B98" s="161" t="str">
        <f t="shared" ref="B98:B129" ca="1" si="138">IF(I98="1","",IF(O98="",IF(G98="",A98,G98 &amp; " AS " &amp; A98),O98))</f>
        <v/>
      </c>
      <c r="C98" s="161" t="str">
        <f t="shared" ref="C98:C129" ca="1" si="139">IF(I98="1","bigint",P98)</f>
        <v/>
      </c>
      <c r="D98" s="161" t="str">
        <f t="shared" ref="D98:D129" ca="1" si="140">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7" t="str">
        <f t="array" aca="1" ref="O98" ca="1">IF(TRIM(INDIRECT("Columns!B98"))="","",TRIM(INDIRECT("Columns!B98")))</f>
        <v/>
      </c>
      <c r="P98" s="227" t="str">
        <f t="array" aca="1" ref="P98" ca="1">IF(TRIM(INDIRECT("Columns!C98"))="","",TRIM(INDIRECT("Columns!C98")))</f>
        <v/>
      </c>
      <c r="Q98" s="227" t="str">
        <f t="array" aca="1" ref="Q98" ca="1">IF(TRIM(INDIRECT("Columns!D98"))="","",TRIM(INDIRECT("Columns!D98")))</f>
        <v/>
      </c>
      <c r="R98" s="227"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0"/>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6"/>
        <v/>
      </c>
      <c r="AS98" t="str">
        <f ca="1">IF(A98="","",  HELPER!$B$94 &amp;  "." &amp; A98)</f>
        <v/>
      </c>
      <c r="AT98" t="str">
        <f t="shared" ref="AT98:AT129" ca="1" si="154">IF(I98="1",A98,"")</f>
        <v/>
      </c>
      <c r="AU98" t="str">
        <f t="shared" ref="AU98:AU129" ca="1" si="155">IF(C98="string","COALESCE(" &amp; AS98 &amp; ",'')",AS98)</f>
        <v/>
      </c>
      <c r="AV98" s="190"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5"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s="290" t="str">
        <f t="shared" ca="1" si="137"/>
        <v/>
      </c>
      <c r="BS98" t="str">
        <f t="shared" ref="BS98:BS129" ca="1" si="164">IF(F98="1",SUBSTITUTE(BR98,"'",""),"")</f>
        <v/>
      </c>
      <c r="BT98" t="str">
        <f ca="1">IF(N98="","", SUBSTITUTE( SUBSTITUTE(BR98,"[:date_yyyy_mm_dd]",  N98),"[:date_yyymm]",N98))</f>
        <v/>
      </c>
      <c r="BU98" t="str">
        <f t="shared" ref="BU98:BU129" ca="1" si="165">IF(N98="","",SUBSTITUTE(BS98,"[:date_yyyy_mm_dd]",SUBSTITUTE(N98,"'","")))</f>
        <v/>
      </c>
      <c r="BV98">
        <f t="shared" ref="BV98:BV129" ca="1" si="166">IF(A97="",0,1)</f>
        <v>0</v>
      </c>
      <c r="BW98" t="str">
        <f t="shared" ref="BW98:BW129" ca="1" si="167">IF(AE98="","", "t3." &amp;AE98 &amp; " = t4." &amp; AE98)</f>
        <v/>
      </c>
      <c r="BX98" t="str">
        <f t="shared" ref="BX98:BX129" ca="1" si="168">IF(AE98="","", "t3." &amp;AE98 )</f>
        <v/>
      </c>
      <c r="BY98" t="str">
        <f ca="1">IF(R98="","",IF(R98&gt;Options!$B$3,"ALTER TABLE "&amp;HELPER!$B$4&amp;" ADD COLUMNS ("&amp;A98&amp;" "&amp;C98&amp;")",""))</f>
        <v/>
      </c>
      <c r="BZ98" t="str">
        <f ca="1">IF(R98="","",IF(R98&gt;Options!$B$3,A98,""))</f>
        <v/>
      </c>
      <c r="CA98" t="str">
        <f ca="1">IF(R98="","",IF(R98&gt;Options!$B$3,B98,""))</f>
        <v/>
      </c>
      <c r="CB98" t="str">
        <f t="shared" ref="CB98:CB129" ca="1" si="169">IF(A98&lt;&gt;"","&lt;tr&gt;&lt;td&gt;" &amp; _xlfn.TEXTJOIN("&lt;td&gt;",FALSE,A98:K98) &amp; "&lt;/td&gt;&lt;/tr&gt;","")</f>
        <v/>
      </c>
      <c r="CC98">
        <f t="shared" ref="CC98:CC129" ca="1" si="170">IF(E98="4",1,0)</f>
        <v>0</v>
      </c>
      <c r="CD98" t="str">
        <f ca="1">IF(J98="","",Options!$B$23 &amp; "." &amp; J98)</f>
        <v/>
      </c>
    </row>
    <row r="99" spans="1:82">
      <c r="A99" s="161" t="str">
        <f t="array" aca="1" ref="A99" ca="1">IF(TRIM(INDIRECT("Columns!A99")) ="","",TRIM(INDIRECT("Columns!A99")))</f>
        <v/>
      </c>
      <c r="B99" s="161" t="str">
        <f t="shared" ca="1" si="138"/>
        <v/>
      </c>
      <c r="C99" s="161" t="str">
        <f t="shared" ca="1" si="139"/>
        <v/>
      </c>
      <c r="D99" s="161" t="str">
        <f t="shared" ca="1" si="140"/>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7" t="str">
        <f t="array" aca="1" ref="O99" ca="1">IF(TRIM(INDIRECT("Columns!B99"))="","",TRIM(INDIRECT("Columns!B99")))</f>
        <v/>
      </c>
      <c r="P99" s="227" t="str">
        <f t="array" aca="1" ref="P99" ca="1">IF(TRIM(INDIRECT("Columns!C99"))="","",TRIM(INDIRECT("Columns!C99")))</f>
        <v/>
      </c>
      <c r="Q99" s="227" t="str">
        <f t="array" aca="1" ref="Q99" ca="1">IF(TRIM(INDIRECT("Columns!D99"))="","",TRIM(INDIRECT("Columns!D99")))</f>
        <v/>
      </c>
      <c r="R99" s="227"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1">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2">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6"/>
        <v/>
      </c>
      <c r="AS99" t="str">
        <f ca="1">IF(A99="","",  HELPER!$B$94 &amp;  "." &amp; A99)</f>
        <v/>
      </c>
      <c r="AT99" t="str">
        <f t="shared" ca="1" si="154"/>
        <v/>
      </c>
      <c r="AU99" t="str">
        <f t="shared" ca="1" si="155"/>
        <v/>
      </c>
      <c r="AV99" s="190" t="str">
        <f t="shared" ca="1" si="156"/>
        <v/>
      </c>
      <c r="AW99" t="str">
        <f t="shared" ca="1" si="157"/>
        <v/>
      </c>
      <c r="AY99" t="str">
        <f t="shared" ca="1" si="158"/>
        <v/>
      </c>
      <c r="BF99" t="str">
        <f t="shared" ca="1" si="159"/>
        <v/>
      </c>
      <c r="BH99" s="285" t="str">
        <f t="shared" ref="BH99:BH129" ca="1" si="173">IF(G99="", IF(B99="","","COALESCE(" &amp; B99 &amp; "," &amp; IF(C99="string","''",0 ) &amp; ") AS " &amp; A99),G99 &amp; " AS " &amp;A99 )</f>
        <v/>
      </c>
      <c r="BI99" t="str">
        <f t="shared" ca="1" si="160"/>
        <v/>
      </c>
      <c r="BJ99" t="str">
        <f t="shared" ca="1" si="161"/>
        <v/>
      </c>
      <c r="BK99" t="str">
        <f t="shared" ref="BK99:BK129" ca="1" si="174">IF(A99="","", IF(OR(F99="1",E99="4", I99="1",H99="1"), IF(I99="1","-1",IF(C99="string","'missing'","0")),""))</f>
        <v/>
      </c>
      <c r="BM99" t="str">
        <f t="shared" ref="BM99:BM129" ca="1" si="175">IF(A99="","",IF(I99="1","",IF(C99&lt;&gt;D99, IF(AND(D99="string",C99="timestamp"),"cast(from_iso8601_timestamp(" &amp; BO99 &amp; ") as timestamp) AS " &amp; A99, IF(AND(D99="string",C99="date"),"cast( from_iso8601_timestamp(" &amp; BO99 &amp;") as date) AS " &amp; A99,"")),BO99 &amp; " AS " &amp; A99)))</f>
        <v/>
      </c>
      <c r="BN99" t="str">
        <f t="shared" ref="BN99:BN129" ca="1" si="176">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s="290" t="str">
        <f t="shared" ca="1" si="137"/>
        <v/>
      </c>
      <c r="BS99" t="str">
        <f t="shared" ca="1" si="164"/>
        <v/>
      </c>
      <c r="BT99" t="str">
        <f t="shared" ref="BT99:BT129" ca="1" si="177">IF(N99="","", SUBSTITUTE( SUBSTITUTE(BR99,"[:date_yyyy_mm_dd]", N99),"[:date_yyymm]",N99))</f>
        <v/>
      </c>
      <c r="BU99" t="str">
        <f t="shared" ca="1" si="165"/>
        <v/>
      </c>
      <c r="BV99">
        <f t="shared" ca="1" si="166"/>
        <v>0</v>
      </c>
      <c r="BW99" t="str">
        <f t="shared" ca="1" si="167"/>
        <v/>
      </c>
      <c r="BX99" t="str">
        <f t="shared" ca="1" si="168"/>
        <v/>
      </c>
      <c r="BY99" t="str">
        <f ca="1">IF(R99="","",IF(R99&gt;Options!$B$3,"ALTER TABLE "&amp;HELPER!$B$4&amp;" ADD COLUMNS ("&amp;A99&amp;" "&amp;C99&amp;")",""))</f>
        <v/>
      </c>
      <c r="BZ99" t="str">
        <f ca="1">IF(R99="","",IF(R99&gt;Options!$B$3,A99,""))</f>
        <v/>
      </c>
      <c r="CA99" t="str">
        <f ca="1">IF(R99="","",IF(R99&gt;Options!$B$3,B99,""))</f>
        <v/>
      </c>
      <c r="CB99" t="str">
        <f t="shared" ca="1" si="169"/>
        <v/>
      </c>
      <c r="CC99">
        <f t="shared" ca="1" si="170"/>
        <v>0</v>
      </c>
      <c r="CD99" t="str">
        <f ca="1">IF(J99="","",Options!$B$23 &amp; "." &amp; J99)</f>
        <v/>
      </c>
    </row>
    <row r="100" spans="1:82">
      <c r="A100" s="161" t="str">
        <f t="array" aca="1" ref="A100" ca="1">IF(TRIM(INDIRECT("Columns!A100")) ="","",TRIM(INDIRECT("Columns!A100")))</f>
        <v/>
      </c>
      <c r="B100" s="161" t="str">
        <f t="shared" ca="1" si="138"/>
        <v/>
      </c>
      <c r="C100" s="161" t="str">
        <f t="shared" ca="1" si="139"/>
        <v/>
      </c>
      <c r="D100" s="161" t="str">
        <f t="shared" ca="1" si="140"/>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7" t="str">
        <f t="array" aca="1" ref="O100" ca="1">IF(TRIM(INDIRECT("Columns!B100"))="","",TRIM(INDIRECT("Columns!B100")))</f>
        <v/>
      </c>
      <c r="P100" s="227" t="str">
        <f t="array" aca="1" ref="P100" ca="1">IF(TRIM(INDIRECT("Columns!C100"))="","",TRIM(INDIRECT("Columns!C100")))</f>
        <v/>
      </c>
      <c r="Q100" s="227" t="str">
        <f t="array" aca="1" ref="Q100" ca="1">IF(TRIM(INDIRECT("Columns!D100"))="","",TRIM(INDIRECT("Columns!D100")))</f>
        <v/>
      </c>
      <c r="R100" s="227"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1"/>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2"/>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8">IF(A100="","", IF(E100="4", IF(AN100="","",AN100 &amp; " = " &amp; AO100),""))</f>
        <v/>
      </c>
      <c r="AS100" t="str">
        <f ca="1">IF(A100="","",  HELPER!$B$94 &amp;  "." &amp; A100)</f>
        <v/>
      </c>
      <c r="AT100" t="str">
        <f t="shared" ca="1" si="154"/>
        <v/>
      </c>
      <c r="AU100" t="str">
        <f t="shared" ca="1" si="155"/>
        <v/>
      </c>
      <c r="AV100" s="190" t="str">
        <f t="shared" ca="1" si="156"/>
        <v/>
      </c>
      <c r="AW100" t="str">
        <f t="shared" ca="1" si="157"/>
        <v/>
      </c>
      <c r="AY100" t="str">
        <f t="shared" ca="1" si="158"/>
        <v/>
      </c>
      <c r="BF100" t="str">
        <f t="shared" ca="1" si="159"/>
        <v/>
      </c>
      <c r="BH100" s="285" t="str">
        <f t="shared" ca="1" si="173"/>
        <v/>
      </c>
      <c r="BI100" t="str">
        <f t="shared" ca="1" si="160"/>
        <v/>
      </c>
      <c r="BJ100" t="str">
        <f t="shared" ca="1" si="161"/>
        <v/>
      </c>
      <c r="BK100" t="str">
        <f t="shared" ca="1" si="174"/>
        <v/>
      </c>
      <c r="BM100" t="str">
        <f t="shared" ca="1" si="175"/>
        <v/>
      </c>
      <c r="BN100" t="str">
        <f t="shared" ca="1" si="176"/>
        <v/>
      </c>
      <c r="BO100" t="str">
        <f t="shared" ca="1" si="162"/>
        <v/>
      </c>
      <c r="BP100" t="b">
        <f ca="1">COUNTIF(COLHELPER!A100:'COLHELPER'!A100,COLHELPER!A100)&gt;1</f>
        <v>0</v>
      </c>
      <c r="BQ100">
        <f t="shared" ca="1" si="163"/>
        <v>0</v>
      </c>
      <c r="BR100" s="290" t="str">
        <f t="shared" ca="1" si="137"/>
        <v/>
      </c>
      <c r="BS100" t="str">
        <f t="shared" ca="1" si="164"/>
        <v/>
      </c>
      <c r="BT100" t="str">
        <f t="shared" ca="1" si="177"/>
        <v/>
      </c>
      <c r="BU100" t="str">
        <f t="shared" ca="1" si="165"/>
        <v/>
      </c>
      <c r="BV100">
        <f t="shared" ca="1" si="166"/>
        <v>0</v>
      </c>
      <c r="BW100" t="str">
        <f t="shared" ca="1" si="167"/>
        <v/>
      </c>
      <c r="BX100" t="str">
        <f t="shared" ca="1" si="168"/>
        <v/>
      </c>
      <c r="BY100" t="str">
        <f ca="1">IF(R100="","",IF(R100&gt;Options!$B$3,"ALTER TABLE "&amp;HELPER!$B$4&amp;" ADD COLUMNS ("&amp;A100&amp;" "&amp;C100&amp;")",""))</f>
        <v/>
      </c>
      <c r="BZ100" t="str">
        <f ca="1">IF(R100="","",IF(R100&gt;Options!$B$3,A100,""))</f>
        <v/>
      </c>
      <c r="CA100" t="str">
        <f ca="1">IF(R100="","",IF(R100&gt;Options!$B$3,B100,""))</f>
        <v/>
      </c>
      <c r="CB100" t="str">
        <f t="shared" ca="1" si="169"/>
        <v/>
      </c>
      <c r="CC100">
        <f t="shared" ca="1" si="170"/>
        <v>0</v>
      </c>
      <c r="CD100" t="str">
        <f ca="1">IF(J100="","",Options!$B$23 &amp; "." &amp; J100)</f>
        <v/>
      </c>
    </row>
    <row r="101" spans="1:82">
      <c r="A101" s="161" t="str">
        <f t="array" aca="1" ref="A101" ca="1">IF(TRIM(INDIRECT("Columns!A101")) ="","",TRIM(INDIRECT("Columns!A101")))</f>
        <v/>
      </c>
      <c r="B101" s="161" t="str">
        <f t="shared" ca="1" si="138"/>
        <v/>
      </c>
      <c r="C101" s="161" t="str">
        <f t="shared" ca="1" si="139"/>
        <v/>
      </c>
      <c r="D101" s="161" t="str">
        <f t="shared" ca="1" si="140"/>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7" t="str">
        <f t="array" aca="1" ref="O101" ca="1">IF(TRIM(INDIRECT("Columns!B101"))="","",TRIM(INDIRECT("Columns!B101")))</f>
        <v/>
      </c>
      <c r="P101" s="227" t="str">
        <f t="array" aca="1" ref="P101" ca="1">IF(TRIM(INDIRECT("Columns!C101"))="","",TRIM(INDIRECT("Columns!C101")))</f>
        <v/>
      </c>
      <c r="Q101" s="227" t="str">
        <f t="array" aca="1" ref="Q101" ca="1">IF(TRIM(INDIRECT("Columns!D101"))="","",TRIM(INDIRECT("Columns!D101")))</f>
        <v/>
      </c>
      <c r="R101" s="227"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1"/>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2"/>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8"/>
        <v/>
      </c>
      <c r="AS101" t="str">
        <f ca="1">IF(A101="","",  HELPER!$B$94 &amp;  "." &amp; A101)</f>
        <v/>
      </c>
      <c r="AT101" t="str">
        <f t="shared" ca="1" si="154"/>
        <v/>
      </c>
      <c r="AU101" t="str">
        <f t="shared" ca="1" si="155"/>
        <v/>
      </c>
      <c r="AV101" s="190" t="str">
        <f t="shared" ca="1" si="156"/>
        <v/>
      </c>
      <c r="AW101" t="str">
        <f t="shared" ca="1" si="157"/>
        <v/>
      </c>
      <c r="AY101" t="str">
        <f t="shared" ca="1" si="158"/>
        <v/>
      </c>
      <c r="BF101" t="str">
        <f t="shared" ca="1" si="159"/>
        <v/>
      </c>
      <c r="BH101" s="285" t="str">
        <f t="shared" ca="1" si="173"/>
        <v/>
      </c>
      <c r="BI101" t="str">
        <f t="shared" ca="1" si="160"/>
        <v/>
      </c>
      <c r="BJ101" t="str">
        <f t="shared" ca="1" si="161"/>
        <v/>
      </c>
      <c r="BK101" t="str">
        <f t="shared" ca="1" si="174"/>
        <v/>
      </c>
      <c r="BM101" t="str">
        <f t="shared" ca="1" si="175"/>
        <v/>
      </c>
      <c r="BN101" t="str">
        <f t="shared" ca="1" si="176"/>
        <v/>
      </c>
      <c r="BO101" t="str">
        <f t="shared" ca="1" si="162"/>
        <v/>
      </c>
      <c r="BP101" t="b">
        <f ca="1">COUNTIF(COLHELPER!A101:'COLHELPER'!A101,COLHELPER!A101)&gt;1</f>
        <v>0</v>
      </c>
      <c r="BQ101">
        <f t="shared" ca="1" si="163"/>
        <v>0</v>
      </c>
      <c r="BR101" s="290" t="str">
        <f t="shared" ca="1" si="137"/>
        <v/>
      </c>
      <c r="BS101" t="str">
        <f t="shared" ca="1" si="164"/>
        <v/>
      </c>
      <c r="BT101" t="str">
        <f t="shared" ca="1" si="177"/>
        <v/>
      </c>
      <c r="BU101" t="str">
        <f t="shared" ca="1" si="165"/>
        <v/>
      </c>
      <c r="BV101">
        <f t="shared" ca="1" si="166"/>
        <v>0</v>
      </c>
      <c r="BW101" t="str">
        <f t="shared" ca="1" si="167"/>
        <v/>
      </c>
      <c r="BX101" t="str">
        <f t="shared" ca="1" si="168"/>
        <v/>
      </c>
      <c r="BY101" t="str">
        <f ca="1">IF(R101="","",IF(R101&gt;Options!$B$3,"ALTER TABLE "&amp;HELPER!$B$4&amp;" ADD COLUMNS ("&amp;A101&amp;" "&amp;C101&amp;")",""))</f>
        <v/>
      </c>
      <c r="BZ101" t="str">
        <f ca="1">IF(R101="","",IF(R101&gt;Options!$B$3,A101,""))</f>
        <v/>
      </c>
      <c r="CA101" t="str">
        <f ca="1">IF(R101="","",IF(R101&gt;Options!$B$3,B101,""))</f>
        <v/>
      </c>
      <c r="CB101" t="str">
        <f t="shared" ca="1" si="169"/>
        <v/>
      </c>
      <c r="CC101">
        <f t="shared" ca="1" si="170"/>
        <v>0</v>
      </c>
      <c r="CD101" t="str">
        <f ca="1">IF(J101="","",Options!$B$23 &amp; "." &amp; J101)</f>
        <v/>
      </c>
    </row>
    <row r="102" spans="1:82">
      <c r="A102" s="161" t="str">
        <f t="array" aca="1" ref="A102" ca="1">IF(TRIM(INDIRECT("Columns!A102")) ="","",TRIM(INDIRECT("Columns!A102")))</f>
        <v/>
      </c>
      <c r="B102" s="161" t="str">
        <f t="shared" ca="1" si="138"/>
        <v/>
      </c>
      <c r="C102" s="161" t="str">
        <f t="shared" ca="1" si="139"/>
        <v/>
      </c>
      <c r="D102" s="161" t="str">
        <f t="shared" ca="1" si="140"/>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7" t="str">
        <f t="array" aca="1" ref="O102" ca="1">IF(TRIM(INDIRECT("Columns!B102"))="","",TRIM(INDIRECT("Columns!B102")))</f>
        <v/>
      </c>
      <c r="P102" s="227" t="str">
        <f t="array" aca="1" ref="P102" ca="1">IF(TRIM(INDIRECT("Columns!C102"))="","",TRIM(INDIRECT("Columns!C102")))</f>
        <v/>
      </c>
      <c r="Q102" s="227" t="str">
        <f t="array" aca="1" ref="Q102" ca="1">IF(TRIM(INDIRECT("Columns!D102"))="","",TRIM(INDIRECT("Columns!D102")))</f>
        <v/>
      </c>
      <c r="R102" s="227"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1"/>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2"/>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8"/>
        <v/>
      </c>
      <c r="AS102" t="str">
        <f ca="1">IF(A102="","",  HELPER!$B$94 &amp;  "." &amp; A102)</f>
        <v/>
      </c>
      <c r="AT102" t="str">
        <f t="shared" ca="1" si="154"/>
        <v/>
      </c>
      <c r="AU102" t="str">
        <f t="shared" ca="1" si="155"/>
        <v/>
      </c>
      <c r="AV102" s="190" t="str">
        <f t="shared" ca="1" si="156"/>
        <v/>
      </c>
      <c r="AW102" t="str">
        <f t="shared" ca="1" si="157"/>
        <v/>
      </c>
      <c r="AY102" t="str">
        <f t="shared" ca="1" si="158"/>
        <v/>
      </c>
      <c r="BF102" t="str">
        <f t="shared" ca="1" si="159"/>
        <v/>
      </c>
      <c r="BH102" s="285" t="str">
        <f t="shared" ca="1" si="173"/>
        <v/>
      </c>
      <c r="BI102" t="str">
        <f t="shared" ca="1" si="160"/>
        <v/>
      </c>
      <c r="BJ102" t="str">
        <f t="shared" ca="1" si="161"/>
        <v/>
      </c>
      <c r="BK102" t="str">
        <f t="shared" ca="1" si="174"/>
        <v/>
      </c>
      <c r="BM102" t="str">
        <f t="shared" ca="1" si="175"/>
        <v/>
      </c>
      <c r="BN102" t="str">
        <f t="shared" ca="1" si="176"/>
        <v/>
      </c>
      <c r="BO102" t="str">
        <f t="shared" ca="1" si="162"/>
        <v/>
      </c>
      <c r="BP102" t="b">
        <f ca="1">COUNTIF(COLHELPER!A102:'COLHELPER'!A102,COLHELPER!A102)&gt;1</f>
        <v>0</v>
      </c>
      <c r="BQ102">
        <f t="shared" ca="1" si="163"/>
        <v>0</v>
      </c>
      <c r="BR102" s="290" t="str">
        <f t="shared" ca="1" si="137"/>
        <v/>
      </c>
      <c r="BS102" t="str">
        <f t="shared" ca="1" si="164"/>
        <v/>
      </c>
      <c r="BT102" t="str">
        <f t="shared" ca="1" si="177"/>
        <v/>
      </c>
      <c r="BU102" t="str">
        <f t="shared" ca="1" si="165"/>
        <v/>
      </c>
      <c r="BV102">
        <f t="shared" ca="1" si="166"/>
        <v>0</v>
      </c>
      <c r="BW102" t="str">
        <f t="shared" ca="1" si="167"/>
        <v/>
      </c>
      <c r="BX102" t="str">
        <f t="shared" ca="1" si="168"/>
        <v/>
      </c>
      <c r="BY102" t="str">
        <f ca="1">IF(R102="","",IF(R102&gt;Options!$B$3,"ALTER TABLE "&amp;HELPER!$B$4&amp;" ADD COLUMNS ("&amp;A102&amp;" "&amp;C102&amp;")",""))</f>
        <v/>
      </c>
      <c r="BZ102" t="str">
        <f ca="1">IF(R102="","",IF(R102&gt;Options!$B$3,A102,""))</f>
        <v/>
      </c>
      <c r="CA102" t="str">
        <f ca="1">IF(R102="","",IF(R102&gt;Options!$B$3,B102,""))</f>
        <v/>
      </c>
      <c r="CB102" t="str">
        <f t="shared" ca="1" si="169"/>
        <v/>
      </c>
      <c r="CC102">
        <f t="shared" ca="1" si="170"/>
        <v>0</v>
      </c>
      <c r="CD102" t="str">
        <f ca="1">IF(J102="","",Options!$B$23 &amp; "." &amp; J102)</f>
        <v/>
      </c>
    </row>
    <row r="103" spans="1:82">
      <c r="A103" s="161" t="str">
        <f t="array" aca="1" ref="A103" ca="1">IF(TRIM(INDIRECT("Columns!A103")) ="","",TRIM(INDIRECT("Columns!A103")))</f>
        <v/>
      </c>
      <c r="B103" s="161" t="str">
        <f t="shared" ca="1" si="138"/>
        <v/>
      </c>
      <c r="C103" s="161" t="str">
        <f t="shared" ca="1" si="139"/>
        <v/>
      </c>
      <c r="D103" s="161" t="str">
        <f t="shared" ca="1" si="140"/>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7" t="str">
        <f t="array" aca="1" ref="O103" ca="1">IF(TRIM(INDIRECT("Columns!B103"))="","",TRIM(INDIRECT("Columns!B103")))</f>
        <v/>
      </c>
      <c r="P103" s="227" t="str">
        <f t="array" aca="1" ref="P103" ca="1">IF(TRIM(INDIRECT("Columns!C103"))="","",TRIM(INDIRECT("Columns!C103")))</f>
        <v/>
      </c>
      <c r="Q103" s="227" t="str">
        <f t="array" aca="1" ref="Q103" ca="1">IF(TRIM(INDIRECT("Columns!D103"))="","",TRIM(INDIRECT("Columns!D103")))</f>
        <v/>
      </c>
      <c r="R103" s="227"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1"/>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2"/>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8"/>
        <v/>
      </c>
      <c r="AS103" t="str">
        <f ca="1">IF(A103="","",  HELPER!$B$94 &amp;  "." &amp; A103)</f>
        <v/>
      </c>
      <c r="AT103" t="str">
        <f t="shared" ca="1" si="154"/>
        <v/>
      </c>
      <c r="AU103" t="str">
        <f t="shared" ca="1" si="155"/>
        <v/>
      </c>
      <c r="AV103" s="190" t="str">
        <f t="shared" ca="1" si="156"/>
        <v/>
      </c>
      <c r="AW103" t="str">
        <f t="shared" ca="1" si="157"/>
        <v/>
      </c>
      <c r="AY103" t="str">
        <f t="shared" ca="1" si="158"/>
        <v/>
      </c>
      <c r="BF103" t="str">
        <f t="shared" ca="1" si="159"/>
        <v/>
      </c>
      <c r="BH103" s="285" t="str">
        <f t="shared" ca="1" si="173"/>
        <v/>
      </c>
      <c r="BI103" t="str">
        <f t="shared" ca="1" si="160"/>
        <v/>
      </c>
      <c r="BJ103" t="str">
        <f t="shared" ca="1" si="161"/>
        <v/>
      </c>
      <c r="BK103" t="str">
        <f t="shared" ca="1" si="174"/>
        <v/>
      </c>
      <c r="BM103" t="str">
        <f t="shared" ca="1" si="175"/>
        <v/>
      </c>
      <c r="BN103" t="str">
        <f t="shared" ca="1" si="176"/>
        <v/>
      </c>
      <c r="BO103" t="str">
        <f t="shared" ca="1" si="162"/>
        <v/>
      </c>
      <c r="BP103" t="b">
        <f ca="1">COUNTIF(COLHELPER!A103:'COLHELPER'!A103,COLHELPER!A103)&gt;1</f>
        <v>0</v>
      </c>
      <c r="BQ103">
        <f t="shared" ca="1" si="163"/>
        <v>0</v>
      </c>
      <c r="BR103" s="290" t="str">
        <f t="shared" ca="1" si="137"/>
        <v/>
      </c>
      <c r="BS103" t="str">
        <f t="shared" ca="1" si="164"/>
        <v/>
      </c>
      <c r="BT103" t="str">
        <f t="shared" ca="1" si="177"/>
        <v/>
      </c>
      <c r="BU103" t="str">
        <f t="shared" ca="1" si="165"/>
        <v/>
      </c>
      <c r="BV103">
        <f t="shared" ca="1" si="166"/>
        <v>0</v>
      </c>
      <c r="BW103" t="str">
        <f t="shared" ca="1" si="167"/>
        <v/>
      </c>
      <c r="BX103" t="str">
        <f t="shared" ca="1" si="168"/>
        <v/>
      </c>
      <c r="BY103" t="str">
        <f ca="1">IF(R103="","",IF(R103&gt;Options!$B$3,"ALTER TABLE "&amp;HELPER!$B$4&amp;" ADD COLUMNS ("&amp;A103&amp;" "&amp;C103&amp;")",""))</f>
        <v/>
      </c>
      <c r="BZ103" t="str">
        <f ca="1">IF(R103="","",IF(R103&gt;Options!$B$3,A103,""))</f>
        <v/>
      </c>
      <c r="CA103" t="str">
        <f ca="1">IF(R103="","",IF(R103&gt;Options!$B$3,B103,""))</f>
        <v/>
      </c>
      <c r="CB103" t="str">
        <f t="shared" ca="1" si="169"/>
        <v/>
      </c>
      <c r="CC103">
        <f t="shared" ca="1" si="170"/>
        <v>0</v>
      </c>
      <c r="CD103" t="str">
        <f ca="1">IF(J103="","",Options!$B$23 &amp; "." &amp; J103)</f>
        <v/>
      </c>
    </row>
    <row r="104" spans="1:82">
      <c r="A104" s="161" t="str">
        <f t="array" aca="1" ref="A104" ca="1">IF(TRIM(INDIRECT("Columns!A104")) ="","",TRIM(INDIRECT("Columns!A104")))</f>
        <v/>
      </c>
      <c r="B104" s="161" t="str">
        <f t="shared" ca="1" si="138"/>
        <v/>
      </c>
      <c r="C104" s="161" t="str">
        <f t="shared" ca="1" si="139"/>
        <v/>
      </c>
      <c r="D104" s="161" t="str">
        <f t="shared" ca="1" si="140"/>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7" t="str">
        <f t="array" aca="1" ref="O104" ca="1">IF(TRIM(INDIRECT("Columns!B104"))="","",TRIM(INDIRECT("Columns!B104")))</f>
        <v/>
      </c>
      <c r="P104" s="227" t="str">
        <f t="array" aca="1" ref="P104" ca="1">IF(TRIM(INDIRECT("Columns!C104"))="","",TRIM(INDIRECT("Columns!C104")))</f>
        <v/>
      </c>
      <c r="Q104" s="227" t="str">
        <f t="array" aca="1" ref="Q104" ca="1">IF(TRIM(INDIRECT("Columns!D104"))="","",TRIM(INDIRECT("Columns!D104")))</f>
        <v/>
      </c>
      <c r="R104" s="227"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1"/>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2"/>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8"/>
        <v/>
      </c>
      <c r="AS104" t="str">
        <f ca="1">IF(A104="","",  HELPER!$B$94 &amp;  "." &amp; A104)</f>
        <v/>
      </c>
      <c r="AT104" t="str">
        <f t="shared" ca="1" si="154"/>
        <v/>
      </c>
      <c r="AU104" t="str">
        <f t="shared" ca="1" si="155"/>
        <v/>
      </c>
      <c r="AV104" s="190" t="str">
        <f t="shared" ca="1" si="156"/>
        <v/>
      </c>
      <c r="AW104" t="str">
        <f t="shared" ca="1" si="157"/>
        <v/>
      </c>
      <c r="AY104" t="str">
        <f t="shared" ca="1" si="158"/>
        <v/>
      </c>
      <c r="BF104" t="str">
        <f t="shared" ca="1" si="159"/>
        <v/>
      </c>
      <c r="BH104" s="285" t="str">
        <f t="shared" ca="1" si="173"/>
        <v/>
      </c>
      <c r="BI104" t="str">
        <f t="shared" ca="1" si="160"/>
        <v/>
      </c>
      <c r="BJ104" t="str">
        <f t="shared" ca="1" si="161"/>
        <v/>
      </c>
      <c r="BK104" t="str">
        <f t="shared" ca="1" si="174"/>
        <v/>
      </c>
      <c r="BM104" t="str">
        <f t="shared" ca="1" si="175"/>
        <v/>
      </c>
      <c r="BN104" t="str">
        <f t="shared" ca="1" si="176"/>
        <v/>
      </c>
      <c r="BO104" t="str">
        <f t="shared" ca="1" si="162"/>
        <v/>
      </c>
      <c r="BP104" t="b">
        <f ca="1">COUNTIF(COLHELPER!A104:'COLHELPER'!A104,COLHELPER!A104)&gt;1</f>
        <v>0</v>
      </c>
      <c r="BQ104">
        <f t="shared" ca="1" si="163"/>
        <v>0</v>
      </c>
      <c r="BR104" s="290" t="str">
        <f t="shared" ca="1" si="137"/>
        <v/>
      </c>
      <c r="BS104" t="str">
        <f t="shared" ca="1" si="164"/>
        <v/>
      </c>
      <c r="BT104" t="str">
        <f t="shared" ca="1" si="177"/>
        <v/>
      </c>
      <c r="BU104" t="str">
        <f t="shared" ca="1" si="165"/>
        <v/>
      </c>
      <c r="BV104">
        <f t="shared" ca="1" si="166"/>
        <v>0</v>
      </c>
      <c r="BW104" t="str">
        <f t="shared" ca="1" si="167"/>
        <v/>
      </c>
      <c r="BX104" t="str">
        <f t="shared" ca="1" si="168"/>
        <v/>
      </c>
      <c r="BY104" t="str">
        <f ca="1">IF(R104="","",IF(R104&gt;Options!$B$3,"ALTER TABLE "&amp;HELPER!$B$4&amp;" ADD COLUMNS ("&amp;A104&amp;" "&amp;C104&amp;")",""))</f>
        <v/>
      </c>
      <c r="BZ104" t="str">
        <f ca="1">IF(R104="","",IF(R104&gt;Options!$B$3,A104,""))</f>
        <v/>
      </c>
      <c r="CA104" t="str">
        <f ca="1">IF(R104="","",IF(R104&gt;Options!$B$3,B104,""))</f>
        <v/>
      </c>
      <c r="CB104" t="str">
        <f t="shared" ca="1" si="169"/>
        <v/>
      </c>
      <c r="CC104">
        <f t="shared" ca="1" si="170"/>
        <v>0</v>
      </c>
      <c r="CD104" t="str">
        <f ca="1">IF(J104="","",Options!$B$23 &amp; "." &amp; J104)</f>
        <v/>
      </c>
    </row>
    <row r="105" spans="1:82">
      <c r="A105" s="161" t="str">
        <f t="array" aca="1" ref="A105" ca="1">IF(TRIM(INDIRECT("Columns!A105")) ="","",TRIM(INDIRECT("Columns!A105")))</f>
        <v/>
      </c>
      <c r="B105" s="161" t="str">
        <f t="shared" ca="1" si="138"/>
        <v/>
      </c>
      <c r="C105" s="161" t="str">
        <f t="shared" ca="1" si="139"/>
        <v/>
      </c>
      <c r="D105" s="161" t="str">
        <f t="shared" ca="1" si="140"/>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7" t="str">
        <f t="array" aca="1" ref="O105" ca="1">IF(TRIM(INDIRECT("Columns!B105"))="","",TRIM(INDIRECT("Columns!B105")))</f>
        <v/>
      </c>
      <c r="P105" s="227" t="str">
        <f t="array" aca="1" ref="P105" ca="1">IF(TRIM(INDIRECT("Columns!C105"))="","",TRIM(INDIRECT("Columns!C105")))</f>
        <v/>
      </c>
      <c r="Q105" s="227" t="str">
        <f t="array" aca="1" ref="Q105" ca="1">IF(TRIM(INDIRECT("Columns!D105"))="","",TRIM(INDIRECT("Columns!D105")))</f>
        <v/>
      </c>
      <c r="R105" s="227"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1"/>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2"/>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8"/>
        <v/>
      </c>
      <c r="AS105" t="str">
        <f ca="1">IF(A105="","",  HELPER!$B$94 &amp;  "." &amp; A105)</f>
        <v/>
      </c>
      <c r="AT105" t="str">
        <f t="shared" ca="1" si="154"/>
        <v/>
      </c>
      <c r="AU105" t="str">
        <f t="shared" ca="1" si="155"/>
        <v/>
      </c>
      <c r="AV105" s="190" t="str">
        <f t="shared" ca="1" si="156"/>
        <v/>
      </c>
      <c r="AW105" t="str">
        <f t="shared" ca="1" si="157"/>
        <v/>
      </c>
      <c r="AY105" t="str">
        <f t="shared" ca="1" si="158"/>
        <v/>
      </c>
      <c r="BF105" t="str">
        <f t="shared" ca="1" si="159"/>
        <v/>
      </c>
      <c r="BH105" s="285" t="str">
        <f t="shared" ca="1" si="173"/>
        <v/>
      </c>
      <c r="BI105" t="str">
        <f t="shared" ca="1" si="160"/>
        <v/>
      </c>
      <c r="BJ105" t="str">
        <f t="shared" ca="1" si="161"/>
        <v/>
      </c>
      <c r="BK105" t="str">
        <f t="shared" ca="1" si="174"/>
        <v/>
      </c>
      <c r="BM105" t="str">
        <f t="shared" ca="1" si="175"/>
        <v/>
      </c>
      <c r="BN105" t="str">
        <f t="shared" ca="1" si="176"/>
        <v/>
      </c>
      <c r="BO105" t="str">
        <f t="shared" ca="1" si="162"/>
        <v/>
      </c>
      <c r="BP105" t="b">
        <f ca="1">COUNTIF(COLHELPER!A105:'COLHELPER'!A105,COLHELPER!A105)&gt;1</f>
        <v>0</v>
      </c>
      <c r="BQ105">
        <f t="shared" ca="1" si="163"/>
        <v>0</v>
      </c>
      <c r="BR105" s="290" t="str">
        <f t="shared" ca="1" si="137"/>
        <v/>
      </c>
      <c r="BS105" t="str">
        <f t="shared" ca="1" si="164"/>
        <v/>
      </c>
      <c r="BT105" t="str">
        <f t="shared" ca="1" si="177"/>
        <v/>
      </c>
      <c r="BU105" t="str">
        <f t="shared" ca="1" si="165"/>
        <v/>
      </c>
      <c r="BV105">
        <f t="shared" ca="1" si="166"/>
        <v>0</v>
      </c>
      <c r="BW105" t="str">
        <f t="shared" ca="1" si="167"/>
        <v/>
      </c>
      <c r="BX105" t="str">
        <f t="shared" ca="1" si="168"/>
        <v/>
      </c>
      <c r="BY105" t="str">
        <f ca="1">IF(R105="","",IF(R105&gt;Options!$B$3,"ALTER TABLE "&amp;HELPER!$B$4&amp;" ADD COLUMNS ("&amp;A105&amp;" "&amp;C105&amp;")",""))</f>
        <v/>
      </c>
      <c r="BZ105" t="str">
        <f ca="1">IF(R105="","",IF(R105&gt;Options!$B$3,A105,""))</f>
        <v/>
      </c>
      <c r="CA105" t="str">
        <f ca="1">IF(R105="","",IF(R105&gt;Options!$B$3,B105,""))</f>
        <v/>
      </c>
      <c r="CB105" t="str">
        <f t="shared" ca="1" si="169"/>
        <v/>
      </c>
      <c r="CC105">
        <f t="shared" ca="1" si="170"/>
        <v>0</v>
      </c>
      <c r="CD105" t="str">
        <f ca="1">IF(J105="","",Options!$B$23 &amp; "." &amp; J105)</f>
        <v/>
      </c>
    </row>
    <row r="106" spans="1:82">
      <c r="A106" s="161" t="str">
        <f t="array" aca="1" ref="A106" ca="1">IF(TRIM(INDIRECT("Columns!A106")) ="","",TRIM(INDIRECT("Columns!A106")))</f>
        <v/>
      </c>
      <c r="B106" s="161" t="str">
        <f t="shared" ca="1" si="138"/>
        <v/>
      </c>
      <c r="C106" s="161" t="str">
        <f t="shared" ca="1" si="139"/>
        <v/>
      </c>
      <c r="D106" s="161" t="str">
        <f t="shared" ca="1" si="140"/>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7" t="str">
        <f t="array" aca="1" ref="O106" ca="1">IF(TRIM(INDIRECT("Columns!B106"))="","",TRIM(INDIRECT("Columns!B106")))</f>
        <v/>
      </c>
      <c r="P106" s="227" t="str">
        <f t="array" aca="1" ref="P106" ca="1">IF(TRIM(INDIRECT("Columns!C106"))="","",TRIM(INDIRECT("Columns!C106")))</f>
        <v/>
      </c>
      <c r="Q106" s="227" t="str">
        <f t="array" aca="1" ref="Q106" ca="1">IF(TRIM(INDIRECT("Columns!D106"))="","",TRIM(INDIRECT("Columns!D106")))</f>
        <v/>
      </c>
      <c r="R106" s="227"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1"/>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2"/>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8"/>
        <v/>
      </c>
      <c r="AS106" t="str">
        <f ca="1">IF(A106="","",  HELPER!$B$94 &amp;  "." &amp; A106)</f>
        <v/>
      </c>
      <c r="AT106" t="str">
        <f t="shared" ca="1" si="154"/>
        <v/>
      </c>
      <c r="AU106" t="str">
        <f t="shared" ca="1" si="155"/>
        <v/>
      </c>
      <c r="AV106" s="190" t="str">
        <f t="shared" ca="1" si="156"/>
        <v/>
      </c>
      <c r="AW106" t="str">
        <f t="shared" ca="1" si="157"/>
        <v/>
      </c>
      <c r="AY106" t="str">
        <f t="shared" ca="1" si="158"/>
        <v/>
      </c>
      <c r="BF106" t="str">
        <f t="shared" ca="1" si="159"/>
        <v/>
      </c>
      <c r="BH106" s="285" t="str">
        <f t="shared" ca="1" si="173"/>
        <v/>
      </c>
      <c r="BI106" t="str">
        <f t="shared" ca="1" si="160"/>
        <v/>
      </c>
      <c r="BJ106" t="str">
        <f t="shared" ca="1" si="161"/>
        <v/>
      </c>
      <c r="BK106" t="str">
        <f t="shared" ca="1" si="174"/>
        <v/>
      </c>
      <c r="BM106" t="str">
        <f t="shared" ca="1" si="175"/>
        <v/>
      </c>
      <c r="BN106" t="str">
        <f t="shared" ca="1" si="176"/>
        <v/>
      </c>
      <c r="BO106" t="str">
        <f t="shared" ca="1" si="162"/>
        <v/>
      </c>
      <c r="BP106" t="b">
        <f ca="1">COUNTIF(COLHELPER!A106:'COLHELPER'!A106,COLHELPER!A106)&gt;1</f>
        <v>0</v>
      </c>
      <c r="BQ106">
        <f t="shared" ca="1" si="163"/>
        <v>0</v>
      </c>
      <c r="BR106" s="290" t="str">
        <f t="shared" ca="1" si="137"/>
        <v/>
      </c>
      <c r="BS106" t="str">
        <f t="shared" ca="1" si="164"/>
        <v/>
      </c>
      <c r="BT106" t="str">
        <f t="shared" ca="1" si="177"/>
        <v/>
      </c>
      <c r="BU106" t="str">
        <f t="shared" ca="1" si="165"/>
        <v/>
      </c>
      <c r="BV106">
        <f t="shared" ca="1" si="166"/>
        <v>0</v>
      </c>
      <c r="BW106" t="str">
        <f t="shared" ca="1" si="167"/>
        <v/>
      </c>
      <c r="BX106" t="str">
        <f t="shared" ca="1" si="168"/>
        <v/>
      </c>
      <c r="BY106" t="str">
        <f ca="1">IF(R106="","",IF(R106&gt;Options!$B$3,"ALTER TABLE "&amp;HELPER!$B$4&amp;" ADD COLUMNS ("&amp;A106&amp;" "&amp;C106&amp;")",""))</f>
        <v/>
      </c>
      <c r="BZ106" t="str">
        <f ca="1">IF(R106="","",IF(R106&gt;Options!$B$3,A106,""))</f>
        <v/>
      </c>
      <c r="CA106" t="str">
        <f ca="1">IF(R106="","",IF(R106&gt;Options!$B$3,B106,""))</f>
        <v/>
      </c>
      <c r="CB106" t="str">
        <f t="shared" ca="1" si="169"/>
        <v/>
      </c>
      <c r="CC106">
        <f t="shared" ca="1" si="170"/>
        <v>0</v>
      </c>
      <c r="CD106" t="str">
        <f ca="1">IF(J106="","",Options!$B$23 &amp; "." &amp; J106)</f>
        <v/>
      </c>
    </row>
    <row r="107" spans="1:82">
      <c r="A107" s="161" t="str">
        <f t="array" aca="1" ref="A107" ca="1">IF(TRIM(INDIRECT("Columns!A107")) ="","",TRIM(INDIRECT("Columns!A107")))</f>
        <v/>
      </c>
      <c r="B107" s="161" t="str">
        <f t="shared" ca="1" si="138"/>
        <v/>
      </c>
      <c r="C107" s="161" t="str">
        <f t="shared" ca="1" si="139"/>
        <v/>
      </c>
      <c r="D107" s="161" t="str">
        <f t="shared" ca="1" si="140"/>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7" t="str">
        <f t="array" aca="1" ref="O107" ca="1">IF(TRIM(INDIRECT("Columns!B107"))="","",TRIM(INDIRECT("Columns!B107")))</f>
        <v/>
      </c>
      <c r="P107" s="227" t="str">
        <f t="array" aca="1" ref="P107" ca="1">IF(TRIM(INDIRECT("Columns!C107"))="","",TRIM(INDIRECT("Columns!C107")))</f>
        <v/>
      </c>
      <c r="Q107" s="227" t="str">
        <f t="array" aca="1" ref="Q107" ca="1">IF(TRIM(INDIRECT("Columns!D107"))="","",TRIM(INDIRECT("Columns!D107")))</f>
        <v/>
      </c>
      <c r="R107" s="227"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1"/>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2"/>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8"/>
        <v/>
      </c>
      <c r="AS107" t="str">
        <f ca="1">IF(A107="","",  HELPER!$B$94 &amp;  "." &amp; A107)</f>
        <v/>
      </c>
      <c r="AT107" t="str">
        <f t="shared" ca="1" si="154"/>
        <v/>
      </c>
      <c r="AU107" t="str">
        <f t="shared" ca="1" si="155"/>
        <v/>
      </c>
      <c r="AV107" s="190" t="str">
        <f t="shared" ca="1" si="156"/>
        <v/>
      </c>
      <c r="AW107" t="str">
        <f t="shared" ca="1" si="157"/>
        <v/>
      </c>
      <c r="AY107" t="str">
        <f t="shared" ca="1" si="158"/>
        <v/>
      </c>
      <c r="BF107" t="str">
        <f t="shared" ca="1" si="159"/>
        <v/>
      </c>
      <c r="BH107" s="285" t="str">
        <f t="shared" ca="1" si="173"/>
        <v/>
      </c>
      <c r="BI107" t="str">
        <f t="shared" ca="1" si="160"/>
        <v/>
      </c>
      <c r="BJ107" t="str">
        <f t="shared" ca="1" si="161"/>
        <v/>
      </c>
      <c r="BK107" t="str">
        <f t="shared" ca="1" si="174"/>
        <v/>
      </c>
      <c r="BM107" t="str">
        <f t="shared" ca="1" si="175"/>
        <v/>
      </c>
      <c r="BN107" t="str">
        <f t="shared" ca="1" si="176"/>
        <v/>
      </c>
      <c r="BO107" t="str">
        <f t="shared" ca="1" si="162"/>
        <v/>
      </c>
      <c r="BP107" t="b">
        <f ca="1">COUNTIF(COLHELPER!A107:'COLHELPER'!A107,COLHELPER!A107)&gt;1</f>
        <v>0</v>
      </c>
      <c r="BQ107">
        <f t="shared" ca="1" si="163"/>
        <v>0</v>
      </c>
      <c r="BR107" s="290" t="str">
        <f t="shared" ca="1" si="137"/>
        <v/>
      </c>
      <c r="BS107" t="str">
        <f t="shared" ca="1" si="164"/>
        <v/>
      </c>
      <c r="BT107" t="str">
        <f t="shared" ca="1" si="177"/>
        <v/>
      </c>
      <c r="BU107" t="str">
        <f t="shared" ca="1" si="165"/>
        <v/>
      </c>
      <c r="BV107">
        <f t="shared" ca="1" si="166"/>
        <v>0</v>
      </c>
      <c r="BW107" t="str">
        <f t="shared" ca="1" si="167"/>
        <v/>
      </c>
      <c r="BX107" t="str">
        <f t="shared" ca="1" si="168"/>
        <v/>
      </c>
      <c r="BY107" t="str">
        <f ca="1">IF(R107="","",IF(R107&gt;Options!$B$3,"ALTER TABLE "&amp;HELPER!$B$4&amp;" ADD COLUMNS ("&amp;A107&amp;" "&amp;C107&amp;")",""))</f>
        <v/>
      </c>
      <c r="BZ107" t="str">
        <f ca="1">IF(R107="","",IF(R107&gt;Options!$B$3,A107,""))</f>
        <v/>
      </c>
      <c r="CA107" t="str">
        <f ca="1">IF(R107="","",IF(R107&gt;Options!$B$3,B107,""))</f>
        <v/>
      </c>
      <c r="CB107" t="str">
        <f t="shared" ca="1" si="169"/>
        <v/>
      </c>
      <c r="CC107">
        <f t="shared" ca="1" si="170"/>
        <v>0</v>
      </c>
      <c r="CD107" t="str">
        <f ca="1">IF(J107="","",Options!$B$23 &amp; "." &amp; J107)</f>
        <v/>
      </c>
    </row>
    <row r="108" spans="1:82">
      <c r="A108" s="161" t="str">
        <f t="array" aca="1" ref="A108" ca="1">IF(TRIM(INDIRECT("Columns!A108")) ="","",TRIM(INDIRECT("Columns!A108")))</f>
        <v/>
      </c>
      <c r="B108" s="161" t="str">
        <f t="shared" ca="1" si="138"/>
        <v/>
      </c>
      <c r="C108" s="161" t="str">
        <f t="shared" ca="1" si="139"/>
        <v/>
      </c>
      <c r="D108" s="161" t="str">
        <f t="shared" ca="1" si="140"/>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7" t="str">
        <f t="array" aca="1" ref="O108" ca="1">IF(TRIM(INDIRECT("Columns!B108"))="","",TRIM(INDIRECT("Columns!B108")))</f>
        <v/>
      </c>
      <c r="P108" s="227" t="str">
        <f t="array" aca="1" ref="P108" ca="1">IF(TRIM(INDIRECT("Columns!C108"))="","",TRIM(INDIRECT("Columns!C108")))</f>
        <v/>
      </c>
      <c r="Q108" s="227" t="str">
        <f t="array" aca="1" ref="Q108" ca="1">IF(TRIM(INDIRECT("Columns!D108"))="","",TRIM(INDIRECT("Columns!D108")))</f>
        <v/>
      </c>
      <c r="R108" s="227"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1"/>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2"/>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8"/>
        <v/>
      </c>
      <c r="AS108" t="str">
        <f ca="1">IF(A108="","",  HELPER!$B$94 &amp;  "." &amp; A108)</f>
        <v/>
      </c>
      <c r="AT108" t="str">
        <f t="shared" ca="1" si="154"/>
        <v/>
      </c>
      <c r="AU108" t="str">
        <f t="shared" ca="1" si="155"/>
        <v/>
      </c>
      <c r="AV108" s="190" t="str">
        <f t="shared" ca="1" si="156"/>
        <v/>
      </c>
      <c r="AW108" t="str">
        <f t="shared" ca="1" si="157"/>
        <v/>
      </c>
      <c r="AY108" t="str">
        <f t="shared" ca="1" si="158"/>
        <v/>
      </c>
      <c r="BF108" t="str">
        <f t="shared" ca="1" si="159"/>
        <v/>
      </c>
      <c r="BH108" s="285" t="str">
        <f t="shared" ca="1" si="173"/>
        <v/>
      </c>
      <c r="BI108" t="str">
        <f t="shared" ca="1" si="160"/>
        <v/>
      </c>
      <c r="BJ108" t="str">
        <f t="shared" ca="1" si="161"/>
        <v/>
      </c>
      <c r="BK108" t="str">
        <f t="shared" ca="1" si="174"/>
        <v/>
      </c>
      <c r="BM108" t="str">
        <f t="shared" ca="1" si="175"/>
        <v/>
      </c>
      <c r="BN108" t="str">
        <f t="shared" ca="1" si="176"/>
        <v/>
      </c>
      <c r="BO108" t="str">
        <f t="shared" ca="1" si="162"/>
        <v/>
      </c>
      <c r="BP108" t="b">
        <f ca="1">COUNTIF(COLHELPER!A108:'COLHELPER'!A108,COLHELPER!A108)&gt;1</f>
        <v>0</v>
      </c>
      <c r="BQ108">
        <f t="shared" ca="1" si="163"/>
        <v>0</v>
      </c>
      <c r="BR108" s="290" t="str">
        <f t="shared" ca="1" si="137"/>
        <v/>
      </c>
      <c r="BS108" t="str">
        <f t="shared" ca="1" si="164"/>
        <v/>
      </c>
      <c r="BT108" t="str">
        <f t="shared" ca="1" si="177"/>
        <v/>
      </c>
      <c r="BU108" t="str">
        <f t="shared" ca="1" si="165"/>
        <v/>
      </c>
      <c r="BV108">
        <f t="shared" ca="1" si="166"/>
        <v>0</v>
      </c>
      <c r="BW108" t="str">
        <f t="shared" ca="1" si="167"/>
        <v/>
      </c>
      <c r="BX108" t="str">
        <f t="shared" ca="1" si="168"/>
        <v/>
      </c>
      <c r="BY108" t="str">
        <f ca="1">IF(R108="","",IF(R108&gt;Options!$B$3,"ALTER TABLE "&amp;HELPER!$B$4&amp;" ADD COLUMNS ("&amp;A108&amp;" "&amp;C108&amp;")",""))</f>
        <v/>
      </c>
      <c r="BZ108" t="str">
        <f ca="1">IF(R108="","",IF(R108&gt;Options!$B$3,A108,""))</f>
        <v/>
      </c>
      <c r="CA108" t="str">
        <f ca="1">IF(R108="","",IF(R108&gt;Options!$B$3,B108,""))</f>
        <v/>
      </c>
      <c r="CB108" t="str">
        <f t="shared" ca="1" si="169"/>
        <v/>
      </c>
      <c r="CC108">
        <f t="shared" ca="1" si="170"/>
        <v>0</v>
      </c>
      <c r="CD108" t="str">
        <f ca="1">IF(J108="","",Options!$B$23 &amp; "." &amp; J108)</f>
        <v/>
      </c>
    </row>
    <row r="109" spans="1:82">
      <c r="A109" s="161" t="str">
        <f t="array" aca="1" ref="A109" ca="1">IF(TRIM(INDIRECT("Columns!A109")) ="","",TRIM(INDIRECT("Columns!A109")))</f>
        <v/>
      </c>
      <c r="B109" s="161" t="str">
        <f t="shared" ca="1" si="138"/>
        <v/>
      </c>
      <c r="C109" s="161" t="str">
        <f t="shared" ca="1" si="139"/>
        <v/>
      </c>
      <c r="D109" s="161" t="str">
        <f t="shared" ca="1" si="140"/>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7" t="str">
        <f t="array" aca="1" ref="O109" ca="1">IF(TRIM(INDIRECT("Columns!B109"))="","",TRIM(INDIRECT("Columns!B109")))</f>
        <v/>
      </c>
      <c r="P109" s="227" t="str">
        <f t="array" aca="1" ref="P109" ca="1">IF(TRIM(INDIRECT("Columns!C109"))="","",TRIM(INDIRECT("Columns!C109")))</f>
        <v/>
      </c>
      <c r="Q109" s="227" t="str">
        <f t="array" aca="1" ref="Q109" ca="1">IF(TRIM(INDIRECT("Columns!D109"))="","",TRIM(INDIRECT("Columns!D109")))</f>
        <v/>
      </c>
      <c r="R109" s="227"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1"/>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2"/>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8"/>
        <v/>
      </c>
      <c r="AS109" t="str">
        <f ca="1">IF(A109="","",  HELPER!$B$94 &amp;  "." &amp; A109)</f>
        <v/>
      </c>
      <c r="AT109" t="str">
        <f t="shared" ca="1" si="154"/>
        <v/>
      </c>
      <c r="AU109" t="str">
        <f t="shared" ca="1" si="155"/>
        <v/>
      </c>
      <c r="AV109" s="190" t="str">
        <f t="shared" ca="1" si="156"/>
        <v/>
      </c>
      <c r="AW109" t="str">
        <f t="shared" ca="1" si="157"/>
        <v/>
      </c>
      <c r="AY109" t="str">
        <f t="shared" ca="1" si="158"/>
        <v/>
      </c>
      <c r="BF109" t="str">
        <f t="shared" ca="1" si="159"/>
        <v/>
      </c>
      <c r="BH109" s="285" t="str">
        <f t="shared" ca="1" si="173"/>
        <v/>
      </c>
      <c r="BI109" t="str">
        <f t="shared" ca="1" si="160"/>
        <v/>
      </c>
      <c r="BJ109" t="str">
        <f t="shared" ca="1" si="161"/>
        <v/>
      </c>
      <c r="BK109" t="str">
        <f t="shared" ca="1" si="174"/>
        <v/>
      </c>
      <c r="BM109" t="str">
        <f t="shared" ca="1" si="175"/>
        <v/>
      </c>
      <c r="BN109" t="str">
        <f t="shared" ca="1" si="176"/>
        <v/>
      </c>
      <c r="BO109" t="str">
        <f t="shared" ca="1" si="162"/>
        <v/>
      </c>
      <c r="BP109" t="b">
        <f ca="1">COUNTIF(COLHELPER!A109:'COLHELPER'!A109,COLHELPER!A109)&gt;1</f>
        <v>0</v>
      </c>
      <c r="BQ109">
        <f t="shared" ca="1" si="163"/>
        <v>0</v>
      </c>
      <c r="BR109" s="290" t="str">
        <f t="shared" ca="1" si="137"/>
        <v/>
      </c>
      <c r="BS109" t="str">
        <f t="shared" ca="1" si="164"/>
        <v/>
      </c>
      <c r="BT109" t="str">
        <f t="shared" ca="1" si="177"/>
        <v/>
      </c>
      <c r="BU109" t="str">
        <f t="shared" ca="1" si="165"/>
        <v/>
      </c>
      <c r="BV109">
        <f t="shared" ca="1" si="166"/>
        <v>0</v>
      </c>
      <c r="BW109" t="str">
        <f t="shared" ca="1" si="167"/>
        <v/>
      </c>
      <c r="BX109" t="str">
        <f t="shared" ca="1" si="168"/>
        <v/>
      </c>
      <c r="BY109" t="str">
        <f ca="1">IF(R109="","",IF(R109&gt;Options!$B$3,"ALTER TABLE "&amp;HELPER!$B$4&amp;" ADD COLUMNS ("&amp;A109&amp;" "&amp;C109&amp;")",""))</f>
        <v/>
      </c>
      <c r="BZ109" t="str">
        <f ca="1">IF(R109="","",IF(R109&gt;Options!$B$3,A109,""))</f>
        <v/>
      </c>
      <c r="CA109" t="str">
        <f ca="1">IF(R109="","",IF(R109&gt;Options!$B$3,B109,""))</f>
        <v/>
      </c>
      <c r="CB109" t="str">
        <f t="shared" ca="1" si="169"/>
        <v/>
      </c>
      <c r="CC109">
        <f t="shared" ca="1" si="170"/>
        <v>0</v>
      </c>
      <c r="CD109" t="str">
        <f ca="1">IF(J109="","",Options!$B$23 &amp; "." &amp; J109)</f>
        <v/>
      </c>
    </row>
    <row r="110" spans="1:82">
      <c r="A110" s="161" t="str">
        <f t="array" aca="1" ref="A110" ca="1">IF(TRIM(INDIRECT("Columns!A110")) ="","",TRIM(INDIRECT("Columns!A110")))</f>
        <v/>
      </c>
      <c r="B110" s="161" t="str">
        <f t="shared" ca="1" si="138"/>
        <v/>
      </c>
      <c r="C110" s="161" t="str">
        <f t="shared" ca="1" si="139"/>
        <v/>
      </c>
      <c r="D110" s="161" t="str">
        <f t="shared" ca="1" si="140"/>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7" t="str">
        <f t="array" aca="1" ref="O110" ca="1">IF(TRIM(INDIRECT("Columns!B110"))="","",TRIM(INDIRECT("Columns!B110")))</f>
        <v/>
      </c>
      <c r="P110" s="227" t="str">
        <f t="array" aca="1" ref="P110" ca="1">IF(TRIM(INDIRECT("Columns!C110"))="","",TRIM(INDIRECT("Columns!C110")))</f>
        <v/>
      </c>
      <c r="Q110" s="227" t="str">
        <f t="array" aca="1" ref="Q110" ca="1">IF(TRIM(INDIRECT("Columns!D110"))="","",TRIM(INDIRECT("Columns!D110")))</f>
        <v/>
      </c>
      <c r="R110" s="227"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1"/>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2"/>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8"/>
        <v/>
      </c>
      <c r="AS110" t="str">
        <f ca="1">IF(A110="","",  HELPER!$B$94 &amp;  "." &amp; A110)</f>
        <v/>
      </c>
      <c r="AT110" t="str">
        <f t="shared" ca="1" si="154"/>
        <v/>
      </c>
      <c r="AU110" t="str">
        <f t="shared" ca="1" si="155"/>
        <v/>
      </c>
      <c r="AV110" s="190" t="str">
        <f t="shared" ca="1" si="156"/>
        <v/>
      </c>
      <c r="AW110" t="str">
        <f t="shared" ca="1" si="157"/>
        <v/>
      </c>
      <c r="AY110" t="str">
        <f t="shared" ca="1" si="158"/>
        <v/>
      </c>
      <c r="BF110" t="str">
        <f t="shared" ca="1" si="159"/>
        <v/>
      </c>
      <c r="BH110" s="285" t="str">
        <f t="shared" ca="1" si="173"/>
        <v/>
      </c>
      <c r="BI110" t="str">
        <f t="shared" ca="1" si="160"/>
        <v/>
      </c>
      <c r="BJ110" t="str">
        <f t="shared" ca="1" si="161"/>
        <v/>
      </c>
      <c r="BK110" t="str">
        <f t="shared" ca="1" si="174"/>
        <v/>
      </c>
      <c r="BM110" t="str">
        <f t="shared" ca="1" si="175"/>
        <v/>
      </c>
      <c r="BN110" t="str">
        <f t="shared" ca="1" si="176"/>
        <v/>
      </c>
      <c r="BO110" t="str">
        <f t="shared" ca="1" si="162"/>
        <v/>
      </c>
      <c r="BP110" t="b">
        <f ca="1">COUNTIF(COLHELPER!A110:'COLHELPER'!A110,COLHELPER!A110)&gt;1</f>
        <v>0</v>
      </c>
      <c r="BQ110">
        <f t="shared" ca="1" si="163"/>
        <v>0</v>
      </c>
      <c r="BR110" s="290" t="str">
        <f t="shared" ca="1" si="137"/>
        <v/>
      </c>
      <c r="BS110" t="str">
        <f t="shared" ca="1" si="164"/>
        <v/>
      </c>
      <c r="BT110" t="str">
        <f t="shared" ca="1" si="177"/>
        <v/>
      </c>
      <c r="BU110" t="str">
        <f t="shared" ca="1" si="165"/>
        <v/>
      </c>
      <c r="BV110">
        <f t="shared" ca="1" si="166"/>
        <v>0</v>
      </c>
      <c r="BW110" t="str">
        <f t="shared" ca="1" si="167"/>
        <v/>
      </c>
      <c r="BX110" t="str">
        <f t="shared" ca="1" si="168"/>
        <v/>
      </c>
      <c r="BY110" t="str">
        <f ca="1">IF(R110="","",IF(R110&gt;Options!$B$3,"ALTER TABLE "&amp;HELPER!$B$4&amp;" ADD COLUMNS ("&amp;A110&amp;" "&amp;C110&amp;")",""))</f>
        <v/>
      </c>
      <c r="BZ110" t="str">
        <f ca="1">IF(R110="","",IF(R110&gt;Options!$B$3,A110,""))</f>
        <v/>
      </c>
      <c r="CA110" t="str">
        <f ca="1">IF(R110="","",IF(R110&gt;Options!$B$3,B110,""))</f>
        <v/>
      </c>
      <c r="CB110" t="str">
        <f t="shared" ca="1" si="169"/>
        <v/>
      </c>
      <c r="CC110">
        <f t="shared" ca="1" si="170"/>
        <v>0</v>
      </c>
      <c r="CD110" t="str">
        <f ca="1">IF(J110="","",Options!$B$23 &amp; "." &amp; J110)</f>
        <v/>
      </c>
    </row>
    <row r="111" spans="1:82">
      <c r="A111" s="161" t="str">
        <f t="array" aca="1" ref="A111" ca="1">IF(TRIM(INDIRECT("Columns!A111")) ="","",TRIM(INDIRECT("Columns!A111")))</f>
        <v/>
      </c>
      <c r="B111" s="161" t="str">
        <f t="shared" ca="1" si="138"/>
        <v/>
      </c>
      <c r="C111" s="161" t="str">
        <f t="shared" ca="1" si="139"/>
        <v/>
      </c>
      <c r="D111" s="161" t="str">
        <f t="shared" ca="1" si="140"/>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7" t="str">
        <f t="array" aca="1" ref="O111" ca="1">IF(TRIM(INDIRECT("Columns!B111"))="","",TRIM(INDIRECT("Columns!B111")))</f>
        <v/>
      </c>
      <c r="P111" s="227" t="str">
        <f t="array" aca="1" ref="P111" ca="1">IF(TRIM(INDIRECT("Columns!C111"))="","",TRIM(INDIRECT("Columns!C111")))</f>
        <v/>
      </c>
      <c r="Q111" s="227" t="str">
        <f t="array" aca="1" ref="Q111" ca="1">IF(TRIM(INDIRECT("Columns!D111"))="","",TRIM(INDIRECT("Columns!D111")))</f>
        <v/>
      </c>
      <c r="R111" s="227"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1"/>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2"/>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8"/>
        <v/>
      </c>
      <c r="AS111" t="str">
        <f ca="1">IF(A111="","",  HELPER!$B$94 &amp;  "." &amp; A111)</f>
        <v/>
      </c>
      <c r="AT111" t="str">
        <f t="shared" ca="1" si="154"/>
        <v/>
      </c>
      <c r="AU111" t="str">
        <f t="shared" ca="1" si="155"/>
        <v/>
      </c>
      <c r="AV111" s="190" t="str">
        <f t="shared" ca="1" si="156"/>
        <v/>
      </c>
      <c r="AW111" t="str">
        <f t="shared" ca="1" si="157"/>
        <v/>
      </c>
      <c r="AY111" t="str">
        <f t="shared" ca="1" si="158"/>
        <v/>
      </c>
      <c r="BF111" t="str">
        <f t="shared" ca="1" si="159"/>
        <v/>
      </c>
      <c r="BH111" s="285" t="str">
        <f t="shared" ca="1" si="173"/>
        <v/>
      </c>
      <c r="BI111" t="str">
        <f t="shared" ca="1" si="160"/>
        <v/>
      </c>
      <c r="BJ111" t="str">
        <f t="shared" ca="1" si="161"/>
        <v/>
      </c>
      <c r="BK111" t="str">
        <f t="shared" ca="1" si="174"/>
        <v/>
      </c>
      <c r="BM111" t="str">
        <f t="shared" ca="1" si="175"/>
        <v/>
      </c>
      <c r="BN111" t="str">
        <f t="shared" ca="1" si="176"/>
        <v/>
      </c>
      <c r="BO111" t="str">
        <f t="shared" ca="1" si="162"/>
        <v/>
      </c>
      <c r="BP111" t="b">
        <f ca="1">COUNTIF(COLHELPER!A111:'COLHELPER'!A111,COLHELPER!A111)&gt;1</f>
        <v>0</v>
      </c>
      <c r="BQ111">
        <f t="shared" ca="1" si="163"/>
        <v>0</v>
      </c>
      <c r="BR111" s="290" t="str">
        <f t="shared" ca="1" si="137"/>
        <v/>
      </c>
      <c r="BS111" t="str">
        <f t="shared" ca="1" si="164"/>
        <v/>
      </c>
      <c r="BT111" t="str">
        <f t="shared" ca="1" si="177"/>
        <v/>
      </c>
      <c r="BU111" t="str">
        <f t="shared" ca="1" si="165"/>
        <v/>
      </c>
      <c r="BV111">
        <f t="shared" ca="1" si="166"/>
        <v>0</v>
      </c>
      <c r="BW111" t="str">
        <f t="shared" ca="1" si="167"/>
        <v/>
      </c>
      <c r="BX111" t="str">
        <f t="shared" ca="1" si="168"/>
        <v/>
      </c>
      <c r="BY111" t="str">
        <f ca="1">IF(R111="","",IF(R111&gt;Options!$B$3,"ALTER TABLE "&amp;HELPER!$B$4&amp;" ADD COLUMNS ("&amp;A111&amp;" "&amp;C111&amp;")",""))</f>
        <v/>
      </c>
      <c r="BZ111" t="str">
        <f ca="1">IF(R111="","",IF(R111&gt;Options!$B$3,A111,""))</f>
        <v/>
      </c>
      <c r="CA111" t="str">
        <f ca="1">IF(R111="","",IF(R111&gt;Options!$B$3,B111,""))</f>
        <v/>
      </c>
      <c r="CB111" t="str">
        <f t="shared" ca="1" si="169"/>
        <v/>
      </c>
      <c r="CC111">
        <f t="shared" ca="1" si="170"/>
        <v>0</v>
      </c>
      <c r="CD111" t="str">
        <f ca="1">IF(J111="","",Options!$B$23 &amp; "." &amp; J111)</f>
        <v/>
      </c>
    </row>
    <row r="112" spans="1:82">
      <c r="A112" s="161" t="str">
        <f t="array" aca="1" ref="A112" ca="1">IF(TRIM(INDIRECT("Columns!A112")) ="","",TRIM(INDIRECT("Columns!A112")))</f>
        <v/>
      </c>
      <c r="B112" s="161" t="str">
        <f t="shared" ca="1" si="138"/>
        <v/>
      </c>
      <c r="C112" s="161" t="str">
        <f t="shared" ca="1" si="139"/>
        <v/>
      </c>
      <c r="D112" s="161" t="str">
        <f t="shared" ca="1" si="140"/>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7" t="str">
        <f t="array" aca="1" ref="O112" ca="1">IF(TRIM(INDIRECT("Columns!B112"))="","",TRIM(INDIRECT("Columns!B112")))</f>
        <v/>
      </c>
      <c r="P112" s="227" t="str">
        <f t="array" aca="1" ref="P112" ca="1">IF(TRIM(INDIRECT("Columns!C112"))="","",TRIM(INDIRECT("Columns!C112")))</f>
        <v/>
      </c>
      <c r="Q112" s="227" t="str">
        <f t="array" aca="1" ref="Q112" ca="1">IF(TRIM(INDIRECT("Columns!D112"))="","",TRIM(INDIRECT("Columns!D112")))</f>
        <v/>
      </c>
      <c r="R112" s="227"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1"/>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2"/>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8"/>
        <v/>
      </c>
      <c r="AS112" t="str">
        <f ca="1">IF(A112="","",  HELPER!$B$94 &amp;  "." &amp; A112)</f>
        <v/>
      </c>
      <c r="AT112" t="str">
        <f t="shared" ca="1" si="154"/>
        <v/>
      </c>
      <c r="AU112" t="str">
        <f t="shared" ca="1" si="155"/>
        <v/>
      </c>
      <c r="AV112" s="190" t="str">
        <f t="shared" ca="1" si="156"/>
        <v/>
      </c>
      <c r="AW112" t="str">
        <f t="shared" ca="1" si="157"/>
        <v/>
      </c>
      <c r="AY112" t="str">
        <f t="shared" ca="1" si="158"/>
        <v/>
      </c>
      <c r="BF112" t="str">
        <f t="shared" ca="1" si="159"/>
        <v/>
      </c>
      <c r="BH112" s="285" t="str">
        <f t="shared" ca="1" si="173"/>
        <v/>
      </c>
      <c r="BI112" t="str">
        <f t="shared" ca="1" si="160"/>
        <v/>
      </c>
      <c r="BJ112" t="str">
        <f t="shared" ca="1" si="161"/>
        <v/>
      </c>
      <c r="BK112" t="str">
        <f t="shared" ca="1" si="174"/>
        <v/>
      </c>
      <c r="BM112" t="str">
        <f t="shared" ca="1" si="175"/>
        <v/>
      </c>
      <c r="BN112" t="str">
        <f t="shared" ca="1" si="176"/>
        <v/>
      </c>
      <c r="BO112" t="str">
        <f t="shared" ca="1" si="162"/>
        <v/>
      </c>
      <c r="BP112" t="b">
        <f ca="1">COUNTIF(COLHELPER!A112:'COLHELPER'!A112,COLHELPER!A112)&gt;1</f>
        <v>0</v>
      </c>
      <c r="BQ112">
        <f t="shared" ca="1" si="163"/>
        <v>0</v>
      </c>
      <c r="BR112" s="290" t="str">
        <f t="shared" ca="1" si="137"/>
        <v/>
      </c>
      <c r="BS112" t="str">
        <f t="shared" ca="1" si="164"/>
        <v/>
      </c>
      <c r="BT112" t="str">
        <f t="shared" ca="1" si="177"/>
        <v/>
      </c>
      <c r="BU112" t="str">
        <f t="shared" ca="1" si="165"/>
        <v/>
      </c>
      <c r="BV112">
        <f t="shared" ca="1" si="166"/>
        <v>0</v>
      </c>
      <c r="BW112" t="str">
        <f t="shared" ca="1" si="167"/>
        <v/>
      </c>
      <c r="BX112" t="str">
        <f t="shared" ca="1" si="168"/>
        <v/>
      </c>
      <c r="BY112" t="str">
        <f ca="1">IF(R112="","",IF(R112&gt;Options!$B$3,"ALTER TABLE "&amp;HELPER!$B$4&amp;" ADD COLUMNS ("&amp;A112&amp;" "&amp;C112&amp;")",""))</f>
        <v/>
      </c>
      <c r="BZ112" t="str">
        <f ca="1">IF(R112="","",IF(R112&gt;Options!$B$3,A112,""))</f>
        <v/>
      </c>
      <c r="CA112" t="str">
        <f ca="1">IF(R112="","",IF(R112&gt;Options!$B$3,B112,""))</f>
        <v/>
      </c>
      <c r="CB112" t="str">
        <f t="shared" ca="1" si="169"/>
        <v/>
      </c>
      <c r="CC112">
        <f t="shared" ca="1" si="170"/>
        <v>0</v>
      </c>
      <c r="CD112" t="str">
        <f ca="1">IF(J112="","",Options!$B$23 &amp; "." &amp; J112)</f>
        <v/>
      </c>
    </row>
    <row r="113" spans="1:82">
      <c r="A113" s="161" t="str">
        <f t="array" aca="1" ref="A113" ca="1">IF(TRIM(INDIRECT("Columns!A113")) ="","",TRIM(INDIRECT("Columns!A113")))</f>
        <v/>
      </c>
      <c r="B113" s="161" t="str">
        <f t="shared" ca="1" si="138"/>
        <v/>
      </c>
      <c r="C113" s="161" t="str">
        <f t="shared" ca="1" si="139"/>
        <v/>
      </c>
      <c r="D113" s="161" t="str">
        <f t="shared" ca="1" si="140"/>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7" t="str">
        <f t="array" aca="1" ref="O113" ca="1">IF(TRIM(INDIRECT("Columns!B113"))="","",TRIM(INDIRECT("Columns!B113")))</f>
        <v/>
      </c>
      <c r="P113" s="227" t="str">
        <f t="array" aca="1" ref="P113" ca="1">IF(TRIM(INDIRECT("Columns!C113"))="","",TRIM(INDIRECT("Columns!C113")))</f>
        <v/>
      </c>
      <c r="Q113" s="227" t="str">
        <f t="array" aca="1" ref="Q113" ca="1">IF(TRIM(INDIRECT("Columns!D113"))="","",TRIM(INDIRECT("Columns!D113")))</f>
        <v/>
      </c>
      <c r="R113" s="227"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1"/>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2"/>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8"/>
        <v/>
      </c>
      <c r="AS113" t="str">
        <f ca="1">IF(A113="","",  HELPER!$B$94 &amp;  "." &amp; A113)</f>
        <v/>
      </c>
      <c r="AT113" t="str">
        <f t="shared" ca="1" si="154"/>
        <v/>
      </c>
      <c r="AU113" t="str">
        <f t="shared" ca="1" si="155"/>
        <v/>
      </c>
      <c r="AV113" s="190" t="str">
        <f t="shared" ca="1" si="156"/>
        <v/>
      </c>
      <c r="AW113" t="str">
        <f t="shared" ca="1" si="157"/>
        <v/>
      </c>
      <c r="AY113" t="str">
        <f t="shared" ca="1" si="158"/>
        <v/>
      </c>
      <c r="BF113" t="str">
        <f t="shared" ca="1" si="159"/>
        <v/>
      </c>
      <c r="BH113" s="285" t="str">
        <f t="shared" ca="1" si="173"/>
        <v/>
      </c>
      <c r="BI113" t="str">
        <f t="shared" ca="1" si="160"/>
        <v/>
      </c>
      <c r="BJ113" t="str">
        <f t="shared" ca="1" si="161"/>
        <v/>
      </c>
      <c r="BK113" t="str">
        <f t="shared" ca="1" si="174"/>
        <v/>
      </c>
      <c r="BM113" t="str">
        <f t="shared" ca="1" si="175"/>
        <v/>
      </c>
      <c r="BN113" t="str">
        <f t="shared" ca="1" si="176"/>
        <v/>
      </c>
      <c r="BO113" t="str">
        <f t="shared" ca="1" si="162"/>
        <v/>
      </c>
      <c r="BP113" t="b">
        <f ca="1">COUNTIF(COLHELPER!A113:'COLHELPER'!A113,COLHELPER!A113)&gt;1</f>
        <v>0</v>
      </c>
      <c r="BQ113">
        <f t="shared" ca="1" si="163"/>
        <v>0</v>
      </c>
      <c r="BR113" s="290" t="str">
        <f t="shared" ca="1" si="137"/>
        <v/>
      </c>
      <c r="BS113" t="str">
        <f t="shared" ca="1" si="164"/>
        <v/>
      </c>
      <c r="BT113" t="str">
        <f t="shared" ca="1" si="177"/>
        <v/>
      </c>
      <c r="BU113" t="str">
        <f t="shared" ca="1" si="165"/>
        <v/>
      </c>
      <c r="BV113">
        <f t="shared" ca="1" si="166"/>
        <v>0</v>
      </c>
      <c r="BW113" t="str">
        <f t="shared" ca="1" si="167"/>
        <v/>
      </c>
      <c r="BX113" t="str">
        <f t="shared" ca="1" si="168"/>
        <v/>
      </c>
      <c r="BY113" t="str">
        <f ca="1">IF(R113="","",IF(R113&gt;Options!$B$3,"ALTER TABLE "&amp;HELPER!$B$4&amp;" ADD COLUMNS ("&amp;A113&amp;" "&amp;C113&amp;")",""))</f>
        <v/>
      </c>
      <c r="BZ113" t="str">
        <f ca="1">IF(R113="","",IF(R113&gt;Options!$B$3,A113,""))</f>
        <v/>
      </c>
      <c r="CA113" t="str">
        <f ca="1">IF(R113="","",IF(R113&gt;Options!$B$3,B113,""))</f>
        <v/>
      </c>
      <c r="CB113" t="str">
        <f t="shared" ca="1" si="169"/>
        <v/>
      </c>
      <c r="CC113">
        <f t="shared" ca="1" si="170"/>
        <v>0</v>
      </c>
      <c r="CD113" t="str">
        <f ca="1">IF(J113="","",Options!$B$23 &amp; "." &amp; J113)</f>
        <v/>
      </c>
    </row>
    <row r="114" spans="1:82">
      <c r="A114" s="161" t="str">
        <f t="array" aca="1" ref="A114" ca="1">IF(TRIM(INDIRECT("Columns!A114")) ="","",TRIM(INDIRECT("Columns!A114")))</f>
        <v/>
      </c>
      <c r="B114" s="161" t="str">
        <f t="shared" ca="1" si="138"/>
        <v/>
      </c>
      <c r="C114" s="161" t="str">
        <f t="shared" ca="1" si="139"/>
        <v/>
      </c>
      <c r="D114" s="161" t="str">
        <f t="shared" ca="1" si="140"/>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7" t="str">
        <f t="array" aca="1" ref="O114" ca="1">IF(TRIM(INDIRECT("Columns!B114"))="","",TRIM(INDIRECT("Columns!B114")))</f>
        <v/>
      </c>
      <c r="P114" s="227" t="str">
        <f t="array" aca="1" ref="P114" ca="1">IF(TRIM(INDIRECT("Columns!C114"))="","",TRIM(INDIRECT("Columns!C114")))</f>
        <v/>
      </c>
      <c r="Q114" s="227" t="str">
        <f t="array" aca="1" ref="Q114" ca="1">IF(TRIM(INDIRECT("Columns!D114"))="","",TRIM(INDIRECT("Columns!D114")))</f>
        <v/>
      </c>
      <c r="R114" s="227"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1"/>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2"/>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8"/>
        <v/>
      </c>
      <c r="AS114" t="str">
        <f ca="1">IF(A114="","",  HELPER!$B$94 &amp;  "." &amp; A114)</f>
        <v/>
      </c>
      <c r="AT114" t="str">
        <f t="shared" ca="1" si="154"/>
        <v/>
      </c>
      <c r="AU114" t="str">
        <f t="shared" ca="1" si="155"/>
        <v/>
      </c>
      <c r="AV114" s="190" t="str">
        <f t="shared" ca="1" si="156"/>
        <v/>
      </c>
      <c r="AW114" t="str">
        <f t="shared" ca="1" si="157"/>
        <v/>
      </c>
      <c r="AY114" t="str">
        <f t="shared" ca="1" si="158"/>
        <v/>
      </c>
      <c r="BF114" t="str">
        <f t="shared" ca="1" si="159"/>
        <v/>
      </c>
      <c r="BH114" s="285" t="str">
        <f t="shared" ca="1" si="173"/>
        <v/>
      </c>
      <c r="BI114" t="str">
        <f t="shared" ca="1" si="160"/>
        <v/>
      </c>
      <c r="BJ114" t="str">
        <f t="shared" ca="1" si="161"/>
        <v/>
      </c>
      <c r="BK114" t="str">
        <f t="shared" ca="1" si="174"/>
        <v/>
      </c>
      <c r="BM114" t="str">
        <f t="shared" ca="1" si="175"/>
        <v/>
      </c>
      <c r="BN114" t="str">
        <f t="shared" ca="1" si="176"/>
        <v/>
      </c>
      <c r="BO114" t="str">
        <f t="shared" ca="1" si="162"/>
        <v/>
      </c>
      <c r="BP114" t="b">
        <f ca="1">COUNTIF(COLHELPER!A114:'COLHELPER'!A114,COLHELPER!A114)&gt;1</f>
        <v>0</v>
      </c>
      <c r="BQ114">
        <f t="shared" ca="1" si="163"/>
        <v>0</v>
      </c>
      <c r="BR114" s="290" t="str">
        <f t="shared" ca="1" si="137"/>
        <v/>
      </c>
      <c r="BS114" t="str">
        <f t="shared" ca="1" si="164"/>
        <v/>
      </c>
      <c r="BT114" t="str">
        <f t="shared" ca="1" si="177"/>
        <v/>
      </c>
      <c r="BU114" t="str">
        <f t="shared" ca="1" si="165"/>
        <v/>
      </c>
      <c r="BV114">
        <f t="shared" ca="1" si="166"/>
        <v>0</v>
      </c>
      <c r="BW114" t="str">
        <f t="shared" ca="1" si="167"/>
        <v/>
      </c>
      <c r="BX114" t="str">
        <f t="shared" ca="1" si="168"/>
        <v/>
      </c>
      <c r="BY114" t="str">
        <f ca="1">IF(R114="","",IF(R114&gt;Options!$B$3,"ALTER TABLE "&amp;HELPER!$B$4&amp;" ADD COLUMNS ("&amp;A114&amp;" "&amp;C114&amp;")",""))</f>
        <v/>
      </c>
      <c r="BZ114" t="str">
        <f ca="1">IF(R114="","",IF(R114&gt;Options!$B$3,A114,""))</f>
        <v/>
      </c>
      <c r="CA114" t="str">
        <f ca="1">IF(R114="","",IF(R114&gt;Options!$B$3,B114,""))</f>
        <v/>
      </c>
      <c r="CB114" t="str">
        <f t="shared" ca="1" si="169"/>
        <v/>
      </c>
      <c r="CC114">
        <f t="shared" ca="1" si="170"/>
        <v>0</v>
      </c>
      <c r="CD114" t="str">
        <f ca="1">IF(J114="","",Options!$B$23 &amp; "." &amp; J114)</f>
        <v/>
      </c>
    </row>
    <row r="115" spans="1:82">
      <c r="A115" s="161" t="str">
        <f t="array" aca="1" ref="A115" ca="1">IF(TRIM(INDIRECT("Columns!A115")) ="","",TRIM(INDIRECT("Columns!A115")))</f>
        <v/>
      </c>
      <c r="B115" s="161" t="str">
        <f t="shared" ca="1" si="138"/>
        <v/>
      </c>
      <c r="C115" s="161" t="str">
        <f t="shared" ca="1" si="139"/>
        <v/>
      </c>
      <c r="D115" s="161" t="str">
        <f t="shared" ca="1" si="140"/>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7" t="str">
        <f t="array" aca="1" ref="O115" ca="1">IF(TRIM(INDIRECT("Columns!B115"))="","",TRIM(INDIRECT("Columns!B115")))</f>
        <v/>
      </c>
      <c r="P115" s="227" t="str">
        <f t="array" aca="1" ref="P115" ca="1">IF(TRIM(INDIRECT("Columns!C115"))="","",TRIM(INDIRECT("Columns!C115")))</f>
        <v/>
      </c>
      <c r="Q115" s="227" t="str">
        <f t="array" aca="1" ref="Q115" ca="1">IF(TRIM(INDIRECT("Columns!D115"))="","",TRIM(INDIRECT("Columns!D115")))</f>
        <v/>
      </c>
      <c r="R115" s="227"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1"/>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2"/>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8"/>
        <v/>
      </c>
      <c r="AS115" t="str">
        <f ca="1">IF(A115="","",  HELPER!$B$94 &amp;  "." &amp; A115)</f>
        <v/>
      </c>
      <c r="AT115" t="str">
        <f t="shared" ca="1" si="154"/>
        <v/>
      </c>
      <c r="AU115" t="str">
        <f t="shared" ca="1" si="155"/>
        <v/>
      </c>
      <c r="AV115" s="190" t="str">
        <f t="shared" ca="1" si="156"/>
        <v/>
      </c>
      <c r="AW115" t="str">
        <f t="shared" ca="1" si="157"/>
        <v/>
      </c>
      <c r="AY115" t="str">
        <f t="shared" ca="1" si="158"/>
        <v/>
      </c>
      <c r="BF115" t="str">
        <f t="shared" ca="1" si="159"/>
        <v/>
      </c>
      <c r="BH115" s="285" t="str">
        <f t="shared" ca="1" si="173"/>
        <v/>
      </c>
      <c r="BI115" t="str">
        <f t="shared" ca="1" si="160"/>
        <v/>
      </c>
      <c r="BJ115" t="str">
        <f t="shared" ca="1" si="161"/>
        <v/>
      </c>
      <c r="BK115" t="str">
        <f t="shared" ca="1" si="174"/>
        <v/>
      </c>
      <c r="BM115" t="str">
        <f t="shared" ca="1" si="175"/>
        <v/>
      </c>
      <c r="BN115" t="str">
        <f t="shared" ca="1" si="176"/>
        <v/>
      </c>
      <c r="BO115" t="str">
        <f t="shared" ca="1" si="162"/>
        <v/>
      </c>
      <c r="BP115" t="b">
        <f ca="1">COUNTIF(COLHELPER!A115:'COLHELPER'!A115,COLHELPER!A115)&gt;1</f>
        <v>0</v>
      </c>
      <c r="BQ115">
        <f t="shared" ca="1" si="163"/>
        <v>0</v>
      </c>
      <c r="BR115" s="290" t="str">
        <f t="shared" ca="1" si="137"/>
        <v/>
      </c>
      <c r="BS115" t="str">
        <f t="shared" ca="1" si="164"/>
        <v/>
      </c>
      <c r="BT115" t="str">
        <f t="shared" ca="1" si="177"/>
        <v/>
      </c>
      <c r="BU115" t="str">
        <f t="shared" ca="1" si="165"/>
        <v/>
      </c>
      <c r="BV115">
        <f t="shared" ca="1" si="166"/>
        <v>0</v>
      </c>
      <c r="BW115" t="str">
        <f t="shared" ca="1" si="167"/>
        <v/>
      </c>
      <c r="BX115" t="str">
        <f t="shared" ca="1" si="168"/>
        <v/>
      </c>
      <c r="BY115" t="str">
        <f ca="1">IF(R115="","",IF(R115&gt;Options!$B$3,"ALTER TABLE "&amp;HELPER!$B$4&amp;" ADD COLUMNS ("&amp;A115&amp;" "&amp;C115&amp;")",""))</f>
        <v/>
      </c>
      <c r="BZ115" t="str">
        <f ca="1">IF(R115="","",IF(R115&gt;Options!$B$3,A115,""))</f>
        <v/>
      </c>
      <c r="CA115" t="str">
        <f ca="1">IF(R115="","",IF(R115&gt;Options!$B$3,B115,""))</f>
        <v/>
      </c>
      <c r="CB115" t="str">
        <f t="shared" ca="1" si="169"/>
        <v/>
      </c>
      <c r="CC115">
        <f t="shared" ca="1" si="170"/>
        <v>0</v>
      </c>
      <c r="CD115" t="str">
        <f ca="1">IF(J115="","",Options!$B$23 &amp; "." &amp; J115)</f>
        <v/>
      </c>
    </row>
    <row r="116" spans="1:82">
      <c r="A116" s="161" t="str">
        <f t="array" aca="1" ref="A116" ca="1">IF(TRIM(INDIRECT("Columns!A116")) ="","",TRIM(INDIRECT("Columns!A116")))</f>
        <v/>
      </c>
      <c r="B116" s="161" t="str">
        <f t="shared" ca="1" si="138"/>
        <v/>
      </c>
      <c r="C116" s="161" t="str">
        <f t="shared" ca="1" si="139"/>
        <v/>
      </c>
      <c r="D116" s="161" t="str">
        <f t="shared" ca="1" si="140"/>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7" t="str">
        <f t="array" aca="1" ref="O116" ca="1">IF(TRIM(INDIRECT("Columns!B116"))="","",TRIM(INDIRECT("Columns!B116")))</f>
        <v/>
      </c>
      <c r="P116" s="227" t="str">
        <f t="array" aca="1" ref="P116" ca="1">IF(TRIM(INDIRECT("Columns!C116"))="","",TRIM(INDIRECT("Columns!C116")))</f>
        <v/>
      </c>
      <c r="Q116" s="227" t="str">
        <f t="array" aca="1" ref="Q116" ca="1">IF(TRIM(INDIRECT("Columns!D116"))="","",TRIM(INDIRECT("Columns!D116")))</f>
        <v/>
      </c>
      <c r="R116" s="227"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1"/>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2"/>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8"/>
        <v/>
      </c>
      <c r="AS116" t="str">
        <f ca="1">IF(A116="","",  HELPER!$B$94 &amp;  "." &amp; A116)</f>
        <v/>
      </c>
      <c r="AT116" t="str">
        <f t="shared" ca="1" si="154"/>
        <v/>
      </c>
      <c r="AU116" t="str">
        <f t="shared" ca="1" si="155"/>
        <v/>
      </c>
      <c r="AV116" s="190" t="str">
        <f t="shared" ca="1" si="156"/>
        <v/>
      </c>
      <c r="AW116" t="str">
        <f t="shared" ca="1" si="157"/>
        <v/>
      </c>
      <c r="AY116" t="str">
        <f t="shared" ca="1" si="158"/>
        <v/>
      </c>
      <c r="BF116" t="str">
        <f t="shared" ca="1" si="159"/>
        <v/>
      </c>
      <c r="BH116" s="285" t="str">
        <f t="shared" ca="1" si="173"/>
        <v/>
      </c>
      <c r="BI116" t="str">
        <f t="shared" ca="1" si="160"/>
        <v/>
      </c>
      <c r="BJ116" t="str">
        <f t="shared" ca="1" si="161"/>
        <v/>
      </c>
      <c r="BK116" t="str">
        <f t="shared" ca="1" si="174"/>
        <v/>
      </c>
      <c r="BM116" t="str">
        <f t="shared" ca="1" si="175"/>
        <v/>
      </c>
      <c r="BN116" t="str">
        <f t="shared" ca="1" si="176"/>
        <v/>
      </c>
      <c r="BO116" t="str">
        <f t="shared" ca="1" si="162"/>
        <v/>
      </c>
      <c r="BP116" t="b">
        <f ca="1">COUNTIF(COLHELPER!A116:'COLHELPER'!A116,COLHELPER!A116)&gt;1</f>
        <v>0</v>
      </c>
      <c r="BQ116">
        <f t="shared" ca="1" si="163"/>
        <v>0</v>
      </c>
      <c r="BR116" s="290" t="str">
        <f t="shared" ca="1" si="137"/>
        <v/>
      </c>
      <c r="BS116" t="str">
        <f t="shared" ca="1" si="164"/>
        <v/>
      </c>
      <c r="BT116" t="str">
        <f t="shared" ca="1" si="177"/>
        <v/>
      </c>
      <c r="BU116" t="str">
        <f t="shared" ca="1" si="165"/>
        <v/>
      </c>
      <c r="BV116">
        <f t="shared" ca="1" si="166"/>
        <v>0</v>
      </c>
      <c r="BW116" t="str">
        <f t="shared" ca="1" si="167"/>
        <v/>
      </c>
      <c r="BX116" t="str">
        <f t="shared" ca="1" si="168"/>
        <v/>
      </c>
      <c r="BY116" t="str">
        <f ca="1">IF(R116="","",IF(R116&gt;Options!$B$3,"ALTER TABLE "&amp;HELPER!$B$4&amp;" ADD COLUMNS ("&amp;A116&amp;" "&amp;C116&amp;")",""))</f>
        <v/>
      </c>
      <c r="BZ116" t="str">
        <f ca="1">IF(R116="","",IF(R116&gt;Options!$B$3,A116,""))</f>
        <v/>
      </c>
      <c r="CA116" t="str">
        <f ca="1">IF(R116="","",IF(R116&gt;Options!$B$3,B116,""))</f>
        <v/>
      </c>
      <c r="CB116" t="str">
        <f t="shared" ca="1" si="169"/>
        <v/>
      </c>
      <c r="CC116">
        <f t="shared" ca="1" si="170"/>
        <v>0</v>
      </c>
      <c r="CD116" t="str">
        <f ca="1">IF(J116="","",Options!$B$23 &amp; "." &amp; J116)</f>
        <v/>
      </c>
    </row>
    <row r="117" spans="1:82">
      <c r="A117" s="161" t="str">
        <f t="array" aca="1" ref="A117" ca="1">IF(TRIM(INDIRECT("Columns!A117")) ="","",TRIM(INDIRECT("Columns!A117")))</f>
        <v/>
      </c>
      <c r="B117" s="161" t="str">
        <f t="shared" ca="1" si="138"/>
        <v/>
      </c>
      <c r="C117" s="161" t="str">
        <f t="shared" ca="1" si="139"/>
        <v/>
      </c>
      <c r="D117" s="161" t="str">
        <f t="shared" ca="1" si="140"/>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7" t="str">
        <f t="array" aca="1" ref="O117" ca="1">IF(TRIM(INDIRECT("Columns!B117"))="","",TRIM(INDIRECT("Columns!B117")))</f>
        <v/>
      </c>
      <c r="P117" s="227" t="str">
        <f t="array" aca="1" ref="P117" ca="1">IF(TRIM(INDIRECT("Columns!C117"))="","",TRIM(INDIRECT("Columns!C117")))</f>
        <v/>
      </c>
      <c r="Q117" s="227" t="str">
        <f t="array" aca="1" ref="Q117" ca="1">IF(TRIM(INDIRECT("Columns!D117"))="","",TRIM(INDIRECT("Columns!D117")))</f>
        <v/>
      </c>
      <c r="R117" s="227"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1"/>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2"/>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8"/>
        <v/>
      </c>
      <c r="AS117" t="str">
        <f ca="1">IF(A117="","",  HELPER!$B$94 &amp;  "." &amp; A117)</f>
        <v/>
      </c>
      <c r="AT117" t="str">
        <f t="shared" ca="1" si="154"/>
        <v/>
      </c>
      <c r="AU117" t="str">
        <f t="shared" ca="1" si="155"/>
        <v/>
      </c>
      <c r="AV117" s="190" t="str">
        <f t="shared" ca="1" si="156"/>
        <v/>
      </c>
      <c r="AW117" t="str">
        <f t="shared" ca="1" si="157"/>
        <v/>
      </c>
      <c r="AY117" t="str">
        <f t="shared" ca="1" si="158"/>
        <v/>
      </c>
      <c r="BF117" t="str">
        <f t="shared" ca="1" si="159"/>
        <v/>
      </c>
      <c r="BH117" s="285" t="str">
        <f t="shared" ca="1" si="173"/>
        <v/>
      </c>
      <c r="BI117" t="str">
        <f t="shared" ca="1" si="160"/>
        <v/>
      </c>
      <c r="BJ117" t="str">
        <f t="shared" ca="1" si="161"/>
        <v/>
      </c>
      <c r="BK117" t="str">
        <f t="shared" ca="1" si="174"/>
        <v/>
      </c>
      <c r="BM117" t="str">
        <f t="shared" ca="1" si="175"/>
        <v/>
      </c>
      <c r="BN117" t="str">
        <f t="shared" ca="1" si="176"/>
        <v/>
      </c>
      <c r="BO117" t="str">
        <f t="shared" ca="1" si="162"/>
        <v/>
      </c>
      <c r="BP117" t="b">
        <f ca="1">COUNTIF(COLHELPER!A117:'COLHELPER'!A117,COLHELPER!A117)&gt;1</f>
        <v>0</v>
      </c>
      <c r="BQ117">
        <f t="shared" ca="1" si="163"/>
        <v>0</v>
      </c>
      <c r="BR117" s="290" t="str">
        <f t="shared" ca="1" si="137"/>
        <v/>
      </c>
      <c r="BS117" t="str">
        <f t="shared" ca="1" si="164"/>
        <v/>
      </c>
      <c r="BT117" t="str">
        <f t="shared" ca="1" si="177"/>
        <v/>
      </c>
      <c r="BU117" t="str">
        <f t="shared" ca="1" si="165"/>
        <v/>
      </c>
      <c r="BV117">
        <f t="shared" ca="1" si="166"/>
        <v>0</v>
      </c>
      <c r="BW117" t="str">
        <f t="shared" ca="1" si="167"/>
        <v/>
      </c>
      <c r="BX117" t="str">
        <f t="shared" ca="1" si="168"/>
        <v/>
      </c>
      <c r="BY117" t="str">
        <f ca="1">IF(R117="","",IF(R117&gt;Options!$B$3,"ALTER TABLE "&amp;HELPER!$B$4&amp;" ADD COLUMNS ("&amp;A117&amp;" "&amp;C117&amp;")",""))</f>
        <v/>
      </c>
      <c r="BZ117" t="str">
        <f ca="1">IF(R117="","",IF(R117&gt;Options!$B$3,A117,""))</f>
        <v/>
      </c>
      <c r="CA117" t="str">
        <f ca="1">IF(R117="","",IF(R117&gt;Options!$B$3,B117,""))</f>
        <v/>
      </c>
      <c r="CB117" t="str">
        <f t="shared" ca="1" si="169"/>
        <v/>
      </c>
      <c r="CC117">
        <f t="shared" ca="1" si="170"/>
        <v>0</v>
      </c>
      <c r="CD117" t="str">
        <f ca="1">IF(J117="","",Options!$B$23 &amp; "." &amp; J117)</f>
        <v/>
      </c>
    </row>
    <row r="118" spans="1:82">
      <c r="A118" s="161" t="str">
        <f t="array" aca="1" ref="A118" ca="1">IF(TRIM(INDIRECT("Columns!A118")) ="","",TRIM(INDIRECT("Columns!A118")))</f>
        <v/>
      </c>
      <c r="B118" s="161" t="str">
        <f t="shared" ca="1" si="138"/>
        <v/>
      </c>
      <c r="C118" s="161" t="str">
        <f t="shared" ca="1" si="139"/>
        <v/>
      </c>
      <c r="D118" s="161" t="str">
        <f t="shared" ca="1" si="140"/>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7" t="str">
        <f t="array" aca="1" ref="O118" ca="1">IF(TRIM(INDIRECT("Columns!B118"))="","",TRIM(INDIRECT("Columns!B118")))</f>
        <v/>
      </c>
      <c r="P118" s="227" t="str">
        <f t="array" aca="1" ref="P118" ca="1">IF(TRIM(INDIRECT("Columns!C118"))="","",TRIM(INDIRECT("Columns!C118")))</f>
        <v/>
      </c>
      <c r="Q118" s="227" t="str">
        <f t="array" aca="1" ref="Q118" ca="1">IF(TRIM(INDIRECT("Columns!D118"))="","",TRIM(INDIRECT("Columns!D118")))</f>
        <v/>
      </c>
      <c r="R118" s="227"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1"/>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2"/>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8"/>
        <v/>
      </c>
      <c r="AS118" t="str">
        <f ca="1">IF(A118="","",  HELPER!$B$94 &amp;  "." &amp; A118)</f>
        <v/>
      </c>
      <c r="AT118" t="str">
        <f t="shared" ca="1" si="154"/>
        <v/>
      </c>
      <c r="AU118" t="str">
        <f t="shared" ca="1" si="155"/>
        <v/>
      </c>
      <c r="AV118" s="190" t="str">
        <f t="shared" ca="1" si="156"/>
        <v/>
      </c>
      <c r="AW118" t="str">
        <f t="shared" ca="1" si="157"/>
        <v/>
      </c>
      <c r="AY118" t="str">
        <f t="shared" ca="1" si="158"/>
        <v/>
      </c>
      <c r="BF118" t="str">
        <f t="shared" ca="1" si="159"/>
        <v/>
      </c>
      <c r="BH118" s="285" t="str">
        <f t="shared" ca="1" si="173"/>
        <v/>
      </c>
      <c r="BI118" t="str">
        <f t="shared" ca="1" si="160"/>
        <v/>
      </c>
      <c r="BJ118" t="str">
        <f t="shared" ca="1" si="161"/>
        <v/>
      </c>
      <c r="BK118" t="str">
        <f t="shared" ca="1" si="174"/>
        <v/>
      </c>
      <c r="BM118" t="str">
        <f t="shared" ca="1" si="175"/>
        <v/>
      </c>
      <c r="BN118" t="str">
        <f t="shared" ca="1" si="176"/>
        <v/>
      </c>
      <c r="BO118" t="str">
        <f t="shared" ca="1" si="162"/>
        <v/>
      </c>
      <c r="BP118" t="b">
        <f ca="1">COUNTIF(COLHELPER!A118:'COLHELPER'!A118,COLHELPER!A118)&gt;1</f>
        <v>0</v>
      </c>
      <c r="BQ118">
        <f t="shared" ca="1" si="163"/>
        <v>0</v>
      </c>
      <c r="BR118" s="290" t="str">
        <f t="shared" ca="1" si="137"/>
        <v/>
      </c>
      <c r="BS118" t="str">
        <f t="shared" ca="1" si="164"/>
        <v/>
      </c>
      <c r="BT118" t="str">
        <f t="shared" ca="1" si="177"/>
        <v/>
      </c>
      <c r="BU118" t="str">
        <f t="shared" ca="1" si="165"/>
        <v/>
      </c>
      <c r="BV118">
        <f t="shared" ca="1" si="166"/>
        <v>0</v>
      </c>
      <c r="BW118" t="str">
        <f t="shared" ca="1" si="167"/>
        <v/>
      </c>
      <c r="BX118" t="str">
        <f t="shared" ca="1" si="168"/>
        <v/>
      </c>
      <c r="BY118" t="str">
        <f ca="1">IF(R118="","",IF(R118&gt;Options!$B$3,"ALTER TABLE "&amp;HELPER!$B$4&amp;" ADD COLUMNS ("&amp;A118&amp;" "&amp;C118&amp;")",""))</f>
        <v/>
      </c>
      <c r="BZ118" t="str">
        <f ca="1">IF(R118="","",IF(R118&gt;Options!$B$3,A118,""))</f>
        <v/>
      </c>
      <c r="CA118" t="str">
        <f ca="1">IF(R118="","",IF(R118&gt;Options!$B$3,B118,""))</f>
        <v/>
      </c>
      <c r="CB118" t="str">
        <f t="shared" ca="1" si="169"/>
        <v/>
      </c>
      <c r="CC118">
        <f t="shared" ca="1" si="170"/>
        <v>0</v>
      </c>
      <c r="CD118" t="str">
        <f ca="1">IF(J118="","",Options!$B$23 &amp; "." &amp; J118)</f>
        <v/>
      </c>
    </row>
    <row r="119" spans="1:82">
      <c r="A119" s="161" t="str">
        <f t="array" aca="1" ref="A119" ca="1">IF(TRIM(INDIRECT("Columns!A119")) ="","",TRIM(INDIRECT("Columns!A119")))</f>
        <v/>
      </c>
      <c r="B119" s="161" t="str">
        <f t="shared" ca="1" si="138"/>
        <v/>
      </c>
      <c r="C119" s="161" t="str">
        <f t="shared" ca="1" si="139"/>
        <v/>
      </c>
      <c r="D119" s="161" t="str">
        <f t="shared" ca="1" si="140"/>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7" t="str">
        <f t="array" aca="1" ref="O119" ca="1">IF(TRIM(INDIRECT("Columns!B119"))="","",TRIM(INDIRECT("Columns!B119")))</f>
        <v/>
      </c>
      <c r="P119" s="227" t="str">
        <f t="array" aca="1" ref="P119" ca="1">IF(TRIM(INDIRECT("Columns!C119"))="","",TRIM(INDIRECT("Columns!C119")))</f>
        <v/>
      </c>
      <c r="Q119" s="227" t="str">
        <f t="array" aca="1" ref="Q119" ca="1">IF(TRIM(INDIRECT("Columns!D119"))="","",TRIM(INDIRECT("Columns!D119")))</f>
        <v/>
      </c>
      <c r="R119" s="227"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1"/>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2"/>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8"/>
        <v/>
      </c>
      <c r="AS119" t="str">
        <f ca="1">IF(A119="","",  HELPER!$B$94 &amp;  "." &amp; A119)</f>
        <v/>
      </c>
      <c r="AT119" t="str">
        <f t="shared" ca="1" si="154"/>
        <v/>
      </c>
      <c r="AU119" t="str">
        <f t="shared" ca="1" si="155"/>
        <v/>
      </c>
      <c r="AV119" s="190" t="str">
        <f t="shared" ca="1" si="156"/>
        <v/>
      </c>
      <c r="AW119" t="str">
        <f t="shared" ca="1" si="157"/>
        <v/>
      </c>
      <c r="AY119" t="str">
        <f t="shared" ca="1" si="158"/>
        <v/>
      </c>
      <c r="BF119" t="str">
        <f t="shared" ca="1" si="159"/>
        <v/>
      </c>
      <c r="BH119" s="285" t="str">
        <f t="shared" ca="1" si="173"/>
        <v/>
      </c>
      <c r="BI119" t="str">
        <f t="shared" ca="1" si="160"/>
        <v/>
      </c>
      <c r="BJ119" t="str">
        <f t="shared" ca="1" si="161"/>
        <v/>
      </c>
      <c r="BK119" t="str">
        <f t="shared" ca="1" si="174"/>
        <v/>
      </c>
      <c r="BM119" t="str">
        <f t="shared" ca="1" si="175"/>
        <v/>
      </c>
      <c r="BN119" t="str">
        <f t="shared" ca="1" si="176"/>
        <v/>
      </c>
      <c r="BO119" t="str">
        <f t="shared" ca="1" si="162"/>
        <v/>
      </c>
      <c r="BP119" t="b">
        <f ca="1">COUNTIF(COLHELPER!A119:'COLHELPER'!A119,COLHELPER!A119)&gt;1</f>
        <v>0</v>
      </c>
      <c r="BQ119">
        <f t="shared" ca="1" si="163"/>
        <v>0</v>
      </c>
      <c r="BR119" s="290" t="str">
        <f t="shared" ca="1" si="137"/>
        <v/>
      </c>
      <c r="BS119" t="str">
        <f t="shared" ca="1" si="164"/>
        <v/>
      </c>
      <c r="BT119" t="str">
        <f t="shared" ca="1" si="177"/>
        <v/>
      </c>
      <c r="BU119" t="str">
        <f t="shared" ca="1" si="165"/>
        <v/>
      </c>
      <c r="BV119">
        <f t="shared" ca="1" si="166"/>
        <v>0</v>
      </c>
      <c r="BW119" t="str">
        <f t="shared" ca="1" si="167"/>
        <v/>
      </c>
      <c r="BX119" t="str">
        <f t="shared" ca="1" si="168"/>
        <v/>
      </c>
      <c r="BY119" t="str">
        <f ca="1">IF(R119="","",IF(R119&gt;Options!$B$3,"ALTER TABLE "&amp;HELPER!$B$4&amp;" ADD COLUMNS ("&amp;A119&amp;" "&amp;C119&amp;")",""))</f>
        <v/>
      </c>
      <c r="BZ119" t="str">
        <f ca="1">IF(R119="","",IF(R119&gt;Options!$B$3,A119,""))</f>
        <v/>
      </c>
      <c r="CA119" t="str">
        <f ca="1">IF(R119="","",IF(R119&gt;Options!$B$3,B119,""))</f>
        <v/>
      </c>
      <c r="CB119" t="str">
        <f t="shared" ca="1" si="169"/>
        <v/>
      </c>
      <c r="CC119">
        <f t="shared" ca="1" si="170"/>
        <v>0</v>
      </c>
      <c r="CD119" t="str">
        <f ca="1">IF(J119="","",Options!$B$23 &amp; "." &amp; J119)</f>
        <v/>
      </c>
    </row>
    <row r="120" spans="1:82">
      <c r="A120" s="161" t="str">
        <f t="array" aca="1" ref="A120" ca="1">IF(TRIM(INDIRECT("Columns!A120")) ="","",TRIM(INDIRECT("Columns!A120")))</f>
        <v/>
      </c>
      <c r="B120" s="161" t="str">
        <f t="shared" ca="1" si="138"/>
        <v/>
      </c>
      <c r="C120" s="161" t="str">
        <f t="shared" ca="1" si="139"/>
        <v/>
      </c>
      <c r="D120" s="161" t="str">
        <f t="shared" ca="1" si="140"/>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7" t="str">
        <f t="array" aca="1" ref="O120" ca="1">IF(TRIM(INDIRECT("Columns!B120"))="","",TRIM(INDIRECT("Columns!B120")))</f>
        <v/>
      </c>
      <c r="P120" s="227" t="str">
        <f t="array" aca="1" ref="P120" ca="1">IF(TRIM(INDIRECT("Columns!C120"))="","",TRIM(INDIRECT("Columns!C120")))</f>
        <v/>
      </c>
      <c r="Q120" s="227" t="str">
        <f t="array" aca="1" ref="Q120" ca="1">IF(TRIM(INDIRECT("Columns!D120"))="","",TRIM(INDIRECT("Columns!D120")))</f>
        <v/>
      </c>
      <c r="R120" s="227"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1"/>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2"/>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8"/>
        <v/>
      </c>
      <c r="AS120" t="str">
        <f ca="1">IF(A120="","",  HELPER!$B$94 &amp;  "." &amp; A120)</f>
        <v/>
      </c>
      <c r="AT120" t="str">
        <f t="shared" ca="1" si="154"/>
        <v/>
      </c>
      <c r="AU120" t="str">
        <f t="shared" ca="1" si="155"/>
        <v/>
      </c>
      <c r="AV120" s="190" t="str">
        <f t="shared" ca="1" si="156"/>
        <v/>
      </c>
      <c r="AW120" t="str">
        <f t="shared" ca="1" si="157"/>
        <v/>
      </c>
      <c r="AY120" t="str">
        <f t="shared" ca="1" si="158"/>
        <v/>
      </c>
      <c r="BF120" t="str">
        <f t="shared" ca="1" si="159"/>
        <v/>
      </c>
      <c r="BH120" s="285" t="str">
        <f t="shared" ca="1" si="173"/>
        <v/>
      </c>
      <c r="BI120" t="str">
        <f t="shared" ca="1" si="160"/>
        <v/>
      </c>
      <c r="BJ120" t="str">
        <f t="shared" ca="1" si="161"/>
        <v/>
      </c>
      <c r="BK120" t="str">
        <f t="shared" ca="1" si="174"/>
        <v/>
      </c>
      <c r="BM120" t="str">
        <f t="shared" ca="1" si="175"/>
        <v/>
      </c>
      <c r="BN120" t="str">
        <f t="shared" ca="1" si="176"/>
        <v/>
      </c>
      <c r="BO120" t="str">
        <f t="shared" ca="1" si="162"/>
        <v/>
      </c>
      <c r="BP120" t="b">
        <f ca="1">COUNTIF(COLHELPER!A120:'COLHELPER'!A120,COLHELPER!A120)&gt;1</f>
        <v>0</v>
      </c>
      <c r="BQ120">
        <f t="shared" ca="1" si="163"/>
        <v>0</v>
      </c>
      <c r="BR120" s="290" t="str">
        <f t="shared" ca="1" si="137"/>
        <v/>
      </c>
      <c r="BS120" t="str">
        <f t="shared" ca="1" si="164"/>
        <v/>
      </c>
      <c r="BT120" t="str">
        <f t="shared" ca="1" si="177"/>
        <v/>
      </c>
      <c r="BU120" t="str">
        <f t="shared" ca="1" si="165"/>
        <v/>
      </c>
      <c r="BV120">
        <f t="shared" ca="1" si="166"/>
        <v>0</v>
      </c>
      <c r="BW120" t="str">
        <f t="shared" ca="1" si="167"/>
        <v/>
      </c>
      <c r="BX120" t="str">
        <f t="shared" ca="1" si="168"/>
        <v/>
      </c>
      <c r="BY120" t="str">
        <f ca="1">IF(R120="","",IF(R120&gt;Options!$B$3,"ALTER TABLE "&amp;HELPER!$B$4&amp;" ADD COLUMNS ("&amp;A120&amp;" "&amp;C120&amp;")",""))</f>
        <v/>
      </c>
      <c r="BZ120" t="str">
        <f ca="1">IF(R120="","",IF(R120&gt;Options!$B$3,A120,""))</f>
        <v/>
      </c>
      <c r="CA120" t="str">
        <f ca="1">IF(R120="","",IF(R120&gt;Options!$B$3,B120,""))</f>
        <v/>
      </c>
      <c r="CB120" t="str">
        <f t="shared" ca="1" si="169"/>
        <v/>
      </c>
      <c r="CC120">
        <f t="shared" ca="1" si="170"/>
        <v>0</v>
      </c>
      <c r="CD120" t="str">
        <f ca="1">IF(J120="","",Options!$B$23 &amp; "." &amp; J120)</f>
        <v/>
      </c>
    </row>
    <row r="121" spans="1:82">
      <c r="A121" s="161" t="str">
        <f t="array" aca="1" ref="A121" ca="1">IF(TRIM(INDIRECT("Columns!A121")) ="","",TRIM(INDIRECT("Columns!A121")))</f>
        <v/>
      </c>
      <c r="B121" s="161" t="str">
        <f t="shared" ca="1" si="138"/>
        <v/>
      </c>
      <c r="C121" s="161" t="str">
        <f t="shared" ca="1" si="139"/>
        <v/>
      </c>
      <c r="D121" s="161" t="str">
        <f t="shared" ca="1" si="140"/>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7" t="str">
        <f t="array" aca="1" ref="O121" ca="1">IF(TRIM(INDIRECT("Columns!B121"))="","",TRIM(INDIRECT("Columns!B121")))</f>
        <v/>
      </c>
      <c r="P121" s="227" t="str">
        <f t="array" aca="1" ref="P121" ca="1">IF(TRIM(INDIRECT("Columns!C121"))="","",TRIM(INDIRECT("Columns!C121")))</f>
        <v/>
      </c>
      <c r="Q121" s="227" t="str">
        <f t="array" aca="1" ref="Q121" ca="1">IF(TRIM(INDIRECT("Columns!D121"))="","",TRIM(INDIRECT("Columns!D121")))</f>
        <v/>
      </c>
      <c r="R121" s="227"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1"/>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2"/>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8"/>
        <v/>
      </c>
      <c r="AS121" t="str">
        <f ca="1">IF(A121="","",  HELPER!$B$94 &amp;  "." &amp; A121)</f>
        <v/>
      </c>
      <c r="AT121" t="str">
        <f t="shared" ca="1" si="154"/>
        <v/>
      </c>
      <c r="AU121" t="str">
        <f t="shared" ca="1" si="155"/>
        <v/>
      </c>
      <c r="AV121" s="190" t="str">
        <f t="shared" ca="1" si="156"/>
        <v/>
      </c>
      <c r="AW121" t="str">
        <f t="shared" ca="1" si="157"/>
        <v/>
      </c>
      <c r="AY121" t="str">
        <f t="shared" ca="1" si="158"/>
        <v/>
      </c>
      <c r="BF121" t="str">
        <f t="shared" ca="1" si="159"/>
        <v/>
      </c>
      <c r="BH121" s="285" t="str">
        <f t="shared" ca="1" si="173"/>
        <v/>
      </c>
      <c r="BI121" t="str">
        <f t="shared" ca="1" si="160"/>
        <v/>
      </c>
      <c r="BJ121" t="str">
        <f t="shared" ca="1" si="161"/>
        <v/>
      </c>
      <c r="BK121" t="str">
        <f t="shared" ca="1" si="174"/>
        <v/>
      </c>
      <c r="BM121" t="str">
        <f t="shared" ca="1" si="175"/>
        <v/>
      </c>
      <c r="BN121" t="str">
        <f t="shared" ca="1" si="176"/>
        <v/>
      </c>
      <c r="BO121" t="str">
        <f t="shared" ca="1" si="162"/>
        <v/>
      </c>
      <c r="BP121" t="b">
        <f ca="1">COUNTIF(COLHELPER!A121:'COLHELPER'!A121,COLHELPER!A121)&gt;1</f>
        <v>0</v>
      </c>
      <c r="BQ121">
        <f t="shared" ca="1" si="163"/>
        <v>0</v>
      </c>
      <c r="BR121" s="290" t="str">
        <f t="shared" ca="1" si="137"/>
        <v/>
      </c>
      <c r="BS121" t="str">
        <f t="shared" ca="1" si="164"/>
        <v/>
      </c>
      <c r="BT121" t="str">
        <f t="shared" ca="1" si="177"/>
        <v/>
      </c>
      <c r="BU121" t="str">
        <f t="shared" ca="1" si="165"/>
        <v/>
      </c>
      <c r="BV121">
        <f t="shared" ca="1" si="166"/>
        <v>0</v>
      </c>
      <c r="BW121" t="str">
        <f t="shared" ca="1" si="167"/>
        <v/>
      </c>
      <c r="BX121" t="str">
        <f t="shared" ca="1" si="168"/>
        <v/>
      </c>
      <c r="BY121" t="str">
        <f ca="1">IF(R121="","",IF(R121&gt;Options!$B$3,"ALTER TABLE "&amp;HELPER!$B$4&amp;" ADD COLUMNS ("&amp;A121&amp;" "&amp;C121&amp;")",""))</f>
        <v/>
      </c>
      <c r="BZ121" t="str">
        <f ca="1">IF(R121="","",IF(R121&gt;Options!$B$3,A121,""))</f>
        <v/>
      </c>
      <c r="CA121" t="str">
        <f ca="1">IF(R121="","",IF(R121&gt;Options!$B$3,B121,""))</f>
        <v/>
      </c>
      <c r="CB121" t="str">
        <f t="shared" ca="1" si="169"/>
        <v/>
      </c>
      <c r="CC121">
        <f t="shared" ca="1" si="170"/>
        <v>0</v>
      </c>
      <c r="CD121" t="str">
        <f ca="1">IF(J121="","",Options!$B$23 &amp; "." &amp; J121)</f>
        <v/>
      </c>
    </row>
    <row r="122" spans="1:82">
      <c r="A122" s="161" t="str">
        <f t="array" aca="1" ref="A122" ca="1">IF(TRIM(INDIRECT("Columns!A122")) ="","",TRIM(INDIRECT("Columns!A122")))</f>
        <v/>
      </c>
      <c r="B122" s="161" t="str">
        <f t="shared" ca="1" si="138"/>
        <v/>
      </c>
      <c r="C122" s="161" t="str">
        <f t="shared" ca="1" si="139"/>
        <v/>
      </c>
      <c r="D122" s="161" t="str">
        <f t="shared" ca="1" si="140"/>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7" t="str">
        <f t="array" aca="1" ref="O122" ca="1">IF(TRIM(INDIRECT("Columns!B122"))="","",TRIM(INDIRECT("Columns!B122")))</f>
        <v/>
      </c>
      <c r="P122" s="227" t="str">
        <f t="array" aca="1" ref="P122" ca="1">IF(TRIM(INDIRECT("Columns!C122"))="","",TRIM(INDIRECT("Columns!C122")))</f>
        <v/>
      </c>
      <c r="Q122" s="227" t="str">
        <f t="array" aca="1" ref="Q122" ca="1">IF(TRIM(INDIRECT("Columns!D122"))="","",TRIM(INDIRECT("Columns!D122")))</f>
        <v/>
      </c>
      <c r="R122" s="227"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1"/>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2"/>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8"/>
        <v/>
      </c>
      <c r="AS122" t="str">
        <f ca="1">IF(A122="","",  HELPER!$B$94 &amp;  "." &amp; A122)</f>
        <v/>
      </c>
      <c r="AT122" t="str">
        <f t="shared" ca="1" si="154"/>
        <v/>
      </c>
      <c r="AU122" t="str">
        <f t="shared" ca="1" si="155"/>
        <v/>
      </c>
      <c r="AV122" s="190" t="str">
        <f t="shared" ca="1" si="156"/>
        <v/>
      </c>
      <c r="AW122" t="str">
        <f t="shared" ca="1" si="157"/>
        <v/>
      </c>
      <c r="AY122" t="str">
        <f t="shared" ca="1" si="158"/>
        <v/>
      </c>
      <c r="BF122" t="str">
        <f t="shared" ca="1" si="159"/>
        <v/>
      </c>
      <c r="BH122" s="285" t="str">
        <f t="shared" ca="1" si="173"/>
        <v/>
      </c>
      <c r="BI122" t="str">
        <f t="shared" ca="1" si="160"/>
        <v/>
      </c>
      <c r="BJ122" t="str">
        <f t="shared" ca="1" si="161"/>
        <v/>
      </c>
      <c r="BK122" t="str">
        <f t="shared" ca="1" si="174"/>
        <v/>
      </c>
      <c r="BM122" t="str">
        <f t="shared" ca="1" si="175"/>
        <v/>
      </c>
      <c r="BN122" t="str">
        <f t="shared" ca="1" si="176"/>
        <v/>
      </c>
      <c r="BO122" t="str">
        <f t="shared" ca="1" si="162"/>
        <v/>
      </c>
      <c r="BP122" t="b">
        <f ca="1">COUNTIF(COLHELPER!A122:'COLHELPER'!A122,COLHELPER!A122)&gt;1</f>
        <v>0</v>
      </c>
      <c r="BQ122">
        <f t="shared" ca="1" si="163"/>
        <v>0</v>
      </c>
      <c r="BR122" s="290" t="str">
        <f t="shared" ca="1" si="137"/>
        <v/>
      </c>
      <c r="BS122" t="str">
        <f t="shared" ca="1" si="164"/>
        <v/>
      </c>
      <c r="BT122" t="str">
        <f t="shared" ca="1" si="177"/>
        <v/>
      </c>
      <c r="BU122" t="str">
        <f t="shared" ca="1" si="165"/>
        <v/>
      </c>
      <c r="BV122">
        <f t="shared" ca="1" si="166"/>
        <v>0</v>
      </c>
      <c r="BW122" t="str">
        <f t="shared" ca="1" si="167"/>
        <v/>
      </c>
      <c r="BX122" t="str">
        <f t="shared" ca="1" si="168"/>
        <v/>
      </c>
      <c r="BY122" t="str">
        <f ca="1">IF(R122="","",IF(R122&gt;Options!$B$3,"ALTER TABLE "&amp;HELPER!$B$4&amp;" ADD COLUMNS ("&amp;A122&amp;" "&amp;C122&amp;")",""))</f>
        <v/>
      </c>
      <c r="BZ122" t="str">
        <f ca="1">IF(R122="","",IF(R122&gt;Options!$B$3,A122,""))</f>
        <v/>
      </c>
      <c r="CA122" t="str">
        <f ca="1">IF(R122="","",IF(R122&gt;Options!$B$3,B122,""))</f>
        <v/>
      </c>
      <c r="CB122" t="str">
        <f t="shared" ca="1" si="169"/>
        <v/>
      </c>
      <c r="CC122">
        <f t="shared" ca="1" si="170"/>
        <v>0</v>
      </c>
      <c r="CD122" t="str">
        <f ca="1">IF(J122="","",Options!$B$23 &amp; "." &amp; J122)</f>
        <v/>
      </c>
    </row>
    <row r="123" spans="1:82">
      <c r="A123" s="161" t="str">
        <f t="array" aca="1" ref="A123" ca="1">IF(TRIM(INDIRECT("Columns!A123")) ="","",TRIM(INDIRECT("Columns!A123")))</f>
        <v/>
      </c>
      <c r="B123" s="161" t="str">
        <f t="shared" ca="1" si="138"/>
        <v/>
      </c>
      <c r="C123" s="161" t="str">
        <f t="shared" ca="1" si="139"/>
        <v/>
      </c>
      <c r="D123" s="161" t="str">
        <f t="shared" ca="1" si="140"/>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7" t="str">
        <f t="array" aca="1" ref="O123" ca="1">IF(TRIM(INDIRECT("Columns!B123"))="","",TRIM(INDIRECT("Columns!B123")))</f>
        <v/>
      </c>
      <c r="P123" s="227" t="str">
        <f t="array" aca="1" ref="P123" ca="1">IF(TRIM(INDIRECT("Columns!C123"))="","",TRIM(INDIRECT("Columns!C123")))</f>
        <v/>
      </c>
      <c r="Q123" s="227" t="str">
        <f t="array" aca="1" ref="Q123" ca="1">IF(TRIM(INDIRECT("Columns!D123"))="","",TRIM(INDIRECT("Columns!D123")))</f>
        <v/>
      </c>
      <c r="R123" s="227"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1"/>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2"/>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8"/>
        <v/>
      </c>
      <c r="AS123" t="str">
        <f ca="1">IF(A123="","",  HELPER!$B$94 &amp;  "." &amp; A123)</f>
        <v/>
      </c>
      <c r="AT123" t="str">
        <f t="shared" ca="1" si="154"/>
        <v/>
      </c>
      <c r="AU123" t="str">
        <f t="shared" ca="1" si="155"/>
        <v/>
      </c>
      <c r="AV123" s="190" t="str">
        <f t="shared" ca="1" si="156"/>
        <v/>
      </c>
      <c r="AW123" t="str">
        <f t="shared" ca="1" si="157"/>
        <v/>
      </c>
      <c r="AY123" t="str">
        <f t="shared" ca="1" si="158"/>
        <v/>
      </c>
      <c r="BF123" t="str">
        <f t="shared" ca="1" si="159"/>
        <v/>
      </c>
      <c r="BH123" s="285" t="str">
        <f t="shared" ca="1" si="173"/>
        <v/>
      </c>
      <c r="BI123" t="str">
        <f t="shared" ca="1" si="160"/>
        <v/>
      </c>
      <c r="BJ123" t="str">
        <f t="shared" ca="1" si="161"/>
        <v/>
      </c>
      <c r="BK123" t="str">
        <f t="shared" ca="1" si="174"/>
        <v/>
      </c>
      <c r="BM123" t="str">
        <f t="shared" ca="1" si="175"/>
        <v/>
      </c>
      <c r="BN123" t="str">
        <f t="shared" ca="1" si="176"/>
        <v/>
      </c>
      <c r="BO123" t="str">
        <f t="shared" ca="1" si="162"/>
        <v/>
      </c>
      <c r="BP123" t="b">
        <f ca="1">COUNTIF(COLHELPER!A123:'COLHELPER'!A123,COLHELPER!A123)&gt;1</f>
        <v>0</v>
      </c>
      <c r="BQ123">
        <f t="shared" ca="1" si="163"/>
        <v>0</v>
      </c>
      <c r="BR123" s="290" t="str">
        <f t="shared" ca="1" si="137"/>
        <v/>
      </c>
      <c r="BS123" t="str">
        <f t="shared" ca="1" si="164"/>
        <v/>
      </c>
      <c r="BT123" t="str">
        <f t="shared" ca="1" si="177"/>
        <v/>
      </c>
      <c r="BU123" t="str">
        <f t="shared" ca="1" si="165"/>
        <v/>
      </c>
      <c r="BV123">
        <f t="shared" ca="1" si="166"/>
        <v>0</v>
      </c>
      <c r="BW123" t="str">
        <f t="shared" ca="1" si="167"/>
        <v/>
      </c>
      <c r="BX123" t="str">
        <f t="shared" ca="1" si="168"/>
        <v/>
      </c>
      <c r="BY123" t="str">
        <f ca="1">IF(R123="","",IF(R123&gt;Options!$B$3,"ALTER TABLE "&amp;HELPER!$B$4&amp;" ADD COLUMNS ("&amp;A123&amp;" "&amp;C123&amp;")",""))</f>
        <v/>
      </c>
      <c r="BZ123" t="str">
        <f ca="1">IF(R123="","",IF(R123&gt;Options!$B$3,A123,""))</f>
        <v/>
      </c>
      <c r="CA123" t="str">
        <f ca="1">IF(R123="","",IF(R123&gt;Options!$B$3,B123,""))</f>
        <v/>
      </c>
      <c r="CB123" t="str">
        <f t="shared" ca="1" si="169"/>
        <v/>
      </c>
      <c r="CC123">
        <f t="shared" ca="1" si="170"/>
        <v>0</v>
      </c>
      <c r="CD123" t="str">
        <f ca="1">IF(J123="","",Options!$B$23 &amp; "." &amp; J123)</f>
        <v/>
      </c>
    </row>
    <row r="124" spans="1:82">
      <c r="A124" s="161" t="str">
        <f t="array" aca="1" ref="A124" ca="1">IF(TRIM(INDIRECT("Columns!A124")) ="","",TRIM(INDIRECT("Columns!A124")))</f>
        <v/>
      </c>
      <c r="B124" s="161" t="str">
        <f t="shared" ca="1" si="138"/>
        <v/>
      </c>
      <c r="C124" s="161" t="str">
        <f t="shared" ca="1" si="139"/>
        <v/>
      </c>
      <c r="D124" s="161" t="str">
        <f t="shared" ca="1" si="140"/>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7" t="str">
        <f t="array" aca="1" ref="O124" ca="1">IF(TRIM(INDIRECT("Columns!B124"))="","",TRIM(INDIRECT("Columns!B124")))</f>
        <v/>
      </c>
      <c r="P124" s="227" t="str">
        <f t="array" aca="1" ref="P124" ca="1">IF(TRIM(INDIRECT("Columns!C124"))="","",TRIM(INDIRECT("Columns!C124")))</f>
        <v/>
      </c>
      <c r="Q124" s="227" t="str">
        <f t="array" aca="1" ref="Q124" ca="1">IF(TRIM(INDIRECT("Columns!D124"))="","",TRIM(INDIRECT("Columns!D124")))</f>
        <v/>
      </c>
      <c r="R124" s="227"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1"/>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2"/>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8"/>
        <v/>
      </c>
      <c r="AS124" t="str">
        <f ca="1">IF(A124="","",  HELPER!$B$94 &amp;  "." &amp; A124)</f>
        <v/>
      </c>
      <c r="AT124" t="str">
        <f t="shared" ca="1" si="154"/>
        <v/>
      </c>
      <c r="AU124" t="str">
        <f t="shared" ca="1" si="155"/>
        <v/>
      </c>
      <c r="AV124" s="190" t="str">
        <f t="shared" ca="1" si="156"/>
        <v/>
      </c>
      <c r="AW124" t="str">
        <f t="shared" ca="1" si="157"/>
        <v/>
      </c>
      <c r="AY124" t="str">
        <f t="shared" ca="1" si="158"/>
        <v/>
      </c>
      <c r="BF124" t="str">
        <f t="shared" ca="1" si="159"/>
        <v/>
      </c>
      <c r="BH124" s="285" t="str">
        <f t="shared" ca="1" si="173"/>
        <v/>
      </c>
      <c r="BI124" t="str">
        <f t="shared" ca="1" si="160"/>
        <v/>
      </c>
      <c r="BJ124" t="str">
        <f t="shared" ca="1" si="161"/>
        <v/>
      </c>
      <c r="BK124" t="str">
        <f t="shared" ca="1" si="174"/>
        <v/>
      </c>
      <c r="BM124" t="str">
        <f t="shared" ca="1" si="175"/>
        <v/>
      </c>
      <c r="BN124" t="str">
        <f t="shared" ca="1" si="176"/>
        <v/>
      </c>
      <c r="BO124" t="str">
        <f t="shared" ca="1" si="162"/>
        <v/>
      </c>
      <c r="BP124" t="b">
        <f ca="1">COUNTIF(COLHELPER!A124:'COLHELPER'!A124,COLHELPER!A124)&gt;1</f>
        <v>0</v>
      </c>
      <c r="BQ124">
        <f t="shared" ca="1" si="163"/>
        <v>0</v>
      </c>
      <c r="BR124" s="290" t="str">
        <f t="shared" ca="1" si="137"/>
        <v/>
      </c>
      <c r="BS124" t="str">
        <f t="shared" ca="1" si="164"/>
        <v/>
      </c>
      <c r="BT124" t="str">
        <f t="shared" ca="1" si="177"/>
        <v/>
      </c>
      <c r="BU124" t="str">
        <f t="shared" ca="1" si="165"/>
        <v/>
      </c>
      <c r="BV124">
        <f t="shared" ca="1" si="166"/>
        <v>0</v>
      </c>
      <c r="BW124" t="str">
        <f t="shared" ca="1" si="167"/>
        <v/>
      </c>
      <c r="BX124" t="str">
        <f t="shared" ca="1" si="168"/>
        <v/>
      </c>
      <c r="BY124" t="str">
        <f ca="1">IF(R124="","",IF(R124&gt;Options!$B$3,"ALTER TABLE "&amp;HELPER!$B$4&amp;" ADD COLUMNS ("&amp;A124&amp;" "&amp;C124&amp;")",""))</f>
        <v/>
      </c>
      <c r="BZ124" t="str">
        <f ca="1">IF(R124="","",IF(R124&gt;Options!$B$3,A124,""))</f>
        <v/>
      </c>
      <c r="CA124" t="str">
        <f ca="1">IF(R124="","",IF(R124&gt;Options!$B$3,B124,""))</f>
        <v/>
      </c>
      <c r="CB124" t="str">
        <f t="shared" ca="1" si="169"/>
        <v/>
      </c>
      <c r="CC124">
        <f t="shared" ca="1" si="170"/>
        <v>0</v>
      </c>
      <c r="CD124" t="str">
        <f ca="1">IF(J124="","",Options!$B$23 &amp; "." &amp; J124)</f>
        <v/>
      </c>
    </row>
    <row r="125" spans="1:82">
      <c r="A125" s="161" t="str">
        <f t="array" aca="1" ref="A125" ca="1">IF(TRIM(INDIRECT("Columns!A125")) ="","",TRIM(INDIRECT("Columns!A125")))</f>
        <v/>
      </c>
      <c r="B125" s="161" t="str">
        <f t="shared" ca="1" si="138"/>
        <v/>
      </c>
      <c r="C125" s="161" t="str">
        <f t="shared" ca="1" si="139"/>
        <v/>
      </c>
      <c r="D125" s="161" t="str">
        <f t="shared" ca="1" si="140"/>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7" t="str">
        <f t="array" aca="1" ref="O125" ca="1">IF(TRIM(INDIRECT("Columns!B125"))="","",TRIM(INDIRECT("Columns!B125")))</f>
        <v/>
      </c>
      <c r="P125" s="227" t="str">
        <f t="array" aca="1" ref="P125" ca="1">IF(TRIM(INDIRECT("Columns!C125"))="","",TRIM(INDIRECT("Columns!C125")))</f>
        <v/>
      </c>
      <c r="Q125" s="227" t="str">
        <f t="array" aca="1" ref="Q125" ca="1">IF(TRIM(INDIRECT("Columns!D125"))="","",TRIM(INDIRECT("Columns!D125")))</f>
        <v/>
      </c>
      <c r="R125" s="227"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1"/>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2"/>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8"/>
        <v/>
      </c>
      <c r="AS125" t="str">
        <f ca="1">IF(A125="","",  HELPER!$B$94 &amp;  "." &amp; A125)</f>
        <v/>
      </c>
      <c r="AT125" t="str">
        <f t="shared" ca="1" si="154"/>
        <v/>
      </c>
      <c r="AU125" t="str">
        <f t="shared" ca="1" si="155"/>
        <v/>
      </c>
      <c r="AV125" s="190" t="str">
        <f t="shared" ca="1" si="156"/>
        <v/>
      </c>
      <c r="AW125" t="str">
        <f t="shared" ca="1" si="157"/>
        <v/>
      </c>
      <c r="AY125" t="str">
        <f t="shared" ca="1" si="158"/>
        <v/>
      </c>
      <c r="BF125" t="str">
        <f t="shared" ca="1" si="159"/>
        <v/>
      </c>
      <c r="BH125" s="285" t="str">
        <f t="shared" ca="1" si="173"/>
        <v/>
      </c>
      <c r="BI125" t="str">
        <f t="shared" ca="1" si="160"/>
        <v/>
      </c>
      <c r="BJ125" t="str">
        <f t="shared" ca="1" si="161"/>
        <v/>
      </c>
      <c r="BK125" t="str">
        <f t="shared" ca="1" si="174"/>
        <v/>
      </c>
      <c r="BM125" t="str">
        <f t="shared" ca="1" si="175"/>
        <v/>
      </c>
      <c r="BN125" t="str">
        <f t="shared" ca="1" si="176"/>
        <v/>
      </c>
      <c r="BO125" t="str">
        <f t="shared" ca="1" si="162"/>
        <v/>
      </c>
      <c r="BP125" t="b">
        <f ca="1">COUNTIF(COLHELPER!A125:'COLHELPER'!A125,COLHELPER!A125)&gt;1</f>
        <v>0</v>
      </c>
      <c r="BQ125">
        <f t="shared" ca="1" si="163"/>
        <v>0</v>
      </c>
      <c r="BR125" s="290" t="str">
        <f t="shared" ca="1" si="137"/>
        <v/>
      </c>
      <c r="BS125" t="str">
        <f t="shared" ca="1" si="164"/>
        <v/>
      </c>
      <c r="BT125" t="str">
        <f t="shared" ca="1" si="177"/>
        <v/>
      </c>
      <c r="BU125" t="str">
        <f t="shared" ca="1" si="165"/>
        <v/>
      </c>
      <c r="BV125">
        <f t="shared" ca="1" si="166"/>
        <v>0</v>
      </c>
      <c r="BW125" t="str">
        <f t="shared" ca="1" si="167"/>
        <v/>
      </c>
      <c r="BX125" t="str">
        <f t="shared" ca="1" si="168"/>
        <v/>
      </c>
      <c r="BY125" t="str">
        <f ca="1">IF(R125="","",IF(R125&gt;Options!$B$3,"ALTER TABLE "&amp;HELPER!$B$4&amp;" ADD COLUMNS ("&amp;A125&amp;" "&amp;C125&amp;")",""))</f>
        <v/>
      </c>
      <c r="BZ125" t="str">
        <f ca="1">IF(R125="","",IF(R125&gt;Options!$B$3,A125,""))</f>
        <v/>
      </c>
      <c r="CA125" t="str">
        <f ca="1">IF(R125="","",IF(R125&gt;Options!$B$3,B125,""))</f>
        <v/>
      </c>
      <c r="CB125" t="str">
        <f t="shared" ca="1" si="169"/>
        <v/>
      </c>
      <c r="CC125">
        <f t="shared" ca="1" si="170"/>
        <v>0</v>
      </c>
      <c r="CD125" t="str">
        <f ca="1">IF(J125="","",Options!$B$23 &amp; "." &amp; J125)</f>
        <v/>
      </c>
    </row>
    <row r="126" spans="1:82">
      <c r="A126" s="161" t="str">
        <f t="array" aca="1" ref="A126" ca="1">IF(TRIM(INDIRECT("Columns!A126")) ="","",TRIM(INDIRECT("Columns!A126")))</f>
        <v/>
      </c>
      <c r="B126" s="161" t="str">
        <f t="shared" ca="1" si="138"/>
        <v/>
      </c>
      <c r="C126" s="161" t="str">
        <f t="shared" ca="1" si="139"/>
        <v/>
      </c>
      <c r="D126" s="161" t="str">
        <f t="shared" ca="1" si="140"/>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7" t="str">
        <f t="array" aca="1" ref="O126" ca="1">IF(TRIM(INDIRECT("Columns!B126"))="","",TRIM(INDIRECT("Columns!B126")))</f>
        <v/>
      </c>
      <c r="P126" s="227" t="str">
        <f t="array" aca="1" ref="P126" ca="1">IF(TRIM(INDIRECT("Columns!C126"))="","",TRIM(INDIRECT("Columns!C126")))</f>
        <v/>
      </c>
      <c r="Q126" s="227" t="str">
        <f t="array" aca="1" ref="Q126" ca="1">IF(TRIM(INDIRECT("Columns!D126"))="","",TRIM(INDIRECT("Columns!D126")))</f>
        <v/>
      </c>
      <c r="R126" s="227"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1"/>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2"/>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8"/>
        <v/>
      </c>
      <c r="AS126" t="str">
        <f ca="1">IF(A126="","",  HELPER!$B$94 &amp;  "." &amp; A126)</f>
        <v/>
      </c>
      <c r="AT126" t="str">
        <f t="shared" ca="1" si="154"/>
        <v/>
      </c>
      <c r="AU126" t="str">
        <f t="shared" ca="1" si="155"/>
        <v/>
      </c>
      <c r="AV126" s="190" t="str">
        <f t="shared" ca="1" si="156"/>
        <v/>
      </c>
      <c r="AW126" t="str">
        <f t="shared" ca="1" si="157"/>
        <v/>
      </c>
      <c r="AY126" t="str">
        <f t="shared" ca="1" si="158"/>
        <v/>
      </c>
      <c r="BF126" t="str">
        <f t="shared" ca="1" si="159"/>
        <v/>
      </c>
      <c r="BH126" s="285" t="str">
        <f t="shared" ca="1" si="173"/>
        <v/>
      </c>
      <c r="BI126" t="str">
        <f t="shared" ca="1" si="160"/>
        <v/>
      </c>
      <c r="BJ126" t="str">
        <f t="shared" ca="1" si="161"/>
        <v/>
      </c>
      <c r="BK126" t="str">
        <f t="shared" ca="1" si="174"/>
        <v/>
      </c>
      <c r="BM126" t="str">
        <f t="shared" ca="1" si="175"/>
        <v/>
      </c>
      <c r="BN126" t="str">
        <f t="shared" ca="1" si="176"/>
        <v/>
      </c>
      <c r="BO126" t="str">
        <f t="shared" ca="1" si="162"/>
        <v/>
      </c>
      <c r="BP126" t="b">
        <f ca="1">COUNTIF(COLHELPER!A126:'COLHELPER'!A126,COLHELPER!A126)&gt;1</f>
        <v>0</v>
      </c>
      <c r="BQ126">
        <f t="shared" ca="1" si="163"/>
        <v>0</v>
      </c>
      <c r="BR126" s="290" t="str">
        <f t="shared" ca="1" si="137"/>
        <v/>
      </c>
      <c r="BS126" t="str">
        <f t="shared" ca="1" si="164"/>
        <v/>
      </c>
      <c r="BT126" t="str">
        <f t="shared" ca="1" si="177"/>
        <v/>
      </c>
      <c r="BU126" t="str">
        <f t="shared" ca="1" si="165"/>
        <v/>
      </c>
      <c r="BV126">
        <f t="shared" ca="1" si="166"/>
        <v>0</v>
      </c>
      <c r="BW126" t="str">
        <f t="shared" ca="1" si="167"/>
        <v/>
      </c>
      <c r="BX126" t="str">
        <f t="shared" ca="1" si="168"/>
        <v/>
      </c>
      <c r="BY126" t="str">
        <f ca="1">IF(R126="","",IF(R126&gt;Options!$B$3,"ALTER TABLE "&amp;HELPER!$B$4&amp;" ADD COLUMNS ("&amp;A126&amp;" "&amp;C126&amp;")",""))</f>
        <v/>
      </c>
      <c r="BZ126" t="str">
        <f ca="1">IF(R126="","",IF(R126&gt;Options!$B$3,A126,""))</f>
        <v/>
      </c>
      <c r="CA126" t="str">
        <f ca="1">IF(R126="","",IF(R126&gt;Options!$B$3,B126,""))</f>
        <v/>
      </c>
      <c r="CB126" t="str">
        <f t="shared" ca="1" si="169"/>
        <v/>
      </c>
      <c r="CC126">
        <f t="shared" ca="1" si="170"/>
        <v>0</v>
      </c>
      <c r="CD126" t="str">
        <f ca="1">IF(J126="","",Options!$B$23 &amp; "." &amp; J126)</f>
        <v/>
      </c>
    </row>
    <row r="127" spans="1:82">
      <c r="A127" s="161" t="str">
        <f t="array" aca="1" ref="A127" ca="1">IF(TRIM(INDIRECT("Columns!A127")) ="","",TRIM(INDIRECT("Columns!A127")))</f>
        <v/>
      </c>
      <c r="B127" s="161" t="str">
        <f t="shared" ca="1" si="138"/>
        <v/>
      </c>
      <c r="C127" s="161" t="str">
        <f t="shared" ca="1" si="139"/>
        <v/>
      </c>
      <c r="D127" s="161" t="str">
        <f t="shared" ca="1" si="140"/>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7" t="str">
        <f t="array" aca="1" ref="O127" ca="1">IF(TRIM(INDIRECT("Columns!B127"))="","",TRIM(INDIRECT("Columns!B127")))</f>
        <v/>
      </c>
      <c r="P127" s="227" t="str">
        <f t="array" aca="1" ref="P127" ca="1">IF(TRIM(INDIRECT("Columns!C127"))="","",TRIM(INDIRECT("Columns!C127")))</f>
        <v/>
      </c>
      <c r="Q127" s="227" t="str">
        <f t="array" aca="1" ref="Q127" ca="1">IF(TRIM(INDIRECT("Columns!D127"))="","",TRIM(INDIRECT("Columns!D127")))</f>
        <v/>
      </c>
      <c r="R127" s="227"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1"/>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2"/>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8"/>
        <v/>
      </c>
      <c r="AS127" t="str">
        <f ca="1">IF(A127="","",  HELPER!$B$94 &amp;  "." &amp; A127)</f>
        <v/>
      </c>
      <c r="AT127" t="str">
        <f t="shared" ca="1" si="154"/>
        <v/>
      </c>
      <c r="AU127" t="str">
        <f t="shared" ca="1" si="155"/>
        <v/>
      </c>
      <c r="AV127" s="190" t="str">
        <f t="shared" ca="1" si="156"/>
        <v/>
      </c>
      <c r="AW127" t="str">
        <f t="shared" ca="1" si="157"/>
        <v/>
      </c>
      <c r="AY127" t="str">
        <f t="shared" ca="1" si="158"/>
        <v/>
      </c>
      <c r="BF127" t="str">
        <f t="shared" ca="1" si="159"/>
        <v/>
      </c>
      <c r="BH127" s="285" t="str">
        <f t="shared" ca="1" si="173"/>
        <v/>
      </c>
      <c r="BI127" t="str">
        <f t="shared" ca="1" si="160"/>
        <v/>
      </c>
      <c r="BJ127" t="str">
        <f t="shared" ca="1" si="161"/>
        <v/>
      </c>
      <c r="BK127" t="str">
        <f t="shared" ca="1" si="174"/>
        <v/>
      </c>
      <c r="BM127" t="str">
        <f t="shared" ca="1" si="175"/>
        <v/>
      </c>
      <c r="BN127" t="str">
        <f t="shared" ca="1" si="176"/>
        <v/>
      </c>
      <c r="BO127" t="str">
        <f t="shared" ca="1" si="162"/>
        <v/>
      </c>
      <c r="BP127" t="b">
        <f ca="1">COUNTIF(COLHELPER!A127:'COLHELPER'!A127,COLHELPER!A127)&gt;1</f>
        <v>0</v>
      </c>
      <c r="BQ127">
        <f t="shared" ca="1" si="163"/>
        <v>0</v>
      </c>
      <c r="BR127" s="290" t="str">
        <f t="shared" ca="1" si="137"/>
        <v/>
      </c>
      <c r="BS127" t="str">
        <f t="shared" ca="1" si="164"/>
        <v/>
      </c>
      <c r="BT127" t="str">
        <f t="shared" ca="1" si="177"/>
        <v/>
      </c>
      <c r="BU127" t="str">
        <f t="shared" ca="1" si="165"/>
        <v/>
      </c>
      <c r="BV127">
        <f t="shared" ca="1" si="166"/>
        <v>0</v>
      </c>
      <c r="BW127" t="str">
        <f t="shared" ca="1" si="167"/>
        <v/>
      </c>
      <c r="BX127" t="str">
        <f t="shared" ca="1" si="168"/>
        <v/>
      </c>
      <c r="BY127" t="str">
        <f ca="1">IF(R127="","",IF(R127&gt;Options!$B$3,"ALTER TABLE "&amp;HELPER!$B$4&amp;" ADD COLUMNS ("&amp;A127&amp;" "&amp;C127&amp;")",""))</f>
        <v/>
      </c>
      <c r="BZ127" t="str">
        <f ca="1">IF(R127="","",IF(R127&gt;Options!$B$3,A127,""))</f>
        <v/>
      </c>
      <c r="CA127" t="str">
        <f ca="1">IF(R127="","",IF(R127&gt;Options!$B$3,B127,""))</f>
        <v/>
      </c>
      <c r="CB127" t="str">
        <f t="shared" ca="1" si="169"/>
        <v/>
      </c>
      <c r="CC127">
        <f t="shared" ca="1" si="170"/>
        <v>0</v>
      </c>
      <c r="CD127" t="str">
        <f ca="1">IF(J127="","",Options!$B$23 &amp; "." &amp; J127)</f>
        <v/>
      </c>
    </row>
    <row r="128" spans="1:82">
      <c r="A128" s="161" t="str">
        <f t="array" aca="1" ref="A128" ca="1">IF(TRIM(INDIRECT("Columns!A128")) ="","",TRIM(INDIRECT("Columns!A128")))</f>
        <v/>
      </c>
      <c r="B128" s="161" t="str">
        <f t="shared" ca="1" si="138"/>
        <v/>
      </c>
      <c r="C128" s="161" t="str">
        <f t="shared" ca="1" si="139"/>
        <v/>
      </c>
      <c r="D128" s="161" t="str">
        <f t="shared" ca="1" si="140"/>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7" t="str">
        <f t="array" aca="1" ref="O128" ca="1">IF(TRIM(INDIRECT("Columns!B128"))="","",TRIM(INDIRECT("Columns!B128")))</f>
        <v/>
      </c>
      <c r="P128" s="227" t="str">
        <f t="array" aca="1" ref="P128" ca="1">IF(TRIM(INDIRECT("Columns!C128"))="","",TRIM(INDIRECT("Columns!C128")))</f>
        <v/>
      </c>
      <c r="Q128" s="227" t="str">
        <f t="array" aca="1" ref="Q128" ca="1">IF(TRIM(INDIRECT("Columns!D128"))="","",TRIM(INDIRECT("Columns!D128")))</f>
        <v/>
      </c>
      <c r="R128" s="227"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1"/>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2"/>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8"/>
        <v/>
      </c>
      <c r="AS128" t="str">
        <f ca="1">IF(A128="","",  HELPER!$B$94 &amp;  "." &amp; A128)</f>
        <v/>
      </c>
      <c r="AT128" t="str">
        <f t="shared" ca="1" si="154"/>
        <v/>
      </c>
      <c r="AU128" t="str">
        <f t="shared" ca="1" si="155"/>
        <v/>
      </c>
      <c r="AV128" s="190" t="str">
        <f t="shared" ca="1" si="156"/>
        <v/>
      </c>
      <c r="AW128" t="str">
        <f t="shared" ca="1" si="157"/>
        <v/>
      </c>
      <c r="AY128" t="str">
        <f t="shared" ca="1" si="158"/>
        <v/>
      </c>
      <c r="BF128" t="str">
        <f t="shared" ca="1" si="159"/>
        <v/>
      </c>
      <c r="BH128" s="285" t="str">
        <f t="shared" ca="1" si="173"/>
        <v/>
      </c>
      <c r="BI128" t="str">
        <f t="shared" ca="1" si="160"/>
        <v/>
      </c>
      <c r="BJ128" t="str">
        <f t="shared" ca="1" si="161"/>
        <v/>
      </c>
      <c r="BK128" t="str">
        <f t="shared" ca="1" si="174"/>
        <v/>
      </c>
      <c r="BM128" t="str">
        <f t="shared" ca="1" si="175"/>
        <v/>
      </c>
      <c r="BN128" t="str">
        <f t="shared" ca="1" si="176"/>
        <v/>
      </c>
      <c r="BO128" t="str">
        <f t="shared" ca="1" si="162"/>
        <v/>
      </c>
      <c r="BP128" t="b">
        <f ca="1">COUNTIF(COLHELPER!A128:'COLHELPER'!A128,COLHELPER!A128)&gt;1</f>
        <v>0</v>
      </c>
      <c r="BQ128">
        <f t="shared" ca="1" si="163"/>
        <v>0</v>
      </c>
      <c r="BR128" s="290" t="str">
        <f t="shared" ca="1" si="137"/>
        <v/>
      </c>
      <c r="BS128" t="str">
        <f t="shared" ca="1" si="164"/>
        <v/>
      </c>
      <c r="BT128" t="str">
        <f t="shared" ca="1" si="177"/>
        <v/>
      </c>
      <c r="BU128" t="str">
        <f t="shared" ca="1" si="165"/>
        <v/>
      </c>
      <c r="BV128">
        <f t="shared" ca="1" si="166"/>
        <v>0</v>
      </c>
      <c r="BW128" t="str">
        <f t="shared" ca="1" si="167"/>
        <v/>
      </c>
      <c r="BX128" t="str">
        <f t="shared" ca="1" si="168"/>
        <v/>
      </c>
      <c r="BY128" t="str">
        <f ca="1">IF(R128="","",IF(R128&gt;Options!$B$3,"ALTER TABLE "&amp;HELPER!$B$4&amp;" ADD COLUMNS ("&amp;A128&amp;" "&amp;C128&amp;")",""))</f>
        <v/>
      </c>
      <c r="BZ128" t="str">
        <f ca="1">IF(R128="","",IF(R128&gt;Options!$B$3,A128,""))</f>
        <v/>
      </c>
      <c r="CA128" t="str">
        <f ca="1">IF(R128="","",IF(R128&gt;Options!$B$3,B128,""))</f>
        <v/>
      </c>
      <c r="CB128" t="str">
        <f t="shared" ca="1" si="169"/>
        <v/>
      </c>
      <c r="CC128">
        <f t="shared" ca="1" si="170"/>
        <v>0</v>
      </c>
      <c r="CD128" t="str">
        <f ca="1">IF(J128="","",Options!$B$23 &amp; "." &amp; J128)</f>
        <v/>
      </c>
    </row>
    <row r="129" spans="1:82">
      <c r="A129" s="161" t="str">
        <f t="array" aca="1" ref="A129" ca="1">IF(TRIM(INDIRECT("Columns!A129")) ="","",TRIM(INDIRECT("Columns!A129")))</f>
        <v/>
      </c>
      <c r="B129" s="161" t="str">
        <f t="shared" ca="1" si="138"/>
        <v/>
      </c>
      <c r="C129" s="161" t="str">
        <f t="shared" ca="1" si="139"/>
        <v/>
      </c>
      <c r="D129" s="161" t="str">
        <f t="shared" ca="1" si="140"/>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7" t="str">
        <f t="array" aca="1" ref="O129" ca="1">IF(TRIM(INDIRECT("Columns!B129"))="","",TRIM(INDIRECT("Columns!B129")))</f>
        <v/>
      </c>
      <c r="P129" s="227" t="str">
        <f t="array" aca="1" ref="P129" ca="1">IF(TRIM(INDIRECT("Columns!C129"))="","",TRIM(INDIRECT("Columns!C129")))</f>
        <v/>
      </c>
      <c r="Q129" s="227" t="str">
        <f t="array" aca="1" ref="Q129" ca="1">IF(TRIM(INDIRECT("Columns!D129"))="","",TRIM(INDIRECT("Columns!D129")))</f>
        <v/>
      </c>
      <c r="R129" s="227"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1"/>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2"/>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8"/>
        <v/>
      </c>
      <c r="AS129" t="str">
        <f ca="1">IF(A129="","",  HELPER!$B$94 &amp;  "." &amp; A129)</f>
        <v/>
      </c>
      <c r="AT129" t="str">
        <f t="shared" ca="1" si="154"/>
        <v/>
      </c>
      <c r="AU129" t="str">
        <f t="shared" ca="1" si="155"/>
        <v/>
      </c>
      <c r="AV129" s="190" t="str">
        <f t="shared" ca="1" si="156"/>
        <v/>
      </c>
      <c r="AW129" t="str">
        <f t="shared" ca="1" si="157"/>
        <v/>
      </c>
      <c r="AY129" t="str">
        <f t="shared" ca="1" si="158"/>
        <v/>
      </c>
      <c r="BF129" t="str">
        <f t="shared" ca="1" si="159"/>
        <v/>
      </c>
      <c r="BH129" s="285" t="str">
        <f t="shared" ca="1" si="173"/>
        <v/>
      </c>
      <c r="BI129" t="str">
        <f t="shared" ca="1" si="160"/>
        <v/>
      </c>
      <c r="BJ129" t="str">
        <f t="shared" ca="1" si="161"/>
        <v/>
      </c>
      <c r="BK129" t="str">
        <f t="shared" ca="1" si="174"/>
        <v/>
      </c>
      <c r="BM129" t="str">
        <f t="shared" ca="1" si="175"/>
        <v/>
      </c>
      <c r="BN129" t="str">
        <f t="shared" ca="1" si="176"/>
        <v/>
      </c>
      <c r="BO129" t="str">
        <f t="shared" ca="1" si="162"/>
        <v/>
      </c>
      <c r="BP129" t="b">
        <f ca="1">COUNTIF(COLHELPER!A129:'COLHELPER'!A129,COLHELPER!A129)&gt;1</f>
        <v>0</v>
      </c>
      <c r="BQ129">
        <f t="shared" ca="1" si="163"/>
        <v>0</v>
      </c>
      <c r="BR129" s="290" t="str">
        <f t="shared" ca="1" si="137"/>
        <v/>
      </c>
      <c r="BS129" t="str">
        <f t="shared" ca="1" si="164"/>
        <v/>
      </c>
      <c r="BT129" t="str">
        <f t="shared" ca="1" si="177"/>
        <v/>
      </c>
      <c r="BU129" t="str">
        <f t="shared" ca="1" si="165"/>
        <v/>
      </c>
      <c r="BV129">
        <f t="shared" ca="1" si="166"/>
        <v>0</v>
      </c>
      <c r="BW129" t="str">
        <f t="shared" ca="1" si="167"/>
        <v/>
      </c>
      <c r="BX129" t="str">
        <f t="shared" ca="1" si="168"/>
        <v/>
      </c>
      <c r="BY129" t="str">
        <f ca="1">IF(R129="","",IF(R129&gt;Options!$B$3,"ALTER TABLE "&amp;HELPER!$B$4&amp;" ADD COLUMNS ("&amp;A129&amp;" "&amp;C129&amp;")",""))</f>
        <v/>
      </c>
      <c r="BZ129" t="str">
        <f ca="1">IF(R129="","",IF(R129&gt;Options!$B$3,A129,""))</f>
        <v/>
      </c>
      <c r="CA129" t="str">
        <f ca="1">IF(R129="","",IF(R129&gt;Options!$B$3,B129,""))</f>
        <v/>
      </c>
      <c r="CB129" t="str">
        <f t="shared" ca="1" si="169"/>
        <v/>
      </c>
      <c r="CC129">
        <f t="shared" ca="1" si="170"/>
        <v>0</v>
      </c>
      <c r="CD129" t="str">
        <f ca="1">IF(J129="","",Options!$B$23 &amp; "." &amp; J129)</f>
        <v/>
      </c>
    </row>
    <row r="130" spans="1:82">
      <c r="A130" s="161" t="str">
        <f t="array" aca="1" ref="A130" ca="1">IF(TRIM(INDIRECT("Columns!A130")) ="","",TRIM(INDIRECT("Columns!A130")))</f>
        <v/>
      </c>
      <c r="B130" s="161" t="str">
        <f t="shared" ref="B130:B150" ca="1" si="179">IF(I130="1","",IF(O130="",IF(G130="",A130,G130 &amp; " AS " &amp; A130),O130))</f>
        <v/>
      </c>
      <c r="C130" s="161" t="str">
        <f t="shared" ref="C130:C150" ca="1" si="180">IF(I130="1","bigint",P130)</f>
        <v/>
      </c>
      <c r="D130" s="161" t="str">
        <f t="shared" ref="D130:D150" ca="1" si="181">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7" t="str">
        <f t="array" aca="1" ref="O130" ca="1">IF(TRIM(INDIRECT("Columns!B130"))="","",TRIM(INDIRECT("Columns!B130")))</f>
        <v/>
      </c>
      <c r="P130" s="227" t="str">
        <f t="array" aca="1" ref="P130" ca="1">IF(TRIM(INDIRECT("Columns!C130"))="","",TRIM(INDIRECT("Columns!C130")))</f>
        <v/>
      </c>
      <c r="Q130" s="227" t="str">
        <f t="array" aca="1" ref="Q130" ca="1">IF(TRIM(INDIRECT("Columns!D130"))="","",TRIM(INDIRECT("Columns!D130")))</f>
        <v/>
      </c>
      <c r="R130" s="227" t="str">
        <f t="array" aca="1" ref="R130" ca="1">IF(TRIM(INDIRECT("Columns!O130"))="","",TRIM(INDIRECT("Columns!O130")))</f>
        <v/>
      </c>
      <c r="S130" t="str">
        <f t="shared" ref="S130:S150" ca="1" si="182">IF(A130="","",A130 &amp; " " &amp; IF(C130="array&lt;varchar&gt;","array&lt;string&gt;",C130))</f>
        <v/>
      </c>
      <c r="T130" t="str">
        <f t="shared" ref="T130:T150" ca="1" si="183">IF(AND(H130="1",I130=""),B130,"")</f>
        <v/>
      </c>
      <c r="U130" t="str">
        <f t="shared" ref="U130:U150" ca="1" si="184">IF(AND(H130="1",I130=""),IF(G130="",B130,A130),"")</f>
        <v/>
      </c>
      <c r="V130" t="str">
        <f t="shared" ref="V130:V150" ca="1" si="185">IF(A130="","",IF(F130&lt;&gt;"1",S130,""))</f>
        <v/>
      </c>
      <c r="W130" t="str">
        <f t="shared" ref="W130:W150" ca="1" si="186">IF(I130="1",A130&amp;"_history bigint",IF(OR(E130="4"),S130,""))</f>
        <v/>
      </c>
      <c r="X130" t="str">
        <f t="shared" ref="X130:X150" ca="1" si="187">IF(I130="1",A130&amp;"_history",IF(OR(E130="4"),A130,""))</f>
        <v/>
      </c>
      <c r="Y130" t="str">
        <f t="shared" ref="Y130:Y150" ca="1" si="188">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89">IF(H130="1",A130,"")</f>
        <v/>
      </c>
      <c r="AF130" t="str">
        <f ca="1">IF(AE130&lt;&gt;"", HELPER!$B$93 &amp;  "." &amp; AE130,"")</f>
        <v/>
      </c>
      <c r="AG130" t="str">
        <f ca="1">IF(AE130&lt;&gt;"", HELPER!$B$94 &amp; "." &amp; AE130,"")</f>
        <v/>
      </c>
      <c r="AH130" t="str">
        <f t="shared" ca="1" si="172"/>
        <v/>
      </c>
      <c r="AI130" t="str">
        <f t="shared" ref="AI130:AI150" ca="1" si="190">IF(E130="4","d." &amp; A130 &amp; " = m." &amp; A130,"")</f>
        <v/>
      </c>
      <c r="AJ130" t="str">
        <f t="shared" ref="AJ130:AJ150" ca="1" si="191">IF(E130="4", A130,"")</f>
        <v/>
      </c>
      <c r="AK130" t="str">
        <f ca="1">IF(E130="4", HELPER!$B$94 &amp;  "." &amp; A130,"")</f>
        <v/>
      </c>
      <c r="AL130" t="str">
        <f ca="1">IF(E130="4", HELPER!$B$93 &amp;  "." &amp; A130,"")</f>
        <v/>
      </c>
      <c r="AM130" t="str">
        <f t="shared" ref="AM130:AM150" ca="1" si="192">IF(E130="4",AL130&amp;" = "&amp;AU130,"")</f>
        <v/>
      </c>
      <c r="AN130" t="str">
        <f t="shared" ref="AN130:AN150" ca="1" si="193">IF(A130="","", IF(OR(F130="1",H130="1",I130="1"),"", A130))</f>
        <v/>
      </c>
      <c r="AO130" t="str">
        <f ca="1">IF(A130&lt;&gt;"", IF(OR(F130="1",H130="1",I130="1"),""," "&amp; HELPER!$B$94 &amp; "." &amp; A130),"")</f>
        <v/>
      </c>
      <c r="AP130" t="str">
        <f t="shared" ref="AP130:AP150" ca="1" si="194">IF(A130="","", IF(E130="2","", IF(AN130="","",AN130 &amp; " = " &amp; AO130)))</f>
        <v/>
      </c>
      <c r="AQ130" t="str">
        <f t="shared" ca="1" si="178"/>
        <v/>
      </c>
      <c r="AS130" t="str">
        <f ca="1">IF(A130="","",  HELPER!$B$94 &amp;  "." &amp; A130)</f>
        <v/>
      </c>
      <c r="AT130" t="str">
        <f t="shared" ref="AT130:AT150" ca="1" si="195">IF(I130="1",A130,"")</f>
        <v/>
      </c>
      <c r="AU130" t="str">
        <f t="shared" ref="AU130:AU150" ca="1" si="196">IF(C130="string","COALESCE(" &amp; AS130 &amp; ",'')",AS130)</f>
        <v/>
      </c>
      <c r="AV130" s="190" t="str">
        <f t="shared" ref="AV130:AV150" ca="1" si="197">IF(OR(H130="1",I130="1",E130="4",F130="1"),A130,"")</f>
        <v/>
      </c>
      <c r="AW130" t="str">
        <f t="shared" ref="AW130:AW150" ca="1" si="198">IF(OR(H130="1",I130="1",E130="4",F130="1"),AU130,"")</f>
        <v/>
      </c>
      <c r="AY130" t="str">
        <f t="shared" ref="AY130:AY150" ca="1" si="199">IF(A130="","",IF(I130="1","", IF(B130="",A130, B130) &amp;" AS "&amp;A130))</f>
        <v/>
      </c>
      <c r="BF130" t="str">
        <f t="shared" ref="BF130:BF150" ca="1" si="200">IF(A130="","",IF(I130="1","",B130&amp;" AS "&amp;A130))</f>
        <v/>
      </c>
      <c r="BH130" s="285" t="str">
        <f ca="1">IF(G130="",   IF(B130="","","COALESCE(" &amp;  B130 &amp; "," &amp; IF(C130="string","''",0  ) &amp; ") AS " &amp; A130),G130 &amp; " AS " &amp;A130 )</f>
        <v/>
      </c>
      <c r="BI130" t="str">
        <f t="shared" ref="BI130:BI150" ca="1" si="201">IF(G130="", IF(A130="","",IF(I130="1","", IF(B130="","f." &amp; A130, "f." &amp; B130) &amp;" AS "&amp;A130)),BH130)</f>
        <v/>
      </c>
      <c r="BJ130" t="str">
        <f t="shared" ref="BJ130:BJ150" ca="1" si="202">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3">IF(G130="", IF(B130="","","f." &amp; B130),G130)</f>
        <v/>
      </c>
      <c r="BP130" t="b">
        <f ca="1">COUNTIF(COLHELPER!A130:'COLHELPER'!A130,COLHELPER!A130)&gt;1</f>
        <v>0</v>
      </c>
      <c r="BQ130">
        <f t="shared" ref="BQ130:BQ150" ca="1" si="204">IF(BP130=TRUE,1,0)</f>
        <v>0</v>
      </c>
      <c r="BR130" s="290" t="str">
        <f t="shared" ca="1" si="137"/>
        <v/>
      </c>
      <c r="BS130" t="str">
        <f t="shared" ref="BS130:BS150" ca="1" si="205">IF(F130="1",SUBSTITUTE(BR130,"'",""),"")</f>
        <v/>
      </c>
      <c r="BT130" t="str">
        <f ca="1">IF(N130="","", SUBSTITUTE( SUBSTITUTE(BR130,"[:date_yyyy_mm_dd]",  N130),"[:date_yyymm]",N130))</f>
        <v/>
      </c>
      <c r="BU130" t="str">
        <f t="shared" ref="BU130:BU150" ca="1" si="206">IF(N130="","",SUBSTITUTE(BS130,"[:date_yyyy_mm_dd]",SUBSTITUTE(N130,"'","")))</f>
        <v/>
      </c>
      <c r="BV130">
        <f t="shared" ref="BV130:BV150" ca="1" si="207">IF(A129="",0,1)</f>
        <v>0</v>
      </c>
      <c r="BW130" t="str">
        <f t="shared" ref="BW130:BW150" ca="1" si="208">IF(AE130="","", "t3." &amp;AE130 &amp; " = t4." &amp; AE130)</f>
        <v/>
      </c>
      <c r="BX130" t="str">
        <f t="shared" ref="BX130:BX150" ca="1" si="209">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0">IF(A130&lt;&gt;"","&lt;tr&gt;&lt;td&gt;" &amp; _xlfn.TEXTJOIN("&lt;td&gt;",FALSE,A130:K130) &amp; "&lt;/td&gt;&lt;/tr&gt;","")</f>
        <v/>
      </c>
      <c r="CC130">
        <f t="shared" ref="CC130:CC150" ca="1" si="211">IF(E130="4",1,0)</f>
        <v>0</v>
      </c>
      <c r="CD130" t="str">
        <f ca="1">IF(J130="","",Options!$B$23 &amp; "." &amp; J130)</f>
        <v/>
      </c>
    </row>
    <row r="131" spans="1:82">
      <c r="A131" s="161" t="str">
        <f t="array" aca="1" ref="A131" ca="1">IF(TRIM(INDIRECT("Columns!A131")) ="","",TRIM(INDIRECT("Columns!A131")))</f>
        <v/>
      </c>
      <c r="B131" s="161" t="str">
        <f t="shared" ca="1" si="179"/>
        <v/>
      </c>
      <c r="C131" s="161" t="str">
        <f t="shared" ca="1" si="180"/>
        <v/>
      </c>
      <c r="D131" s="161" t="str">
        <f t="shared" ca="1" si="181"/>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7" t="str">
        <f t="array" aca="1" ref="O131" ca="1">IF(TRIM(INDIRECT("Columns!B131"))="","",TRIM(INDIRECT("Columns!B131")))</f>
        <v/>
      </c>
      <c r="P131" s="227" t="str">
        <f t="array" aca="1" ref="P131" ca="1">IF(TRIM(INDIRECT("Columns!C131"))="","",TRIM(INDIRECT("Columns!C131")))</f>
        <v/>
      </c>
      <c r="Q131" s="227" t="str">
        <f t="array" aca="1" ref="Q131" ca="1">IF(TRIM(INDIRECT("Columns!D131"))="","",TRIM(INDIRECT("Columns!D131")))</f>
        <v/>
      </c>
      <c r="R131" s="227" t="str">
        <f t="array" aca="1" ref="R131" ca="1">IF(TRIM(INDIRECT("Columns!O131"))="","",TRIM(INDIRECT("Columns!O131")))</f>
        <v/>
      </c>
      <c r="S131" t="str">
        <f t="shared" ca="1" si="182"/>
        <v/>
      </c>
      <c r="T131" t="str">
        <f t="shared" ca="1" si="183"/>
        <v/>
      </c>
      <c r="U131" t="str">
        <f t="shared" ca="1" si="184"/>
        <v/>
      </c>
      <c r="V131" t="str">
        <f t="shared" ca="1" si="185"/>
        <v/>
      </c>
      <c r="W131" t="str">
        <f t="shared" ca="1" si="186"/>
        <v/>
      </c>
      <c r="X131" t="str">
        <f t="shared" ca="1" si="187"/>
        <v/>
      </c>
      <c r="Y131" t="str">
        <f t="shared" ca="1" si="188"/>
        <v/>
      </c>
      <c r="Z131" t="str">
        <f t="shared" ref="Z131:Z150" ca="1" si="212">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89"/>
        <v/>
      </c>
      <c r="AF131" t="str">
        <f ca="1">IF(AE131&lt;&gt;"", HELPER!$B$93 &amp;  "." &amp; AE131,"")</f>
        <v/>
      </c>
      <c r="AG131" t="str">
        <f ca="1">IF(AE131&lt;&gt;"", HELPER!$B$94 &amp; "." &amp; AE131,"")</f>
        <v/>
      </c>
      <c r="AH131" t="str">
        <f t="shared" ref="AH131:AH150" ca="1" si="213">IF(AE131&lt;&gt;"",AF131&amp;" = "&amp;AU131,"")</f>
        <v/>
      </c>
      <c r="AI131" t="str">
        <f t="shared" ca="1" si="190"/>
        <v/>
      </c>
      <c r="AJ131" t="str">
        <f t="shared" ca="1" si="191"/>
        <v/>
      </c>
      <c r="AK131" t="str">
        <f ca="1">IF(E131="4", HELPER!$B$94 &amp;  "." &amp; A131,"")</f>
        <v/>
      </c>
      <c r="AL131" t="str">
        <f ca="1">IF(E131="4", HELPER!$B$93 &amp;  "." &amp; A131,"")</f>
        <v/>
      </c>
      <c r="AM131" t="str">
        <f t="shared" ca="1" si="192"/>
        <v/>
      </c>
      <c r="AN131" t="str">
        <f t="shared" ca="1" si="193"/>
        <v/>
      </c>
      <c r="AO131" t="str">
        <f ca="1">IF(A131&lt;&gt;"", IF(OR(F131="1",H131="1",I131="1"),""," "&amp; HELPER!$B$94 &amp; "." &amp; A131),"")</f>
        <v/>
      </c>
      <c r="AP131" t="str">
        <f t="shared" ca="1" si="194"/>
        <v/>
      </c>
      <c r="AQ131" t="str">
        <f t="shared" ca="1" si="178"/>
        <v/>
      </c>
      <c r="AS131" t="str">
        <f ca="1">IF(A131="","",  HELPER!$B$94 &amp;  "." &amp; A131)</f>
        <v/>
      </c>
      <c r="AT131" t="str">
        <f t="shared" ca="1" si="195"/>
        <v/>
      </c>
      <c r="AU131" t="str">
        <f t="shared" ca="1" si="196"/>
        <v/>
      </c>
      <c r="AV131" s="190" t="str">
        <f t="shared" ca="1" si="197"/>
        <v/>
      </c>
      <c r="AW131" t="str">
        <f t="shared" ca="1" si="198"/>
        <v/>
      </c>
      <c r="AY131" t="str">
        <f t="shared" ca="1" si="199"/>
        <v/>
      </c>
      <c r="BF131" t="str">
        <f t="shared" ca="1" si="200"/>
        <v/>
      </c>
      <c r="BH131" s="285" t="str">
        <f t="shared" ref="BH131:BH150" ca="1" si="214">IF(G131="", IF(B131="","","COALESCE(" &amp; B131 &amp; "," &amp; IF(C131="string","''",0 ) &amp; ") AS " &amp; A131),G131 &amp; " AS " &amp;A131 )</f>
        <v/>
      </c>
      <c r="BI131" t="str">
        <f t="shared" ca="1" si="201"/>
        <v/>
      </c>
      <c r="BJ131" t="str">
        <f t="shared" ca="1" si="202"/>
        <v/>
      </c>
      <c r="BK131" t="str">
        <f t="shared" ref="BK131:BK150" ca="1" si="215">IF(A131="","", IF(OR(F131="1",E131="4", I131="1",H131="1"), IF(I131="1","-1",IF(C131="string","'missing'","0")),""))</f>
        <v/>
      </c>
      <c r="BM131" t="str">
        <f t="shared" ref="BM131:BM150" ca="1" si="216">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7">IF(A131="","",IF(I131="1","",IF(C131&lt;&gt;D131, IF(AND(D131="string",C131="timestamp"),"cast(from_iso8601_timestamp(" &amp; BO131 &amp; ") as timestamp) AS " &amp; A131, IF(AND(D131="string",C131="date"),"cast( from_iso8601_timestamp(" &amp; BO131 &amp;") as date) AS " &amp; A131,"")),BO131 &amp; " AS " &amp; A131)))</f>
        <v/>
      </c>
      <c r="BO131" t="str">
        <f t="shared" ca="1" si="203"/>
        <v/>
      </c>
      <c r="BP131" t="b">
        <f ca="1">COUNTIF(COLHELPER!A131:'COLHELPER'!A131,COLHELPER!A131)&gt;1</f>
        <v>0</v>
      </c>
      <c r="BQ131">
        <f t="shared" ca="1" si="204"/>
        <v>0</v>
      </c>
      <c r="BR131" s="290" t="str">
        <f t="shared" ca="1" si="137"/>
        <v/>
      </c>
      <c r="BS131" t="str">
        <f t="shared" ca="1" si="205"/>
        <v/>
      </c>
      <c r="BT131" t="str">
        <f t="shared" ref="BT131:BT150" ca="1" si="218">IF(N131="","", SUBSTITUTE( SUBSTITUTE(BR131,"[:date_yyyy_mm_dd]", N131),"[:date_yyymm]",N131))</f>
        <v/>
      </c>
      <c r="BU131" t="str">
        <f t="shared" ca="1" si="206"/>
        <v/>
      </c>
      <c r="BV131">
        <f t="shared" ca="1" si="207"/>
        <v>0</v>
      </c>
      <c r="BW131" t="str">
        <f t="shared" ca="1" si="208"/>
        <v/>
      </c>
      <c r="BX131" t="str">
        <f t="shared" ca="1" si="209"/>
        <v/>
      </c>
      <c r="BY131" t="str">
        <f ca="1">IF(R131="","",IF(R131&gt;Options!$B$3,"ALTER TABLE "&amp;HELPER!$B$4&amp;" ADD COLUMNS ("&amp;A131&amp;" "&amp;C131&amp;")",""))</f>
        <v/>
      </c>
      <c r="BZ131" t="str">
        <f ca="1">IF(R131="","",IF(R131&gt;Options!$B$3,A131,""))</f>
        <v/>
      </c>
      <c r="CA131" t="str">
        <f ca="1">IF(R131="","",IF(R131&gt;Options!$B$3,B131,""))</f>
        <v/>
      </c>
      <c r="CB131" t="str">
        <f t="shared" ca="1" si="210"/>
        <v/>
      </c>
      <c r="CC131">
        <f t="shared" ca="1" si="211"/>
        <v>0</v>
      </c>
      <c r="CD131" t="str">
        <f ca="1">IF(J131="","",Options!$B$23 &amp; "." &amp; J131)</f>
        <v/>
      </c>
    </row>
    <row r="132" spans="1:82">
      <c r="A132" s="161" t="str">
        <f t="array" aca="1" ref="A132" ca="1">IF(TRIM(INDIRECT("Columns!A132")) ="","",TRIM(INDIRECT("Columns!A132")))</f>
        <v/>
      </c>
      <c r="B132" s="161" t="str">
        <f t="shared" ca="1" si="179"/>
        <v/>
      </c>
      <c r="C132" s="161" t="str">
        <f t="shared" ca="1" si="180"/>
        <v/>
      </c>
      <c r="D132" s="161" t="str">
        <f t="shared" ca="1" si="181"/>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7" t="str">
        <f t="array" aca="1" ref="O132" ca="1">IF(TRIM(INDIRECT("Columns!B132"))="","",TRIM(INDIRECT("Columns!B132")))</f>
        <v/>
      </c>
      <c r="P132" s="227" t="str">
        <f t="array" aca="1" ref="P132" ca="1">IF(TRIM(INDIRECT("Columns!C132"))="","",TRIM(INDIRECT("Columns!C132")))</f>
        <v/>
      </c>
      <c r="Q132" s="227" t="str">
        <f t="array" aca="1" ref="Q132" ca="1">IF(TRIM(INDIRECT("Columns!D132"))="","",TRIM(INDIRECT("Columns!D132")))</f>
        <v/>
      </c>
      <c r="R132" s="227" t="str">
        <f t="array" aca="1" ref="R132" ca="1">IF(TRIM(INDIRECT("Columns!O132"))="","",TRIM(INDIRECT("Columns!O132")))</f>
        <v/>
      </c>
      <c r="S132" t="str">
        <f t="shared" ca="1" si="182"/>
        <v/>
      </c>
      <c r="T132" t="str">
        <f t="shared" ca="1" si="183"/>
        <v/>
      </c>
      <c r="U132" t="str">
        <f t="shared" ca="1" si="184"/>
        <v/>
      </c>
      <c r="V132" t="str">
        <f t="shared" ca="1" si="185"/>
        <v/>
      </c>
      <c r="W132" t="str">
        <f t="shared" ca="1" si="186"/>
        <v/>
      </c>
      <c r="X132" t="str">
        <f t="shared" ca="1" si="187"/>
        <v/>
      </c>
      <c r="Y132" t="str">
        <f t="shared" ca="1" si="188"/>
        <v/>
      </c>
      <c r="Z132" t="str">
        <f t="shared" ca="1" si="212"/>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89"/>
        <v/>
      </c>
      <c r="AF132" t="str">
        <f ca="1">IF(AE132&lt;&gt;"", HELPER!$B$93 &amp;  "." &amp; AE132,"")</f>
        <v/>
      </c>
      <c r="AG132" t="str">
        <f ca="1">IF(AE132&lt;&gt;"", HELPER!$B$94 &amp; "." &amp; AE132,"")</f>
        <v/>
      </c>
      <c r="AH132" t="str">
        <f t="shared" ca="1" si="213"/>
        <v/>
      </c>
      <c r="AI132" t="str">
        <f t="shared" ca="1" si="190"/>
        <v/>
      </c>
      <c r="AJ132" t="str">
        <f t="shared" ca="1" si="191"/>
        <v/>
      </c>
      <c r="AK132" t="str">
        <f ca="1">IF(E132="4", HELPER!$B$94 &amp;  "." &amp; A132,"")</f>
        <v/>
      </c>
      <c r="AL132" t="str">
        <f ca="1">IF(E132="4", HELPER!$B$93 &amp;  "." &amp; A132,"")</f>
        <v/>
      </c>
      <c r="AM132" t="str">
        <f t="shared" ca="1" si="192"/>
        <v/>
      </c>
      <c r="AN132" t="str">
        <f t="shared" ca="1" si="193"/>
        <v/>
      </c>
      <c r="AO132" t="str">
        <f ca="1">IF(A132&lt;&gt;"", IF(OR(F132="1",H132="1",I132="1"),""," "&amp; HELPER!$B$94 &amp; "." &amp; A132),"")</f>
        <v/>
      </c>
      <c r="AP132" t="str">
        <f t="shared" ca="1" si="194"/>
        <v/>
      </c>
      <c r="AQ132" t="str">
        <f t="shared" ref="AQ132:AQ150" ca="1" si="219">IF(A132="","", IF(E132="4", IF(AN132="","",AN132 &amp; " = " &amp; AO132),""))</f>
        <v/>
      </c>
      <c r="AS132" t="str">
        <f ca="1">IF(A132="","",  HELPER!$B$94 &amp;  "." &amp; A132)</f>
        <v/>
      </c>
      <c r="AT132" t="str">
        <f t="shared" ca="1" si="195"/>
        <v/>
      </c>
      <c r="AU132" t="str">
        <f t="shared" ca="1" si="196"/>
        <v/>
      </c>
      <c r="AV132" s="190" t="str">
        <f t="shared" ca="1" si="197"/>
        <v/>
      </c>
      <c r="AW132" t="str">
        <f t="shared" ca="1" si="198"/>
        <v/>
      </c>
      <c r="AY132" t="str">
        <f t="shared" ca="1" si="199"/>
        <v/>
      </c>
      <c r="BF132" t="str">
        <f t="shared" ca="1" si="200"/>
        <v/>
      </c>
      <c r="BH132" s="285" t="str">
        <f t="shared" ca="1" si="214"/>
        <v/>
      </c>
      <c r="BI132" t="str">
        <f t="shared" ca="1" si="201"/>
        <v/>
      </c>
      <c r="BJ132" t="str">
        <f t="shared" ca="1" si="202"/>
        <v/>
      </c>
      <c r="BK132" t="str">
        <f t="shared" ca="1" si="215"/>
        <v/>
      </c>
      <c r="BM132" t="str">
        <f t="shared" ca="1" si="216"/>
        <v/>
      </c>
      <c r="BN132" t="str">
        <f t="shared" ca="1" si="217"/>
        <v/>
      </c>
      <c r="BO132" t="str">
        <f t="shared" ca="1" si="203"/>
        <v/>
      </c>
      <c r="BP132" t="b">
        <f ca="1">COUNTIF(COLHELPER!A132:'COLHELPER'!A132,COLHELPER!A132)&gt;1</f>
        <v>0</v>
      </c>
      <c r="BQ132">
        <f t="shared" ca="1" si="204"/>
        <v>0</v>
      </c>
      <c r="BR132" s="290" t="str">
        <f t="shared" ca="1" si="137"/>
        <v/>
      </c>
      <c r="BS132" t="str">
        <f t="shared" ca="1" si="205"/>
        <v/>
      </c>
      <c r="BT132" t="str">
        <f t="shared" ca="1" si="218"/>
        <v/>
      </c>
      <c r="BU132" t="str">
        <f t="shared" ca="1" si="206"/>
        <v/>
      </c>
      <c r="BV132">
        <f t="shared" ca="1" si="207"/>
        <v>0</v>
      </c>
      <c r="BW132" t="str">
        <f t="shared" ca="1" si="208"/>
        <v/>
      </c>
      <c r="BX132" t="str">
        <f t="shared" ca="1" si="209"/>
        <v/>
      </c>
      <c r="BY132" t="str">
        <f ca="1">IF(R132="","",IF(R132&gt;Options!$B$3,"ALTER TABLE "&amp;HELPER!$B$4&amp;" ADD COLUMNS ("&amp;A132&amp;" "&amp;C132&amp;")",""))</f>
        <v/>
      </c>
      <c r="BZ132" t="str">
        <f ca="1">IF(R132="","",IF(R132&gt;Options!$B$3,A132,""))</f>
        <v/>
      </c>
      <c r="CA132" t="str">
        <f ca="1">IF(R132="","",IF(R132&gt;Options!$B$3,B132,""))</f>
        <v/>
      </c>
      <c r="CB132" t="str">
        <f t="shared" ca="1" si="210"/>
        <v/>
      </c>
      <c r="CC132">
        <f t="shared" ca="1" si="211"/>
        <v>0</v>
      </c>
      <c r="CD132" t="str">
        <f ca="1">IF(J132="","",Options!$B$23 &amp; "." &amp; J132)</f>
        <v/>
      </c>
    </row>
    <row r="133" spans="1:82">
      <c r="A133" s="161" t="str">
        <f t="array" aca="1" ref="A133" ca="1">IF(TRIM(INDIRECT("Columns!A133")) ="","",TRIM(INDIRECT("Columns!A133")))</f>
        <v/>
      </c>
      <c r="B133" s="161" t="str">
        <f t="shared" ca="1" si="179"/>
        <v/>
      </c>
      <c r="C133" s="161" t="str">
        <f t="shared" ca="1" si="180"/>
        <v/>
      </c>
      <c r="D133" s="161" t="str">
        <f t="shared" ca="1" si="181"/>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7" t="str">
        <f t="array" aca="1" ref="O133" ca="1">IF(TRIM(INDIRECT("Columns!B133"))="","",TRIM(INDIRECT("Columns!B133")))</f>
        <v/>
      </c>
      <c r="P133" s="227" t="str">
        <f t="array" aca="1" ref="P133" ca="1">IF(TRIM(INDIRECT("Columns!C133"))="","",TRIM(INDIRECT("Columns!C133")))</f>
        <v/>
      </c>
      <c r="Q133" s="227" t="str">
        <f t="array" aca="1" ref="Q133" ca="1">IF(TRIM(INDIRECT("Columns!D133"))="","",TRIM(INDIRECT("Columns!D133")))</f>
        <v/>
      </c>
      <c r="R133" s="227" t="str">
        <f t="array" aca="1" ref="R133" ca="1">IF(TRIM(INDIRECT("Columns!O133"))="","",TRIM(INDIRECT("Columns!O133")))</f>
        <v/>
      </c>
      <c r="S133" t="str">
        <f t="shared" ca="1" si="182"/>
        <v/>
      </c>
      <c r="T133" t="str">
        <f t="shared" ca="1" si="183"/>
        <v/>
      </c>
      <c r="U133" t="str">
        <f t="shared" ca="1" si="184"/>
        <v/>
      </c>
      <c r="V133" t="str">
        <f t="shared" ca="1" si="185"/>
        <v/>
      </c>
      <c r="W133" t="str">
        <f t="shared" ca="1" si="186"/>
        <v/>
      </c>
      <c r="X133" t="str">
        <f t="shared" ca="1" si="187"/>
        <v/>
      </c>
      <c r="Y133" t="str">
        <f t="shared" ca="1" si="188"/>
        <v/>
      </c>
      <c r="Z133" t="str">
        <f t="shared" ca="1" si="212"/>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89"/>
        <v/>
      </c>
      <c r="AF133" t="str">
        <f ca="1">IF(AE133&lt;&gt;"", HELPER!$B$93 &amp;  "." &amp; AE133,"")</f>
        <v/>
      </c>
      <c r="AG133" t="str">
        <f ca="1">IF(AE133&lt;&gt;"", HELPER!$B$94 &amp; "." &amp; AE133,"")</f>
        <v/>
      </c>
      <c r="AH133" t="str">
        <f t="shared" ca="1" si="213"/>
        <v/>
      </c>
      <c r="AI133" t="str">
        <f t="shared" ca="1" si="190"/>
        <v/>
      </c>
      <c r="AJ133" t="str">
        <f t="shared" ca="1" si="191"/>
        <v/>
      </c>
      <c r="AK133" t="str">
        <f ca="1">IF(E133="4", HELPER!$B$94 &amp;  "." &amp; A133,"")</f>
        <v/>
      </c>
      <c r="AL133" t="str">
        <f ca="1">IF(E133="4", HELPER!$B$93 &amp;  "." &amp; A133,"")</f>
        <v/>
      </c>
      <c r="AM133" t="str">
        <f t="shared" ca="1" si="192"/>
        <v/>
      </c>
      <c r="AN133" t="str">
        <f t="shared" ca="1" si="193"/>
        <v/>
      </c>
      <c r="AO133" t="str">
        <f ca="1">IF(A133&lt;&gt;"", IF(OR(F133="1",H133="1",I133="1"),""," "&amp; HELPER!$B$94 &amp; "." &amp; A133),"")</f>
        <v/>
      </c>
      <c r="AP133" t="str">
        <f t="shared" ca="1" si="194"/>
        <v/>
      </c>
      <c r="AQ133" t="str">
        <f t="shared" ca="1" si="219"/>
        <v/>
      </c>
      <c r="AS133" t="str">
        <f ca="1">IF(A133="","",  HELPER!$B$94 &amp;  "." &amp; A133)</f>
        <v/>
      </c>
      <c r="AT133" t="str">
        <f t="shared" ca="1" si="195"/>
        <v/>
      </c>
      <c r="AU133" t="str">
        <f t="shared" ca="1" si="196"/>
        <v/>
      </c>
      <c r="AV133" s="190" t="str">
        <f t="shared" ca="1" si="197"/>
        <v/>
      </c>
      <c r="AW133" t="str">
        <f t="shared" ca="1" si="198"/>
        <v/>
      </c>
      <c r="AY133" t="str">
        <f t="shared" ca="1" si="199"/>
        <v/>
      </c>
      <c r="BF133" t="str">
        <f t="shared" ca="1" si="200"/>
        <v/>
      </c>
      <c r="BH133" s="285" t="str">
        <f t="shared" ca="1" si="214"/>
        <v/>
      </c>
      <c r="BI133" t="str">
        <f t="shared" ca="1" si="201"/>
        <v/>
      </c>
      <c r="BJ133" t="str">
        <f t="shared" ca="1" si="202"/>
        <v/>
      </c>
      <c r="BK133" t="str">
        <f t="shared" ca="1" si="215"/>
        <v/>
      </c>
      <c r="BM133" t="str">
        <f t="shared" ca="1" si="216"/>
        <v/>
      </c>
      <c r="BN133" t="str">
        <f t="shared" ca="1" si="217"/>
        <v/>
      </c>
      <c r="BO133" t="str">
        <f t="shared" ca="1" si="203"/>
        <v/>
      </c>
      <c r="BP133" t="b">
        <f ca="1">COUNTIF(COLHELPER!A133:'COLHELPER'!A133,COLHELPER!A133)&gt;1</f>
        <v>0</v>
      </c>
      <c r="BQ133">
        <f t="shared" ca="1" si="204"/>
        <v>0</v>
      </c>
      <c r="BR133" s="290" t="str">
        <f t="shared" ref="BR133:BR150" ca="1" si="220">SUBSTITUTE(IF(M133&lt;&gt;"",A133 &amp; M133,""),"$eq","=")</f>
        <v/>
      </c>
      <c r="BS133" t="str">
        <f t="shared" ca="1" si="205"/>
        <v/>
      </c>
      <c r="BT133" t="str">
        <f t="shared" ca="1" si="218"/>
        <v/>
      </c>
      <c r="BU133" t="str">
        <f t="shared" ca="1" si="206"/>
        <v/>
      </c>
      <c r="BV133">
        <f t="shared" ca="1" si="207"/>
        <v>0</v>
      </c>
      <c r="BW133" t="str">
        <f t="shared" ca="1" si="208"/>
        <v/>
      </c>
      <c r="BX133" t="str">
        <f t="shared" ca="1" si="209"/>
        <v/>
      </c>
      <c r="BY133" t="str">
        <f ca="1">IF(R133="","",IF(R133&gt;Options!$B$3,"ALTER TABLE "&amp;HELPER!$B$4&amp;" ADD COLUMNS ("&amp;A133&amp;" "&amp;C133&amp;")",""))</f>
        <v/>
      </c>
      <c r="BZ133" t="str">
        <f ca="1">IF(R133="","",IF(R133&gt;Options!$B$3,A133,""))</f>
        <v/>
      </c>
      <c r="CA133" t="str">
        <f ca="1">IF(R133="","",IF(R133&gt;Options!$B$3,B133,""))</f>
        <v/>
      </c>
      <c r="CB133" t="str">
        <f t="shared" ca="1" si="210"/>
        <v/>
      </c>
      <c r="CC133">
        <f t="shared" ca="1" si="211"/>
        <v>0</v>
      </c>
      <c r="CD133" t="str">
        <f ca="1">IF(J133="","",Options!$B$23 &amp; "." &amp; J133)</f>
        <v/>
      </c>
    </row>
    <row r="134" spans="1:82">
      <c r="A134" s="161" t="str">
        <f t="array" aca="1" ref="A134" ca="1">IF(TRIM(INDIRECT("Columns!A134")) ="","",TRIM(INDIRECT("Columns!A134")))</f>
        <v/>
      </c>
      <c r="B134" s="161" t="str">
        <f t="shared" ca="1" si="179"/>
        <v/>
      </c>
      <c r="C134" s="161" t="str">
        <f t="shared" ca="1" si="180"/>
        <v/>
      </c>
      <c r="D134" s="161" t="str">
        <f t="shared" ca="1" si="181"/>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7" t="str">
        <f t="array" aca="1" ref="O134" ca="1">IF(TRIM(INDIRECT("Columns!B134"))="","",TRIM(INDIRECT("Columns!B134")))</f>
        <v/>
      </c>
      <c r="P134" s="227" t="str">
        <f t="array" aca="1" ref="P134" ca="1">IF(TRIM(INDIRECT("Columns!C134"))="","",TRIM(INDIRECT("Columns!C134")))</f>
        <v/>
      </c>
      <c r="Q134" s="227" t="str">
        <f t="array" aca="1" ref="Q134" ca="1">IF(TRIM(INDIRECT("Columns!D134"))="","",TRIM(INDIRECT("Columns!D134")))</f>
        <v/>
      </c>
      <c r="R134" s="227" t="str">
        <f t="array" aca="1" ref="R134" ca="1">IF(TRIM(INDIRECT("Columns!O134"))="","",TRIM(INDIRECT("Columns!O134")))</f>
        <v/>
      </c>
      <c r="S134" t="str">
        <f t="shared" ca="1" si="182"/>
        <v/>
      </c>
      <c r="T134" t="str">
        <f t="shared" ca="1" si="183"/>
        <v/>
      </c>
      <c r="U134" t="str">
        <f t="shared" ca="1" si="184"/>
        <v/>
      </c>
      <c r="V134" t="str">
        <f t="shared" ca="1" si="185"/>
        <v/>
      </c>
      <c r="W134" t="str">
        <f t="shared" ca="1" si="186"/>
        <v/>
      </c>
      <c r="X134" t="str">
        <f t="shared" ca="1" si="187"/>
        <v/>
      </c>
      <c r="Y134" t="str">
        <f t="shared" ca="1" si="188"/>
        <v/>
      </c>
      <c r="Z134" t="str">
        <f t="shared" ca="1" si="212"/>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89"/>
        <v/>
      </c>
      <c r="AF134" t="str">
        <f ca="1">IF(AE134&lt;&gt;"", HELPER!$B$93 &amp;  "." &amp; AE134,"")</f>
        <v/>
      </c>
      <c r="AG134" t="str">
        <f ca="1">IF(AE134&lt;&gt;"", HELPER!$B$94 &amp; "." &amp; AE134,"")</f>
        <v/>
      </c>
      <c r="AH134" t="str">
        <f t="shared" ca="1" si="213"/>
        <v/>
      </c>
      <c r="AI134" t="str">
        <f t="shared" ca="1" si="190"/>
        <v/>
      </c>
      <c r="AJ134" t="str">
        <f t="shared" ca="1" si="191"/>
        <v/>
      </c>
      <c r="AK134" t="str">
        <f ca="1">IF(E134="4", HELPER!$B$94 &amp;  "." &amp; A134,"")</f>
        <v/>
      </c>
      <c r="AL134" t="str">
        <f ca="1">IF(E134="4", HELPER!$B$93 &amp;  "." &amp; A134,"")</f>
        <v/>
      </c>
      <c r="AM134" t="str">
        <f t="shared" ca="1" si="192"/>
        <v/>
      </c>
      <c r="AN134" t="str">
        <f t="shared" ca="1" si="193"/>
        <v/>
      </c>
      <c r="AO134" t="str">
        <f ca="1">IF(A134&lt;&gt;"", IF(OR(F134="1",H134="1",I134="1"),""," "&amp; HELPER!$B$94 &amp; "." &amp; A134),"")</f>
        <v/>
      </c>
      <c r="AP134" t="str">
        <f t="shared" ca="1" si="194"/>
        <v/>
      </c>
      <c r="AQ134" t="str">
        <f t="shared" ca="1" si="219"/>
        <v/>
      </c>
      <c r="AS134" t="str">
        <f ca="1">IF(A134="","",  HELPER!$B$94 &amp;  "." &amp; A134)</f>
        <v/>
      </c>
      <c r="AT134" t="str">
        <f t="shared" ca="1" si="195"/>
        <v/>
      </c>
      <c r="AU134" t="str">
        <f t="shared" ca="1" si="196"/>
        <v/>
      </c>
      <c r="AV134" s="190" t="str">
        <f t="shared" ca="1" si="197"/>
        <v/>
      </c>
      <c r="AW134" t="str">
        <f t="shared" ca="1" si="198"/>
        <v/>
      </c>
      <c r="AY134" t="str">
        <f t="shared" ca="1" si="199"/>
        <v/>
      </c>
      <c r="BF134" t="str">
        <f t="shared" ca="1" si="200"/>
        <v/>
      </c>
      <c r="BH134" s="285" t="str">
        <f t="shared" ca="1" si="214"/>
        <v/>
      </c>
      <c r="BI134" t="str">
        <f t="shared" ca="1" si="201"/>
        <v/>
      </c>
      <c r="BJ134" t="str">
        <f t="shared" ca="1" si="202"/>
        <v/>
      </c>
      <c r="BK134" t="str">
        <f t="shared" ca="1" si="215"/>
        <v/>
      </c>
      <c r="BM134" t="str">
        <f t="shared" ca="1" si="216"/>
        <v/>
      </c>
      <c r="BN134" t="str">
        <f t="shared" ca="1" si="217"/>
        <v/>
      </c>
      <c r="BO134" t="str">
        <f t="shared" ca="1" si="203"/>
        <v/>
      </c>
      <c r="BP134" t="b">
        <f ca="1">COUNTIF(COLHELPER!A134:'COLHELPER'!A134,COLHELPER!A134)&gt;1</f>
        <v>0</v>
      </c>
      <c r="BQ134">
        <f t="shared" ca="1" si="204"/>
        <v>0</v>
      </c>
      <c r="BR134" s="290" t="str">
        <f t="shared" ca="1" si="220"/>
        <v/>
      </c>
      <c r="BS134" t="str">
        <f t="shared" ca="1" si="205"/>
        <v/>
      </c>
      <c r="BT134" t="str">
        <f t="shared" ca="1" si="218"/>
        <v/>
      </c>
      <c r="BU134" t="str">
        <f t="shared" ca="1" si="206"/>
        <v/>
      </c>
      <c r="BV134">
        <f t="shared" ca="1" si="207"/>
        <v>0</v>
      </c>
      <c r="BW134" t="str">
        <f t="shared" ca="1" si="208"/>
        <v/>
      </c>
      <c r="BX134" t="str">
        <f t="shared" ca="1" si="209"/>
        <v/>
      </c>
      <c r="BY134" t="str">
        <f ca="1">IF(R134="","",IF(R134&gt;Options!$B$3,"ALTER TABLE "&amp;HELPER!$B$4&amp;" ADD COLUMNS ("&amp;A134&amp;" "&amp;C134&amp;")",""))</f>
        <v/>
      </c>
      <c r="BZ134" t="str">
        <f ca="1">IF(R134="","",IF(R134&gt;Options!$B$3,A134,""))</f>
        <v/>
      </c>
      <c r="CA134" t="str">
        <f ca="1">IF(R134="","",IF(R134&gt;Options!$B$3,B134,""))</f>
        <v/>
      </c>
      <c r="CB134" t="str">
        <f t="shared" ca="1" si="210"/>
        <v/>
      </c>
      <c r="CC134">
        <f t="shared" ca="1" si="211"/>
        <v>0</v>
      </c>
      <c r="CD134" t="str">
        <f ca="1">IF(J134="","",Options!$B$23 &amp; "." &amp; J134)</f>
        <v/>
      </c>
    </row>
    <row r="135" spans="1:82">
      <c r="A135" s="161" t="str">
        <f t="array" aca="1" ref="A135" ca="1">IF(TRIM(INDIRECT("Columns!A135")) ="","",TRIM(INDIRECT("Columns!A135")))</f>
        <v/>
      </c>
      <c r="B135" s="161" t="str">
        <f t="shared" ca="1" si="179"/>
        <v/>
      </c>
      <c r="C135" s="161" t="str">
        <f t="shared" ca="1" si="180"/>
        <v/>
      </c>
      <c r="D135" s="161" t="str">
        <f t="shared" ca="1" si="181"/>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7" t="str">
        <f t="array" aca="1" ref="O135" ca="1">IF(TRIM(INDIRECT("Columns!B135"))="","",TRIM(INDIRECT("Columns!B135")))</f>
        <v/>
      </c>
      <c r="P135" s="227" t="str">
        <f t="array" aca="1" ref="P135" ca="1">IF(TRIM(INDIRECT("Columns!C135"))="","",TRIM(INDIRECT("Columns!C135")))</f>
        <v/>
      </c>
      <c r="Q135" s="227" t="str">
        <f t="array" aca="1" ref="Q135" ca="1">IF(TRIM(INDIRECT("Columns!D135"))="","",TRIM(INDIRECT("Columns!D135")))</f>
        <v/>
      </c>
      <c r="R135" s="227" t="str">
        <f t="array" aca="1" ref="R135" ca="1">IF(TRIM(INDIRECT("Columns!O135"))="","",TRIM(INDIRECT("Columns!O135")))</f>
        <v/>
      </c>
      <c r="S135" t="str">
        <f t="shared" ca="1" si="182"/>
        <v/>
      </c>
      <c r="T135" t="str">
        <f t="shared" ca="1" si="183"/>
        <v/>
      </c>
      <c r="U135" t="str">
        <f t="shared" ca="1" si="184"/>
        <v/>
      </c>
      <c r="V135" t="str">
        <f t="shared" ca="1" si="185"/>
        <v/>
      </c>
      <c r="W135" t="str">
        <f t="shared" ca="1" si="186"/>
        <v/>
      </c>
      <c r="X135" t="str">
        <f t="shared" ca="1" si="187"/>
        <v/>
      </c>
      <c r="Y135" t="str">
        <f t="shared" ca="1" si="188"/>
        <v/>
      </c>
      <c r="Z135" t="str">
        <f t="shared" ca="1" si="212"/>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89"/>
        <v/>
      </c>
      <c r="AF135" t="str">
        <f ca="1">IF(AE135&lt;&gt;"", HELPER!$B$93 &amp;  "." &amp; AE135,"")</f>
        <v/>
      </c>
      <c r="AG135" t="str">
        <f ca="1">IF(AE135&lt;&gt;"", HELPER!$B$94 &amp; "." &amp; AE135,"")</f>
        <v/>
      </c>
      <c r="AH135" t="str">
        <f t="shared" ca="1" si="213"/>
        <v/>
      </c>
      <c r="AI135" t="str">
        <f t="shared" ca="1" si="190"/>
        <v/>
      </c>
      <c r="AJ135" t="str">
        <f t="shared" ca="1" si="191"/>
        <v/>
      </c>
      <c r="AK135" t="str">
        <f ca="1">IF(E135="4", HELPER!$B$94 &amp;  "." &amp; A135,"")</f>
        <v/>
      </c>
      <c r="AL135" t="str">
        <f ca="1">IF(E135="4", HELPER!$B$93 &amp;  "." &amp; A135,"")</f>
        <v/>
      </c>
      <c r="AM135" t="str">
        <f t="shared" ca="1" si="192"/>
        <v/>
      </c>
      <c r="AN135" t="str">
        <f t="shared" ca="1" si="193"/>
        <v/>
      </c>
      <c r="AO135" t="str">
        <f ca="1">IF(A135&lt;&gt;"", IF(OR(F135="1",H135="1",I135="1"),""," "&amp; HELPER!$B$94 &amp; "." &amp; A135),"")</f>
        <v/>
      </c>
      <c r="AP135" t="str">
        <f t="shared" ca="1" si="194"/>
        <v/>
      </c>
      <c r="AQ135" t="str">
        <f t="shared" ca="1" si="219"/>
        <v/>
      </c>
      <c r="AS135" t="str">
        <f ca="1">IF(A135="","",  HELPER!$B$94 &amp;  "." &amp; A135)</f>
        <v/>
      </c>
      <c r="AT135" t="str">
        <f t="shared" ca="1" si="195"/>
        <v/>
      </c>
      <c r="AU135" t="str">
        <f t="shared" ca="1" si="196"/>
        <v/>
      </c>
      <c r="AV135" s="190" t="str">
        <f t="shared" ca="1" si="197"/>
        <v/>
      </c>
      <c r="AW135" t="str">
        <f t="shared" ca="1" si="198"/>
        <v/>
      </c>
      <c r="AY135" t="str">
        <f t="shared" ca="1" si="199"/>
        <v/>
      </c>
      <c r="BF135" t="str">
        <f t="shared" ca="1" si="200"/>
        <v/>
      </c>
      <c r="BH135" s="285" t="str">
        <f t="shared" ca="1" si="214"/>
        <v/>
      </c>
      <c r="BI135" t="str">
        <f t="shared" ca="1" si="201"/>
        <v/>
      </c>
      <c r="BJ135" t="str">
        <f t="shared" ca="1" si="202"/>
        <v/>
      </c>
      <c r="BK135" t="str">
        <f t="shared" ca="1" si="215"/>
        <v/>
      </c>
      <c r="BM135" t="str">
        <f t="shared" ca="1" si="216"/>
        <v/>
      </c>
      <c r="BN135" t="str">
        <f t="shared" ca="1" si="217"/>
        <v/>
      </c>
      <c r="BO135" t="str">
        <f t="shared" ca="1" si="203"/>
        <v/>
      </c>
      <c r="BP135" t="b">
        <f ca="1">COUNTIF(COLHELPER!A135:'COLHELPER'!A135,COLHELPER!A135)&gt;1</f>
        <v>0</v>
      </c>
      <c r="BQ135">
        <f t="shared" ca="1" si="204"/>
        <v>0</v>
      </c>
      <c r="BR135" s="290" t="str">
        <f t="shared" ca="1" si="220"/>
        <v/>
      </c>
      <c r="BS135" t="str">
        <f t="shared" ca="1" si="205"/>
        <v/>
      </c>
      <c r="BT135" t="str">
        <f t="shared" ca="1" si="218"/>
        <v/>
      </c>
      <c r="BU135" t="str">
        <f t="shared" ca="1" si="206"/>
        <v/>
      </c>
      <c r="BV135">
        <f t="shared" ca="1" si="207"/>
        <v>0</v>
      </c>
      <c r="BW135" t="str">
        <f t="shared" ca="1" si="208"/>
        <v/>
      </c>
      <c r="BX135" t="str">
        <f t="shared" ca="1" si="209"/>
        <v/>
      </c>
      <c r="BY135" t="str">
        <f ca="1">IF(R135="","",IF(R135&gt;Options!$B$3,"ALTER TABLE "&amp;HELPER!$B$4&amp;" ADD COLUMNS ("&amp;A135&amp;" "&amp;C135&amp;")",""))</f>
        <v/>
      </c>
      <c r="BZ135" t="str">
        <f ca="1">IF(R135="","",IF(R135&gt;Options!$B$3,A135,""))</f>
        <v/>
      </c>
      <c r="CA135" t="str">
        <f ca="1">IF(R135="","",IF(R135&gt;Options!$B$3,B135,""))</f>
        <v/>
      </c>
      <c r="CB135" t="str">
        <f t="shared" ca="1" si="210"/>
        <v/>
      </c>
      <c r="CC135">
        <f t="shared" ca="1" si="211"/>
        <v>0</v>
      </c>
      <c r="CD135" t="str">
        <f ca="1">IF(J135="","",Options!$B$23 &amp; "." &amp; J135)</f>
        <v/>
      </c>
    </row>
    <row r="136" spans="1:82">
      <c r="A136" s="161" t="str">
        <f t="array" aca="1" ref="A136" ca="1">IF(TRIM(INDIRECT("Columns!A136")) ="","",TRIM(INDIRECT("Columns!A136")))</f>
        <v/>
      </c>
      <c r="B136" s="161" t="str">
        <f t="shared" ca="1" si="179"/>
        <v/>
      </c>
      <c r="C136" s="161" t="str">
        <f t="shared" ca="1" si="180"/>
        <v/>
      </c>
      <c r="D136" s="161" t="str">
        <f t="shared" ca="1" si="181"/>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7" t="str">
        <f t="array" aca="1" ref="O136" ca="1">IF(TRIM(INDIRECT("Columns!B136"))="","",TRIM(INDIRECT("Columns!B136")))</f>
        <v/>
      </c>
      <c r="P136" s="227" t="str">
        <f t="array" aca="1" ref="P136" ca="1">IF(TRIM(INDIRECT("Columns!C136"))="","",TRIM(INDIRECT("Columns!C136")))</f>
        <v/>
      </c>
      <c r="Q136" s="227" t="str">
        <f t="array" aca="1" ref="Q136" ca="1">IF(TRIM(INDIRECT("Columns!D136"))="","",TRIM(INDIRECT("Columns!D136")))</f>
        <v/>
      </c>
      <c r="R136" s="227" t="str">
        <f t="array" aca="1" ref="R136" ca="1">IF(TRIM(INDIRECT("Columns!O136"))="","",TRIM(INDIRECT("Columns!O136")))</f>
        <v/>
      </c>
      <c r="S136" t="str">
        <f t="shared" ca="1" si="182"/>
        <v/>
      </c>
      <c r="T136" t="str">
        <f t="shared" ca="1" si="183"/>
        <v/>
      </c>
      <c r="U136" t="str">
        <f t="shared" ca="1" si="184"/>
        <v/>
      </c>
      <c r="V136" t="str">
        <f t="shared" ca="1" si="185"/>
        <v/>
      </c>
      <c r="W136" t="str">
        <f t="shared" ca="1" si="186"/>
        <v/>
      </c>
      <c r="X136" t="str">
        <f t="shared" ca="1" si="187"/>
        <v/>
      </c>
      <c r="Y136" t="str">
        <f t="shared" ca="1" si="188"/>
        <v/>
      </c>
      <c r="Z136" t="str">
        <f t="shared" ca="1" si="212"/>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89"/>
        <v/>
      </c>
      <c r="AF136" t="str">
        <f ca="1">IF(AE136&lt;&gt;"", HELPER!$B$93 &amp;  "." &amp; AE136,"")</f>
        <v/>
      </c>
      <c r="AG136" t="str">
        <f ca="1">IF(AE136&lt;&gt;"", HELPER!$B$94 &amp; "." &amp; AE136,"")</f>
        <v/>
      </c>
      <c r="AH136" t="str">
        <f t="shared" ca="1" si="213"/>
        <v/>
      </c>
      <c r="AI136" t="str">
        <f t="shared" ca="1" si="190"/>
        <v/>
      </c>
      <c r="AJ136" t="str">
        <f t="shared" ca="1" si="191"/>
        <v/>
      </c>
      <c r="AK136" t="str">
        <f ca="1">IF(E136="4", HELPER!$B$94 &amp;  "." &amp; A136,"")</f>
        <v/>
      </c>
      <c r="AL136" t="str">
        <f ca="1">IF(E136="4", HELPER!$B$93 &amp;  "." &amp; A136,"")</f>
        <v/>
      </c>
      <c r="AM136" t="str">
        <f t="shared" ca="1" si="192"/>
        <v/>
      </c>
      <c r="AN136" t="str">
        <f t="shared" ca="1" si="193"/>
        <v/>
      </c>
      <c r="AO136" t="str">
        <f ca="1">IF(A136&lt;&gt;"", IF(OR(F136="1",H136="1",I136="1"),""," "&amp; HELPER!$B$94 &amp; "." &amp; A136),"")</f>
        <v/>
      </c>
      <c r="AP136" t="str">
        <f t="shared" ca="1" si="194"/>
        <v/>
      </c>
      <c r="AQ136" t="str">
        <f t="shared" ca="1" si="219"/>
        <v/>
      </c>
      <c r="AS136" t="str">
        <f ca="1">IF(A136="","",  HELPER!$B$94 &amp;  "." &amp; A136)</f>
        <v/>
      </c>
      <c r="AT136" t="str">
        <f t="shared" ca="1" si="195"/>
        <v/>
      </c>
      <c r="AU136" t="str">
        <f t="shared" ca="1" si="196"/>
        <v/>
      </c>
      <c r="AV136" s="190" t="str">
        <f t="shared" ca="1" si="197"/>
        <v/>
      </c>
      <c r="AW136" t="str">
        <f t="shared" ca="1" si="198"/>
        <v/>
      </c>
      <c r="AY136" t="str">
        <f t="shared" ca="1" si="199"/>
        <v/>
      </c>
      <c r="BF136" t="str">
        <f t="shared" ca="1" si="200"/>
        <v/>
      </c>
      <c r="BH136" s="285" t="str">
        <f t="shared" ca="1" si="214"/>
        <v/>
      </c>
      <c r="BI136" t="str">
        <f t="shared" ca="1" si="201"/>
        <v/>
      </c>
      <c r="BJ136" t="str">
        <f t="shared" ca="1" si="202"/>
        <v/>
      </c>
      <c r="BK136" t="str">
        <f t="shared" ca="1" si="215"/>
        <v/>
      </c>
      <c r="BM136" t="str">
        <f t="shared" ca="1" si="216"/>
        <v/>
      </c>
      <c r="BN136" t="str">
        <f t="shared" ca="1" si="217"/>
        <v/>
      </c>
      <c r="BO136" t="str">
        <f t="shared" ca="1" si="203"/>
        <v/>
      </c>
      <c r="BP136" t="b">
        <f ca="1">COUNTIF(COLHELPER!A136:'COLHELPER'!A136,COLHELPER!A136)&gt;1</f>
        <v>0</v>
      </c>
      <c r="BQ136">
        <f t="shared" ca="1" si="204"/>
        <v>0</v>
      </c>
      <c r="BR136" s="290" t="str">
        <f t="shared" ca="1" si="220"/>
        <v/>
      </c>
      <c r="BS136" t="str">
        <f t="shared" ca="1" si="205"/>
        <v/>
      </c>
      <c r="BT136" t="str">
        <f t="shared" ca="1" si="218"/>
        <v/>
      </c>
      <c r="BU136" t="str">
        <f t="shared" ca="1" si="206"/>
        <v/>
      </c>
      <c r="BV136">
        <f t="shared" ca="1" si="207"/>
        <v>0</v>
      </c>
      <c r="BW136" t="str">
        <f t="shared" ca="1" si="208"/>
        <v/>
      </c>
      <c r="BX136" t="str">
        <f t="shared" ca="1" si="209"/>
        <v/>
      </c>
      <c r="BY136" t="str">
        <f ca="1">IF(R136="","",IF(R136&gt;Options!$B$3,"ALTER TABLE "&amp;HELPER!$B$4&amp;" ADD COLUMNS ("&amp;A136&amp;" "&amp;C136&amp;")",""))</f>
        <v/>
      </c>
      <c r="BZ136" t="str">
        <f ca="1">IF(R136="","",IF(R136&gt;Options!$B$3,A136,""))</f>
        <v/>
      </c>
      <c r="CA136" t="str">
        <f ca="1">IF(R136="","",IF(R136&gt;Options!$B$3,B136,""))</f>
        <v/>
      </c>
      <c r="CB136" t="str">
        <f t="shared" ca="1" si="210"/>
        <v/>
      </c>
      <c r="CC136">
        <f t="shared" ca="1" si="211"/>
        <v>0</v>
      </c>
      <c r="CD136" t="str">
        <f ca="1">IF(J136="","",Options!$B$23 &amp; "." &amp; J136)</f>
        <v/>
      </c>
    </row>
    <row r="137" spans="1:82">
      <c r="A137" s="161" t="str">
        <f t="array" aca="1" ref="A137" ca="1">IF(TRIM(INDIRECT("Columns!A137")) ="","",TRIM(INDIRECT("Columns!A137")))</f>
        <v/>
      </c>
      <c r="B137" s="161" t="str">
        <f t="shared" ca="1" si="179"/>
        <v/>
      </c>
      <c r="C137" s="161" t="str">
        <f t="shared" ca="1" si="180"/>
        <v/>
      </c>
      <c r="D137" s="161" t="str">
        <f t="shared" ca="1" si="181"/>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7" t="str">
        <f t="array" aca="1" ref="O137" ca="1">IF(TRIM(INDIRECT("Columns!B137"))="","",TRIM(INDIRECT("Columns!B137")))</f>
        <v/>
      </c>
      <c r="P137" s="227" t="str">
        <f t="array" aca="1" ref="P137" ca="1">IF(TRIM(INDIRECT("Columns!C137"))="","",TRIM(INDIRECT("Columns!C137")))</f>
        <v/>
      </c>
      <c r="Q137" s="227" t="str">
        <f t="array" aca="1" ref="Q137" ca="1">IF(TRIM(INDIRECT("Columns!D137"))="","",TRIM(INDIRECT("Columns!D137")))</f>
        <v/>
      </c>
      <c r="R137" s="227" t="str">
        <f t="array" aca="1" ref="R137" ca="1">IF(TRIM(INDIRECT("Columns!O137"))="","",TRIM(INDIRECT("Columns!O137")))</f>
        <v/>
      </c>
      <c r="S137" t="str">
        <f t="shared" ca="1" si="182"/>
        <v/>
      </c>
      <c r="T137" t="str">
        <f t="shared" ca="1" si="183"/>
        <v/>
      </c>
      <c r="U137" t="str">
        <f t="shared" ca="1" si="184"/>
        <v/>
      </c>
      <c r="V137" t="str">
        <f t="shared" ca="1" si="185"/>
        <v/>
      </c>
      <c r="W137" t="str">
        <f t="shared" ca="1" si="186"/>
        <v/>
      </c>
      <c r="X137" t="str">
        <f t="shared" ca="1" si="187"/>
        <v/>
      </c>
      <c r="Y137" t="str">
        <f t="shared" ca="1" si="188"/>
        <v/>
      </c>
      <c r="Z137" t="str">
        <f t="shared" ca="1" si="212"/>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89"/>
        <v/>
      </c>
      <c r="AF137" t="str">
        <f ca="1">IF(AE137&lt;&gt;"", HELPER!$B$93 &amp;  "." &amp; AE137,"")</f>
        <v/>
      </c>
      <c r="AG137" t="str">
        <f ca="1">IF(AE137&lt;&gt;"", HELPER!$B$94 &amp; "." &amp; AE137,"")</f>
        <v/>
      </c>
      <c r="AH137" t="str">
        <f t="shared" ca="1" si="213"/>
        <v/>
      </c>
      <c r="AI137" t="str">
        <f t="shared" ca="1" si="190"/>
        <v/>
      </c>
      <c r="AJ137" t="str">
        <f t="shared" ca="1" si="191"/>
        <v/>
      </c>
      <c r="AK137" t="str">
        <f ca="1">IF(E137="4", HELPER!$B$94 &amp;  "." &amp; A137,"")</f>
        <v/>
      </c>
      <c r="AL137" t="str">
        <f ca="1">IF(E137="4", HELPER!$B$93 &amp;  "." &amp; A137,"")</f>
        <v/>
      </c>
      <c r="AM137" t="str">
        <f t="shared" ca="1" si="192"/>
        <v/>
      </c>
      <c r="AN137" t="str">
        <f t="shared" ca="1" si="193"/>
        <v/>
      </c>
      <c r="AO137" t="str">
        <f ca="1">IF(A137&lt;&gt;"", IF(OR(F137="1",H137="1",I137="1"),""," "&amp; HELPER!$B$94 &amp; "." &amp; A137),"")</f>
        <v/>
      </c>
      <c r="AP137" t="str">
        <f t="shared" ca="1" si="194"/>
        <v/>
      </c>
      <c r="AQ137" t="str">
        <f t="shared" ca="1" si="219"/>
        <v/>
      </c>
      <c r="AS137" t="str">
        <f ca="1">IF(A137="","",  HELPER!$B$94 &amp;  "." &amp; A137)</f>
        <v/>
      </c>
      <c r="AT137" t="str">
        <f t="shared" ca="1" si="195"/>
        <v/>
      </c>
      <c r="AU137" t="str">
        <f t="shared" ca="1" si="196"/>
        <v/>
      </c>
      <c r="AV137" s="190" t="str">
        <f t="shared" ca="1" si="197"/>
        <v/>
      </c>
      <c r="AW137" t="str">
        <f t="shared" ca="1" si="198"/>
        <v/>
      </c>
      <c r="AY137" t="str">
        <f t="shared" ca="1" si="199"/>
        <v/>
      </c>
      <c r="BF137" t="str">
        <f t="shared" ca="1" si="200"/>
        <v/>
      </c>
      <c r="BH137" s="285" t="str">
        <f t="shared" ca="1" si="214"/>
        <v/>
      </c>
      <c r="BI137" t="str">
        <f t="shared" ca="1" si="201"/>
        <v/>
      </c>
      <c r="BJ137" t="str">
        <f t="shared" ca="1" si="202"/>
        <v/>
      </c>
      <c r="BK137" t="str">
        <f t="shared" ca="1" si="215"/>
        <v/>
      </c>
      <c r="BM137" t="str">
        <f t="shared" ca="1" si="216"/>
        <v/>
      </c>
      <c r="BN137" t="str">
        <f t="shared" ca="1" si="217"/>
        <v/>
      </c>
      <c r="BO137" t="str">
        <f t="shared" ca="1" si="203"/>
        <v/>
      </c>
      <c r="BP137" t="b">
        <f ca="1">COUNTIF(COLHELPER!A137:'COLHELPER'!A137,COLHELPER!A137)&gt;1</f>
        <v>0</v>
      </c>
      <c r="BQ137">
        <f t="shared" ca="1" si="204"/>
        <v>0</v>
      </c>
      <c r="BR137" s="290" t="str">
        <f t="shared" ca="1" si="220"/>
        <v/>
      </c>
      <c r="BS137" t="str">
        <f t="shared" ca="1" si="205"/>
        <v/>
      </c>
      <c r="BT137" t="str">
        <f t="shared" ca="1" si="218"/>
        <v/>
      </c>
      <c r="BU137" t="str">
        <f t="shared" ca="1" si="206"/>
        <v/>
      </c>
      <c r="BV137">
        <f t="shared" ca="1" si="207"/>
        <v>0</v>
      </c>
      <c r="BW137" t="str">
        <f t="shared" ca="1" si="208"/>
        <v/>
      </c>
      <c r="BX137" t="str">
        <f t="shared" ca="1" si="209"/>
        <v/>
      </c>
      <c r="BY137" t="str">
        <f ca="1">IF(R137="","",IF(R137&gt;Options!$B$3,"ALTER TABLE "&amp;HELPER!$B$4&amp;" ADD COLUMNS ("&amp;A137&amp;" "&amp;C137&amp;")",""))</f>
        <v/>
      </c>
      <c r="BZ137" t="str">
        <f ca="1">IF(R137="","",IF(R137&gt;Options!$B$3,A137,""))</f>
        <v/>
      </c>
      <c r="CA137" t="str">
        <f ca="1">IF(R137="","",IF(R137&gt;Options!$B$3,B137,""))</f>
        <v/>
      </c>
      <c r="CB137" t="str">
        <f t="shared" ca="1" si="210"/>
        <v/>
      </c>
      <c r="CC137">
        <f t="shared" ca="1" si="211"/>
        <v>0</v>
      </c>
      <c r="CD137" t="str">
        <f ca="1">IF(J137="","",Options!$B$23 &amp; "." &amp; J137)</f>
        <v/>
      </c>
    </row>
    <row r="138" spans="1:82">
      <c r="A138" s="161" t="str">
        <f t="array" aca="1" ref="A138" ca="1">IF(TRIM(INDIRECT("Columns!A138")) ="","",TRIM(INDIRECT("Columns!A138")))</f>
        <v/>
      </c>
      <c r="B138" s="161" t="str">
        <f t="shared" ca="1" si="179"/>
        <v/>
      </c>
      <c r="C138" s="161" t="str">
        <f t="shared" ca="1" si="180"/>
        <v/>
      </c>
      <c r="D138" s="161" t="str">
        <f t="shared" ca="1" si="181"/>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7" t="str">
        <f t="array" aca="1" ref="O138" ca="1">IF(TRIM(INDIRECT("Columns!B138"))="","",TRIM(INDIRECT("Columns!B138")))</f>
        <v/>
      </c>
      <c r="P138" s="227" t="str">
        <f t="array" aca="1" ref="P138" ca="1">IF(TRIM(INDIRECT("Columns!C138"))="","",TRIM(INDIRECT("Columns!C138")))</f>
        <v/>
      </c>
      <c r="Q138" s="227" t="str">
        <f t="array" aca="1" ref="Q138" ca="1">IF(TRIM(INDIRECT("Columns!D138"))="","",TRIM(INDIRECT("Columns!D138")))</f>
        <v/>
      </c>
      <c r="R138" s="227" t="str">
        <f t="array" aca="1" ref="R138" ca="1">IF(TRIM(INDIRECT("Columns!O138"))="","",TRIM(INDIRECT("Columns!O138")))</f>
        <v/>
      </c>
      <c r="S138" t="str">
        <f t="shared" ca="1" si="182"/>
        <v/>
      </c>
      <c r="T138" t="str">
        <f t="shared" ca="1" si="183"/>
        <v/>
      </c>
      <c r="U138" t="str">
        <f t="shared" ca="1" si="184"/>
        <v/>
      </c>
      <c r="V138" t="str">
        <f t="shared" ca="1" si="185"/>
        <v/>
      </c>
      <c r="W138" t="str">
        <f t="shared" ca="1" si="186"/>
        <v/>
      </c>
      <c r="X138" t="str">
        <f t="shared" ca="1" si="187"/>
        <v/>
      </c>
      <c r="Y138" t="str">
        <f t="shared" ca="1" si="188"/>
        <v/>
      </c>
      <c r="Z138" t="str">
        <f t="shared" ca="1" si="212"/>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89"/>
        <v/>
      </c>
      <c r="AF138" t="str">
        <f ca="1">IF(AE138&lt;&gt;"", HELPER!$B$93 &amp;  "." &amp; AE138,"")</f>
        <v/>
      </c>
      <c r="AG138" t="str">
        <f ca="1">IF(AE138&lt;&gt;"", HELPER!$B$94 &amp; "." &amp; AE138,"")</f>
        <v/>
      </c>
      <c r="AH138" t="str">
        <f t="shared" ca="1" si="213"/>
        <v/>
      </c>
      <c r="AI138" t="str">
        <f t="shared" ca="1" si="190"/>
        <v/>
      </c>
      <c r="AJ138" t="str">
        <f t="shared" ca="1" si="191"/>
        <v/>
      </c>
      <c r="AK138" t="str">
        <f ca="1">IF(E138="4", HELPER!$B$94 &amp;  "." &amp; A138,"")</f>
        <v/>
      </c>
      <c r="AL138" t="str">
        <f ca="1">IF(E138="4", HELPER!$B$93 &amp;  "." &amp; A138,"")</f>
        <v/>
      </c>
      <c r="AM138" t="str">
        <f t="shared" ca="1" si="192"/>
        <v/>
      </c>
      <c r="AN138" t="str">
        <f t="shared" ca="1" si="193"/>
        <v/>
      </c>
      <c r="AO138" t="str">
        <f ca="1">IF(A138&lt;&gt;"", IF(OR(F138="1",H138="1",I138="1"),""," "&amp; HELPER!$B$94 &amp; "." &amp; A138),"")</f>
        <v/>
      </c>
      <c r="AP138" t="str">
        <f t="shared" ca="1" si="194"/>
        <v/>
      </c>
      <c r="AQ138" t="str">
        <f t="shared" ca="1" si="219"/>
        <v/>
      </c>
      <c r="AS138" t="str">
        <f ca="1">IF(A138="","",  HELPER!$B$94 &amp;  "." &amp; A138)</f>
        <v/>
      </c>
      <c r="AT138" t="str">
        <f t="shared" ca="1" si="195"/>
        <v/>
      </c>
      <c r="AU138" t="str">
        <f t="shared" ca="1" si="196"/>
        <v/>
      </c>
      <c r="AV138" s="190" t="str">
        <f t="shared" ca="1" si="197"/>
        <v/>
      </c>
      <c r="AW138" t="str">
        <f t="shared" ca="1" si="198"/>
        <v/>
      </c>
      <c r="AY138" t="str">
        <f t="shared" ca="1" si="199"/>
        <v/>
      </c>
      <c r="BF138" t="str">
        <f t="shared" ca="1" si="200"/>
        <v/>
      </c>
      <c r="BH138" s="285" t="str">
        <f t="shared" ca="1" si="214"/>
        <v/>
      </c>
      <c r="BI138" t="str">
        <f t="shared" ca="1" si="201"/>
        <v/>
      </c>
      <c r="BJ138" t="str">
        <f t="shared" ca="1" si="202"/>
        <v/>
      </c>
      <c r="BK138" t="str">
        <f t="shared" ca="1" si="215"/>
        <v/>
      </c>
      <c r="BM138" t="str">
        <f t="shared" ca="1" si="216"/>
        <v/>
      </c>
      <c r="BN138" t="str">
        <f t="shared" ca="1" si="217"/>
        <v/>
      </c>
      <c r="BO138" t="str">
        <f t="shared" ca="1" si="203"/>
        <v/>
      </c>
      <c r="BP138" t="b">
        <f ca="1">COUNTIF(COLHELPER!A138:'COLHELPER'!A138,COLHELPER!A138)&gt;1</f>
        <v>0</v>
      </c>
      <c r="BQ138">
        <f t="shared" ca="1" si="204"/>
        <v>0</v>
      </c>
      <c r="BR138" s="290" t="str">
        <f t="shared" ca="1" si="220"/>
        <v/>
      </c>
      <c r="BS138" t="str">
        <f t="shared" ca="1" si="205"/>
        <v/>
      </c>
      <c r="BT138" t="str">
        <f t="shared" ca="1" si="218"/>
        <v/>
      </c>
      <c r="BU138" t="str">
        <f t="shared" ca="1" si="206"/>
        <v/>
      </c>
      <c r="BV138">
        <f t="shared" ca="1" si="207"/>
        <v>0</v>
      </c>
      <c r="BW138" t="str">
        <f t="shared" ca="1" si="208"/>
        <v/>
      </c>
      <c r="BX138" t="str">
        <f t="shared" ca="1" si="209"/>
        <v/>
      </c>
      <c r="BY138" t="str">
        <f ca="1">IF(R138="","",IF(R138&gt;Options!$B$3,"ALTER TABLE "&amp;HELPER!$B$4&amp;" ADD COLUMNS ("&amp;A138&amp;" "&amp;C138&amp;")",""))</f>
        <v/>
      </c>
      <c r="BZ138" t="str">
        <f ca="1">IF(R138="","",IF(R138&gt;Options!$B$3,A138,""))</f>
        <v/>
      </c>
      <c r="CA138" t="str">
        <f ca="1">IF(R138="","",IF(R138&gt;Options!$B$3,B138,""))</f>
        <v/>
      </c>
      <c r="CB138" t="str">
        <f t="shared" ca="1" si="210"/>
        <v/>
      </c>
      <c r="CC138">
        <f t="shared" ca="1" si="211"/>
        <v>0</v>
      </c>
      <c r="CD138" t="str">
        <f ca="1">IF(J138="","",Options!$B$23 &amp; "." &amp; J138)</f>
        <v/>
      </c>
    </row>
    <row r="139" spans="1:82">
      <c r="A139" s="161" t="str">
        <f t="array" aca="1" ref="A139" ca="1">IF(TRIM(INDIRECT("Columns!A139")) ="","",TRIM(INDIRECT("Columns!A139")))</f>
        <v/>
      </c>
      <c r="B139" s="161" t="str">
        <f t="shared" ca="1" si="179"/>
        <v/>
      </c>
      <c r="C139" s="161" t="str">
        <f t="shared" ca="1" si="180"/>
        <v/>
      </c>
      <c r="D139" s="161" t="str">
        <f t="shared" ca="1" si="181"/>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7" t="str">
        <f t="array" aca="1" ref="O139" ca="1">IF(TRIM(INDIRECT("Columns!B139"))="","",TRIM(INDIRECT("Columns!B139")))</f>
        <v/>
      </c>
      <c r="P139" s="227" t="str">
        <f t="array" aca="1" ref="P139" ca="1">IF(TRIM(INDIRECT("Columns!C139"))="","",TRIM(INDIRECT("Columns!C139")))</f>
        <v/>
      </c>
      <c r="Q139" s="227" t="str">
        <f t="array" aca="1" ref="Q139" ca="1">IF(TRIM(INDIRECT("Columns!D139"))="","",TRIM(INDIRECT("Columns!D139")))</f>
        <v/>
      </c>
      <c r="R139" s="227" t="str">
        <f t="array" aca="1" ref="R139" ca="1">IF(TRIM(INDIRECT("Columns!O139"))="","",TRIM(INDIRECT("Columns!O139")))</f>
        <v/>
      </c>
      <c r="S139" t="str">
        <f t="shared" ca="1" si="182"/>
        <v/>
      </c>
      <c r="T139" t="str">
        <f t="shared" ca="1" si="183"/>
        <v/>
      </c>
      <c r="U139" t="str">
        <f t="shared" ca="1" si="184"/>
        <v/>
      </c>
      <c r="V139" t="str">
        <f t="shared" ca="1" si="185"/>
        <v/>
      </c>
      <c r="W139" t="str">
        <f t="shared" ca="1" si="186"/>
        <v/>
      </c>
      <c r="X139" t="str">
        <f t="shared" ca="1" si="187"/>
        <v/>
      </c>
      <c r="Y139" t="str">
        <f t="shared" ca="1" si="188"/>
        <v/>
      </c>
      <c r="Z139" t="str">
        <f t="shared" ca="1" si="212"/>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89"/>
        <v/>
      </c>
      <c r="AF139" t="str">
        <f ca="1">IF(AE139&lt;&gt;"", HELPER!$B$93 &amp;  "." &amp; AE139,"")</f>
        <v/>
      </c>
      <c r="AG139" t="str">
        <f ca="1">IF(AE139&lt;&gt;"", HELPER!$B$94 &amp; "." &amp; AE139,"")</f>
        <v/>
      </c>
      <c r="AH139" t="str">
        <f t="shared" ca="1" si="213"/>
        <v/>
      </c>
      <c r="AI139" t="str">
        <f t="shared" ca="1" si="190"/>
        <v/>
      </c>
      <c r="AJ139" t="str">
        <f t="shared" ca="1" si="191"/>
        <v/>
      </c>
      <c r="AK139" t="str">
        <f ca="1">IF(E139="4", HELPER!$B$94 &amp;  "." &amp; A139,"")</f>
        <v/>
      </c>
      <c r="AL139" t="str">
        <f ca="1">IF(E139="4", HELPER!$B$93 &amp;  "." &amp; A139,"")</f>
        <v/>
      </c>
      <c r="AM139" t="str">
        <f t="shared" ca="1" si="192"/>
        <v/>
      </c>
      <c r="AN139" t="str">
        <f t="shared" ca="1" si="193"/>
        <v/>
      </c>
      <c r="AO139" t="str">
        <f ca="1">IF(A139&lt;&gt;"", IF(OR(F139="1",H139="1",I139="1"),""," "&amp; HELPER!$B$94 &amp; "." &amp; A139),"")</f>
        <v/>
      </c>
      <c r="AP139" t="str">
        <f t="shared" ca="1" si="194"/>
        <v/>
      </c>
      <c r="AQ139" t="str">
        <f t="shared" ca="1" si="219"/>
        <v/>
      </c>
      <c r="AS139" t="str">
        <f ca="1">IF(A139="","",  HELPER!$B$94 &amp;  "." &amp; A139)</f>
        <v/>
      </c>
      <c r="AT139" t="str">
        <f t="shared" ca="1" si="195"/>
        <v/>
      </c>
      <c r="AU139" t="str">
        <f t="shared" ca="1" si="196"/>
        <v/>
      </c>
      <c r="AV139" s="190" t="str">
        <f t="shared" ca="1" si="197"/>
        <v/>
      </c>
      <c r="AW139" t="str">
        <f t="shared" ca="1" si="198"/>
        <v/>
      </c>
      <c r="AY139" t="str">
        <f t="shared" ca="1" si="199"/>
        <v/>
      </c>
      <c r="BF139" t="str">
        <f t="shared" ca="1" si="200"/>
        <v/>
      </c>
      <c r="BH139" s="285" t="str">
        <f t="shared" ca="1" si="214"/>
        <v/>
      </c>
      <c r="BI139" t="str">
        <f t="shared" ca="1" si="201"/>
        <v/>
      </c>
      <c r="BJ139" t="str">
        <f t="shared" ca="1" si="202"/>
        <v/>
      </c>
      <c r="BK139" t="str">
        <f t="shared" ca="1" si="215"/>
        <v/>
      </c>
      <c r="BM139" t="str">
        <f t="shared" ca="1" si="216"/>
        <v/>
      </c>
      <c r="BN139" t="str">
        <f t="shared" ca="1" si="217"/>
        <v/>
      </c>
      <c r="BO139" t="str">
        <f t="shared" ca="1" si="203"/>
        <v/>
      </c>
      <c r="BP139" t="b">
        <f ca="1">COUNTIF(COLHELPER!A139:'COLHELPER'!A139,COLHELPER!A139)&gt;1</f>
        <v>0</v>
      </c>
      <c r="BQ139">
        <f t="shared" ca="1" si="204"/>
        <v>0</v>
      </c>
      <c r="BR139" s="290" t="str">
        <f t="shared" ca="1" si="220"/>
        <v/>
      </c>
      <c r="BS139" t="str">
        <f t="shared" ca="1" si="205"/>
        <v/>
      </c>
      <c r="BT139" t="str">
        <f t="shared" ca="1" si="218"/>
        <v/>
      </c>
      <c r="BU139" t="str">
        <f t="shared" ca="1" si="206"/>
        <v/>
      </c>
      <c r="BV139">
        <f t="shared" ca="1" si="207"/>
        <v>0</v>
      </c>
      <c r="BW139" t="str">
        <f t="shared" ca="1" si="208"/>
        <v/>
      </c>
      <c r="BX139" t="str">
        <f t="shared" ca="1" si="209"/>
        <v/>
      </c>
      <c r="BY139" t="str">
        <f ca="1">IF(R139="","",IF(R139&gt;Options!$B$3,"ALTER TABLE "&amp;HELPER!$B$4&amp;" ADD COLUMNS ("&amp;A139&amp;" "&amp;C139&amp;")",""))</f>
        <v/>
      </c>
      <c r="BZ139" t="str">
        <f ca="1">IF(R139="","",IF(R139&gt;Options!$B$3,A139,""))</f>
        <v/>
      </c>
      <c r="CA139" t="str">
        <f ca="1">IF(R139="","",IF(R139&gt;Options!$B$3,B139,""))</f>
        <v/>
      </c>
      <c r="CB139" t="str">
        <f t="shared" ca="1" si="210"/>
        <v/>
      </c>
      <c r="CC139">
        <f t="shared" ca="1" si="211"/>
        <v>0</v>
      </c>
      <c r="CD139" t="str">
        <f ca="1">IF(J139="","",Options!$B$23 &amp; "." &amp; J139)</f>
        <v/>
      </c>
    </row>
    <row r="140" spans="1:82">
      <c r="A140" s="161" t="str">
        <f t="array" aca="1" ref="A140" ca="1">IF(TRIM(INDIRECT("Columns!A140")) ="","",TRIM(INDIRECT("Columns!A140")))</f>
        <v/>
      </c>
      <c r="B140" s="161" t="str">
        <f t="shared" ca="1" si="179"/>
        <v/>
      </c>
      <c r="C140" s="161" t="str">
        <f t="shared" ca="1" si="180"/>
        <v/>
      </c>
      <c r="D140" s="161" t="str">
        <f t="shared" ca="1" si="181"/>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7" t="str">
        <f t="array" aca="1" ref="O140" ca="1">IF(TRIM(INDIRECT("Columns!B140"))="","",TRIM(INDIRECT("Columns!B140")))</f>
        <v/>
      </c>
      <c r="P140" s="227" t="str">
        <f t="array" aca="1" ref="P140" ca="1">IF(TRIM(INDIRECT("Columns!C140"))="","",TRIM(INDIRECT("Columns!C140")))</f>
        <v/>
      </c>
      <c r="Q140" s="227" t="str">
        <f t="array" aca="1" ref="Q140" ca="1">IF(TRIM(INDIRECT("Columns!D140"))="","",TRIM(INDIRECT("Columns!D140")))</f>
        <v/>
      </c>
      <c r="R140" s="227" t="str">
        <f t="array" aca="1" ref="R140" ca="1">IF(TRIM(INDIRECT("Columns!O140"))="","",TRIM(INDIRECT("Columns!O140")))</f>
        <v/>
      </c>
      <c r="S140" t="str">
        <f t="shared" ca="1" si="182"/>
        <v/>
      </c>
      <c r="T140" t="str">
        <f t="shared" ca="1" si="183"/>
        <v/>
      </c>
      <c r="U140" t="str">
        <f t="shared" ca="1" si="184"/>
        <v/>
      </c>
      <c r="V140" t="str">
        <f t="shared" ca="1" si="185"/>
        <v/>
      </c>
      <c r="W140" t="str">
        <f t="shared" ca="1" si="186"/>
        <v/>
      </c>
      <c r="X140" t="str">
        <f t="shared" ca="1" si="187"/>
        <v/>
      </c>
      <c r="Y140" t="str">
        <f t="shared" ca="1" si="188"/>
        <v/>
      </c>
      <c r="Z140" t="str">
        <f t="shared" ca="1" si="212"/>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89"/>
        <v/>
      </c>
      <c r="AF140" t="str">
        <f ca="1">IF(AE140&lt;&gt;"", HELPER!$B$93 &amp;  "." &amp; AE140,"")</f>
        <v/>
      </c>
      <c r="AG140" t="str">
        <f ca="1">IF(AE140&lt;&gt;"", HELPER!$B$94 &amp; "." &amp; AE140,"")</f>
        <v/>
      </c>
      <c r="AH140" t="str">
        <f t="shared" ca="1" si="213"/>
        <v/>
      </c>
      <c r="AI140" t="str">
        <f t="shared" ca="1" si="190"/>
        <v/>
      </c>
      <c r="AJ140" t="str">
        <f t="shared" ca="1" si="191"/>
        <v/>
      </c>
      <c r="AK140" t="str">
        <f ca="1">IF(E140="4", HELPER!$B$94 &amp;  "." &amp; A140,"")</f>
        <v/>
      </c>
      <c r="AL140" t="str">
        <f ca="1">IF(E140="4", HELPER!$B$93 &amp;  "." &amp; A140,"")</f>
        <v/>
      </c>
      <c r="AM140" t="str">
        <f t="shared" ca="1" si="192"/>
        <v/>
      </c>
      <c r="AN140" t="str">
        <f t="shared" ca="1" si="193"/>
        <v/>
      </c>
      <c r="AO140" t="str">
        <f ca="1">IF(A140&lt;&gt;"", IF(OR(F140="1",H140="1",I140="1"),""," "&amp; HELPER!$B$94 &amp; "." &amp; A140),"")</f>
        <v/>
      </c>
      <c r="AP140" t="str">
        <f t="shared" ca="1" si="194"/>
        <v/>
      </c>
      <c r="AQ140" t="str">
        <f t="shared" ca="1" si="219"/>
        <v/>
      </c>
      <c r="AS140" t="str">
        <f ca="1">IF(A140="","",  HELPER!$B$94 &amp;  "." &amp; A140)</f>
        <v/>
      </c>
      <c r="AT140" t="str">
        <f t="shared" ca="1" si="195"/>
        <v/>
      </c>
      <c r="AU140" t="str">
        <f t="shared" ca="1" si="196"/>
        <v/>
      </c>
      <c r="AV140" s="190" t="str">
        <f t="shared" ca="1" si="197"/>
        <v/>
      </c>
      <c r="AW140" t="str">
        <f t="shared" ca="1" si="198"/>
        <v/>
      </c>
      <c r="AY140" t="str">
        <f t="shared" ca="1" si="199"/>
        <v/>
      </c>
      <c r="BF140" t="str">
        <f t="shared" ca="1" si="200"/>
        <v/>
      </c>
      <c r="BH140" s="285" t="str">
        <f t="shared" ca="1" si="214"/>
        <v/>
      </c>
      <c r="BI140" t="str">
        <f t="shared" ca="1" si="201"/>
        <v/>
      </c>
      <c r="BJ140" t="str">
        <f t="shared" ca="1" si="202"/>
        <v/>
      </c>
      <c r="BK140" t="str">
        <f t="shared" ca="1" si="215"/>
        <v/>
      </c>
      <c r="BM140" t="str">
        <f t="shared" ca="1" si="216"/>
        <v/>
      </c>
      <c r="BN140" t="str">
        <f t="shared" ca="1" si="217"/>
        <v/>
      </c>
      <c r="BO140" t="str">
        <f t="shared" ca="1" si="203"/>
        <v/>
      </c>
      <c r="BP140" t="b">
        <f ca="1">COUNTIF(COLHELPER!A140:'COLHELPER'!A140,COLHELPER!A140)&gt;1</f>
        <v>0</v>
      </c>
      <c r="BQ140">
        <f t="shared" ca="1" si="204"/>
        <v>0</v>
      </c>
      <c r="BR140" s="290" t="str">
        <f t="shared" ca="1" si="220"/>
        <v/>
      </c>
      <c r="BS140" t="str">
        <f t="shared" ca="1" si="205"/>
        <v/>
      </c>
      <c r="BT140" t="str">
        <f t="shared" ca="1" si="218"/>
        <v/>
      </c>
      <c r="BU140" t="str">
        <f t="shared" ca="1" si="206"/>
        <v/>
      </c>
      <c r="BV140">
        <f t="shared" ca="1" si="207"/>
        <v>0</v>
      </c>
      <c r="BW140" t="str">
        <f t="shared" ca="1" si="208"/>
        <v/>
      </c>
      <c r="BX140" t="str">
        <f t="shared" ca="1" si="209"/>
        <v/>
      </c>
      <c r="BY140" t="str">
        <f ca="1">IF(R140="","",IF(R140&gt;Options!$B$3,"ALTER TABLE "&amp;HELPER!$B$4&amp;" ADD COLUMNS ("&amp;A140&amp;" "&amp;C140&amp;")",""))</f>
        <v/>
      </c>
      <c r="BZ140" t="str">
        <f ca="1">IF(R140="","",IF(R140&gt;Options!$B$3,A140,""))</f>
        <v/>
      </c>
      <c r="CA140" t="str">
        <f ca="1">IF(R140="","",IF(R140&gt;Options!$B$3,B140,""))</f>
        <v/>
      </c>
      <c r="CB140" t="str">
        <f t="shared" ca="1" si="210"/>
        <v/>
      </c>
      <c r="CC140">
        <f t="shared" ca="1" si="211"/>
        <v>0</v>
      </c>
      <c r="CD140" t="str">
        <f ca="1">IF(J140="","",Options!$B$23 &amp; "." &amp; J140)</f>
        <v/>
      </c>
    </row>
    <row r="141" spans="1:82">
      <c r="A141" s="161" t="str">
        <f t="array" aca="1" ref="A141" ca="1">IF(TRIM(INDIRECT("Columns!A141")) ="","",TRIM(INDIRECT("Columns!A141")))</f>
        <v/>
      </c>
      <c r="B141" s="161" t="str">
        <f t="shared" ca="1" si="179"/>
        <v/>
      </c>
      <c r="C141" s="161" t="str">
        <f t="shared" ca="1" si="180"/>
        <v/>
      </c>
      <c r="D141" s="161" t="str">
        <f t="shared" ca="1" si="181"/>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7" t="str">
        <f t="array" aca="1" ref="O141" ca="1">IF(TRIM(INDIRECT("Columns!B141"))="","",TRIM(INDIRECT("Columns!B141")))</f>
        <v/>
      </c>
      <c r="P141" s="227" t="str">
        <f t="array" aca="1" ref="P141" ca="1">IF(TRIM(INDIRECT("Columns!C141"))="","",TRIM(INDIRECT("Columns!C141")))</f>
        <v/>
      </c>
      <c r="Q141" s="227" t="str">
        <f t="array" aca="1" ref="Q141" ca="1">IF(TRIM(INDIRECT("Columns!D141"))="","",TRIM(INDIRECT("Columns!D141")))</f>
        <v/>
      </c>
      <c r="R141" s="227" t="str">
        <f t="array" aca="1" ref="R141" ca="1">IF(TRIM(INDIRECT("Columns!O141"))="","",TRIM(INDIRECT("Columns!O141")))</f>
        <v/>
      </c>
      <c r="S141" t="str">
        <f t="shared" ca="1" si="182"/>
        <v/>
      </c>
      <c r="T141" t="str">
        <f t="shared" ca="1" si="183"/>
        <v/>
      </c>
      <c r="U141" t="str">
        <f t="shared" ca="1" si="184"/>
        <v/>
      </c>
      <c r="V141" t="str">
        <f t="shared" ca="1" si="185"/>
        <v/>
      </c>
      <c r="W141" t="str">
        <f t="shared" ca="1" si="186"/>
        <v/>
      </c>
      <c r="X141" t="str">
        <f t="shared" ca="1" si="187"/>
        <v/>
      </c>
      <c r="Y141" t="str">
        <f t="shared" ca="1" si="188"/>
        <v/>
      </c>
      <c r="Z141" t="str">
        <f t="shared" ca="1" si="212"/>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89"/>
        <v/>
      </c>
      <c r="AF141" t="str">
        <f ca="1">IF(AE141&lt;&gt;"", HELPER!$B$93 &amp;  "." &amp; AE141,"")</f>
        <v/>
      </c>
      <c r="AG141" t="str">
        <f ca="1">IF(AE141&lt;&gt;"", HELPER!$B$94 &amp; "." &amp; AE141,"")</f>
        <v/>
      </c>
      <c r="AH141" t="str">
        <f t="shared" ca="1" si="213"/>
        <v/>
      </c>
      <c r="AI141" t="str">
        <f t="shared" ca="1" si="190"/>
        <v/>
      </c>
      <c r="AJ141" t="str">
        <f t="shared" ca="1" si="191"/>
        <v/>
      </c>
      <c r="AK141" t="str">
        <f ca="1">IF(E141="4", HELPER!$B$94 &amp;  "." &amp; A141,"")</f>
        <v/>
      </c>
      <c r="AL141" t="str">
        <f ca="1">IF(E141="4", HELPER!$B$93 &amp;  "." &amp; A141,"")</f>
        <v/>
      </c>
      <c r="AM141" t="str">
        <f t="shared" ca="1" si="192"/>
        <v/>
      </c>
      <c r="AN141" t="str">
        <f t="shared" ca="1" si="193"/>
        <v/>
      </c>
      <c r="AO141" t="str">
        <f ca="1">IF(A141&lt;&gt;"", IF(OR(F141="1",H141="1",I141="1"),""," "&amp; HELPER!$B$94 &amp; "." &amp; A141),"")</f>
        <v/>
      </c>
      <c r="AP141" t="str">
        <f t="shared" ca="1" si="194"/>
        <v/>
      </c>
      <c r="AQ141" t="str">
        <f t="shared" ca="1" si="219"/>
        <v/>
      </c>
      <c r="AS141" t="str">
        <f ca="1">IF(A141="","",  HELPER!$B$94 &amp;  "." &amp; A141)</f>
        <v/>
      </c>
      <c r="AT141" t="str">
        <f t="shared" ca="1" si="195"/>
        <v/>
      </c>
      <c r="AU141" t="str">
        <f t="shared" ca="1" si="196"/>
        <v/>
      </c>
      <c r="AV141" s="190" t="str">
        <f t="shared" ca="1" si="197"/>
        <v/>
      </c>
      <c r="AW141" t="str">
        <f t="shared" ca="1" si="198"/>
        <v/>
      </c>
      <c r="AY141" t="str">
        <f t="shared" ca="1" si="199"/>
        <v/>
      </c>
      <c r="BF141" t="str">
        <f t="shared" ca="1" si="200"/>
        <v/>
      </c>
      <c r="BH141" s="285" t="str">
        <f t="shared" ca="1" si="214"/>
        <v/>
      </c>
      <c r="BI141" t="str">
        <f t="shared" ca="1" si="201"/>
        <v/>
      </c>
      <c r="BJ141" t="str">
        <f t="shared" ca="1" si="202"/>
        <v/>
      </c>
      <c r="BK141" t="str">
        <f t="shared" ca="1" si="215"/>
        <v/>
      </c>
      <c r="BM141" t="str">
        <f t="shared" ca="1" si="216"/>
        <v/>
      </c>
      <c r="BN141" t="str">
        <f t="shared" ca="1" si="217"/>
        <v/>
      </c>
      <c r="BO141" t="str">
        <f t="shared" ca="1" si="203"/>
        <v/>
      </c>
      <c r="BP141" t="b">
        <f ca="1">COUNTIF(COLHELPER!A141:'COLHELPER'!A141,COLHELPER!A141)&gt;1</f>
        <v>0</v>
      </c>
      <c r="BQ141">
        <f t="shared" ca="1" si="204"/>
        <v>0</v>
      </c>
      <c r="BR141" s="290" t="str">
        <f t="shared" ca="1" si="220"/>
        <v/>
      </c>
      <c r="BS141" t="str">
        <f t="shared" ca="1" si="205"/>
        <v/>
      </c>
      <c r="BT141" t="str">
        <f t="shared" ca="1" si="218"/>
        <v/>
      </c>
      <c r="BU141" t="str">
        <f t="shared" ca="1" si="206"/>
        <v/>
      </c>
      <c r="BV141">
        <f t="shared" ca="1" si="207"/>
        <v>0</v>
      </c>
      <c r="BW141" t="str">
        <f t="shared" ca="1" si="208"/>
        <v/>
      </c>
      <c r="BX141" t="str">
        <f t="shared" ca="1" si="209"/>
        <v/>
      </c>
      <c r="BY141" t="str">
        <f ca="1">IF(R141="","",IF(R141&gt;Options!$B$3,"ALTER TABLE "&amp;HELPER!$B$4&amp;" ADD COLUMNS ("&amp;A141&amp;" "&amp;C141&amp;")",""))</f>
        <v/>
      </c>
      <c r="BZ141" t="str">
        <f ca="1">IF(R141="","",IF(R141&gt;Options!$B$3,A141,""))</f>
        <v/>
      </c>
      <c r="CA141" t="str">
        <f ca="1">IF(R141="","",IF(R141&gt;Options!$B$3,B141,""))</f>
        <v/>
      </c>
      <c r="CB141" t="str">
        <f t="shared" ca="1" si="210"/>
        <v/>
      </c>
      <c r="CC141">
        <f t="shared" ca="1" si="211"/>
        <v>0</v>
      </c>
      <c r="CD141" t="str">
        <f ca="1">IF(J141="","",Options!$B$23 &amp; "." &amp; J141)</f>
        <v/>
      </c>
    </row>
    <row r="142" spans="1:82">
      <c r="A142" s="161" t="str">
        <f t="array" aca="1" ref="A142" ca="1">IF(TRIM(INDIRECT("Columns!A142")) ="","",TRIM(INDIRECT("Columns!A142")))</f>
        <v/>
      </c>
      <c r="B142" s="161" t="str">
        <f t="shared" ca="1" si="179"/>
        <v/>
      </c>
      <c r="C142" s="161" t="str">
        <f t="shared" ca="1" si="180"/>
        <v/>
      </c>
      <c r="D142" s="161" t="str">
        <f t="shared" ca="1" si="181"/>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7" t="str">
        <f t="array" aca="1" ref="O142" ca="1">IF(TRIM(INDIRECT("Columns!B142"))="","",TRIM(INDIRECT("Columns!B142")))</f>
        <v/>
      </c>
      <c r="P142" s="227" t="str">
        <f t="array" aca="1" ref="P142" ca="1">IF(TRIM(INDIRECT("Columns!C142"))="","",TRIM(INDIRECT("Columns!C142")))</f>
        <v/>
      </c>
      <c r="Q142" s="227" t="str">
        <f t="array" aca="1" ref="Q142" ca="1">IF(TRIM(INDIRECT("Columns!D142"))="","",TRIM(INDIRECT("Columns!D142")))</f>
        <v/>
      </c>
      <c r="R142" s="227" t="str">
        <f t="array" aca="1" ref="R142" ca="1">IF(TRIM(INDIRECT("Columns!O142"))="","",TRIM(INDIRECT("Columns!O142")))</f>
        <v/>
      </c>
      <c r="S142" t="str">
        <f t="shared" ca="1" si="182"/>
        <v/>
      </c>
      <c r="T142" t="str">
        <f t="shared" ca="1" si="183"/>
        <v/>
      </c>
      <c r="U142" t="str">
        <f t="shared" ca="1" si="184"/>
        <v/>
      </c>
      <c r="V142" t="str">
        <f t="shared" ca="1" si="185"/>
        <v/>
      </c>
      <c r="W142" t="str">
        <f t="shared" ca="1" si="186"/>
        <v/>
      </c>
      <c r="X142" t="str">
        <f t="shared" ca="1" si="187"/>
        <v/>
      </c>
      <c r="Y142" t="str">
        <f t="shared" ca="1" si="188"/>
        <v/>
      </c>
      <c r="Z142" t="str">
        <f t="shared" ca="1" si="212"/>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89"/>
        <v/>
      </c>
      <c r="AF142" t="str">
        <f ca="1">IF(AE142&lt;&gt;"", HELPER!$B$93 &amp;  "." &amp; AE142,"")</f>
        <v/>
      </c>
      <c r="AG142" t="str">
        <f ca="1">IF(AE142&lt;&gt;"", HELPER!$B$94 &amp; "." &amp; AE142,"")</f>
        <v/>
      </c>
      <c r="AH142" t="str">
        <f t="shared" ca="1" si="213"/>
        <v/>
      </c>
      <c r="AI142" t="str">
        <f t="shared" ca="1" si="190"/>
        <v/>
      </c>
      <c r="AJ142" t="str">
        <f t="shared" ca="1" si="191"/>
        <v/>
      </c>
      <c r="AK142" t="str">
        <f ca="1">IF(E142="4", HELPER!$B$94 &amp;  "." &amp; A142,"")</f>
        <v/>
      </c>
      <c r="AL142" t="str">
        <f ca="1">IF(E142="4", HELPER!$B$93 &amp;  "." &amp; A142,"")</f>
        <v/>
      </c>
      <c r="AM142" t="str">
        <f t="shared" ca="1" si="192"/>
        <v/>
      </c>
      <c r="AN142" t="str">
        <f t="shared" ca="1" si="193"/>
        <v/>
      </c>
      <c r="AO142" t="str">
        <f ca="1">IF(A142&lt;&gt;"", IF(OR(F142="1",H142="1",I142="1"),""," "&amp; HELPER!$B$94 &amp; "." &amp; A142),"")</f>
        <v/>
      </c>
      <c r="AP142" t="str">
        <f t="shared" ca="1" si="194"/>
        <v/>
      </c>
      <c r="AQ142" t="str">
        <f t="shared" ca="1" si="219"/>
        <v/>
      </c>
      <c r="AS142" t="str">
        <f ca="1">IF(A142="","",  HELPER!$B$94 &amp;  "." &amp; A142)</f>
        <v/>
      </c>
      <c r="AT142" t="str">
        <f t="shared" ca="1" si="195"/>
        <v/>
      </c>
      <c r="AU142" t="str">
        <f t="shared" ca="1" si="196"/>
        <v/>
      </c>
      <c r="AV142" s="190" t="str">
        <f t="shared" ca="1" si="197"/>
        <v/>
      </c>
      <c r="AW142" t="str">
        <f t="shared" ca="1" si="198"/>
        <v/>
      </c>
      <c r="AY142" t="str">
        <f t="shared" ca="1" si="199"/>
        <v/>
      </c>
      <c r="BF142" t="str">
        <f t="shared" ca="1" si="200"/>
        <v/>
      </c>
      <c r="BH142" s="285" t="str">
        <f t="shared" ca="1" si="214"/>
        <v/>
      </c>
      <c r="BI142" t="str">
        <f t="shared" ca="1" si="201"/>
        <v/>
      </c>
      <c r="BJ142" t="str">
        <f t="shared" ca="1" si="202"/>
        <v/>
      </c>
      <c r="BK142" t="str">
        <f t="shared" ca="1" si="215"/>
        <v/>
      </c>
      <c r="BM142" t="str">
        <f t="shared" ca="1" si="216"/>
        <v/>
      </c>
      <c r="BN142" t="str">
        <f t="shared" ca="1" si="217"/>
        <v/>
      </c>
      <c r="BO142" t="str">
        <f t="shared" ca="1" si="203"/>
        <v/>
      </c>
      <c r="BP142" t="b">
        <f ca="1">COUNTIF(COLHELPER!A142:'COLHELPER'!A142,COLHELPER!A142)&gt;1</f>
        <v>0</v>
      </c>
      <c r="BQ142">
        <f t="shared" ca="1" si="204"/>
        <v>0</v>
      </c>
      <c r="BR142" s="290" t="str">
        <f t="shared" ca="1" si="220"/>
        <v/>
      </c>
      <c r="BS142" t="str">
        <f t="shared" ca="1" si="205"/>
        <v/>
      </c>
      <c r="BT142" t="str">
        <f t="shared" ca="1" si="218"/>
        <v/>
      </c>
      <c r="BU142" t="str">
        <f t="shared" ca="1" si="206"/>
        <v/>
      </c>
      <c r="BV142">
        <f t="shared" ca="1" si="207"/>
        <v>0</v>
      </c>
      <c r="BW142" t="str">
        <f t="shared" ca="1" si="208"/>
        <v/>
      </c>
      <c r="BX142" t="str">
        <f t="shared" ca="1" si="209"/>
        <v/>
      </c>
      <c r="BY142" t="str">
        <f ca="1">IF(R142="","",IF(R142&gt;Options!$B$3,"ALTER TABLE "&amp;HELPER!$B$4&amp;" ADD COLUMNS ("&amp;A142&amp;" "&amp;C142&amp;")",""))</f>
        <v/>
      </c>
      <c r="BZ142" t="str">
        <f ca="1">IF(R142="","",IF(R142&gt;Options!$B$3,A142,""))</f>
        <v/>
      </c>
      <c r="CA142" t="str">
        <f ca="1">IF(R142="","",IF(R142&gt;Options!$B$3,B142,""))</f>
        <v/>
      </c>
      <c r="CB142" t="str">
        <f t="shared" ca="1" si="210"/>
        <v/>
      </c>
      <c r="CC142">
        <f t="shared" ca="1" si="211"/>
        <v>0</v>
      </c>
      <c r="CD142" t="str">
        <f ca="1">IF(J142="","",Options!$B$23 &amp; "." &amp; J142)</f>
        <v/>
      </c>
    </row>
    <row r="143" spans="1:82">
      <c r="A143" s="161" t="str">
        <f t="array" aca="1" ref="A143" ca="1">IF(TRIM(INDIRECT("Columns!A143")) ="","",TRIM(INDIRECT("Columns!A143")))</f>
        <v/>
      </c>
      <c r="B143" s="161" t="str">
        <f t="shared" ca="1" si="179"/>
        <v/>
      </c>
      <c r="C143" s="161" t="str">
        <f t="shared" ca="1" si="180"/>
        <v/>
      </c>
      <c r="D143" s="161" t="str">
        <f t="shared" ca="1" si="181"/>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7" t="str">
        <f t="array" aca="1" ref="O143" ca="1">IF(TRIM(INDIRECT("Columns!B143"))="","",TRIM(INDIRECT("Columns!B143")))</f>
        <v/>
      </c>
      <c r="P143" s="227" t="str">
        <f t="array" aca="1" ref="P143" ca="1">IF(TRIM(INDIRECT("Columns!C143"))="","",TRIM(INDIRECT("Columns!C143")))</f>
        <v/>
      </c>
      <c r="Q143" s="227" t="str">
        <f t="array" aca="1" ref="Q143" ca="1">IF(TRIM(INDIRECT("Columns!D143"))="","",TRIM(INDIRECT("Columns!D143")))</f>
        <v/>
      </c>
      <c r="R143" s="227" t="str">
        <f t="array" aca="1" ref="R143" ca="1">IF(TRIM(INDIRECT("Columns!O143"))="","",TRIM(INDIRECT("Columns!O143")))</f>
        <v/>
      </c>
      <c r="S143" t="str">
        <f t="shared" ca="1" si="182"/>
        <v/>
      </c>
      <c r="T143" t="str">
        <f t="shared" ca="1" si="183"/>
        <v/>
      </c>
      <c r="U143" t="str">
        <f t="shared" ca="1" si="184"/>
        <v/>
      </c>
      <c r="V143" t="str">
        <f t="shared" ca="1" si="185"/>
        <v/>
      </c>
      <c r="W143" t="str">
        <f t="shared" ca="1" si="186"/>
        <v/>
      </c>
      <c r="X143" t="str">
        <f t="shared" ca="1" si="187"/>
        <v/>
      </c>
      <c r="Y143" t="str">
        <f t="shared" ca="1" si="188"/>
        <v/>
      </c>
      <c r="Z143" t="str">
        <f t="shared" ca="1" si="212"/>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89"/>
        <v/>
      </c>
      <c r="AF143" t="str">
        <f ca="1">IF(AE143&lt;&gt;"", HELPER!$B$93 &amp;  "." &amp; AE143,"")</f>
        <v/>
      </c>
      <c r="AG143" t="str">
        <f ca="1">IF(AE143&lt;&gt;"", HELPER!$B$94 &amp; "." &amp; AE143,"")</f>
        <v/>
      </c>
      <c r="AH143" t="str">
        <f t="shared" ca="1" si="213"/>
        <v/>
      </c>
      <c r="AI143" t="str">
        <f t="shared" ca="1" si="190"/>
        <v/>
      </c>
      <c r="AJ143" t="str">
        <f t="shared" ca="1" si="191"/>
        <v/>
      </c>
      <c r="AK143" t="str">
        <f ca="1">IF(E143="4", HELPER!$B$94 &amp;  "." &amp; A143,"")</f>
        <v/>
      </c>
      <c r="AL143" t="str">
        <f ca="1">IF(E143="4", HELPER!$B$93 &amp;  "." &amp; A143,"")</f>
        <v/>
      </c>
      <c r="AM143" t="str">
        <f t="shared" ca="1" si="192"/>
        <v/>
      </c>
      <c r="AN143" t="str">
        <f t="shared" ca="1" si="193"/>
        <v/>
      </c>
      <c r="AO143" t="str">
        <f ca="1">IF(A143&lt;&gt;"", IF(OR(F143="1",H143="1",I143="1"),""," "&amp; HELPER!$B$94 &amp; "." &amp; A143),"")</f>
        <v/>
      </c>
      <c r="AP143" t="str">
        <f t="shared" ca="1" si="194"/>
        <v/>
      </c>
      <c r="AQ143" t="str">
        <f t="shared" ca="1" si="219"/>
        <v/>
      </c>
      <c r="AS143" t="str">
        <f ca="1">IF(A143="","",  HELPER!$B$94 &amp;  "." &amp; A143)</f>
        <v/>
      </c>
      <c r="AT143" t="str">
        <f t="shared" ca="1" si="195"/>
        <v/>
      </c>
      <c r="AU143" t="str">
        <f t="shared" ca="1" si="196"/>
        <v/>
      </c>
      <c r="AV143" s="190" t="str">
        <f t="shared" ca="1" si="197"/>
        <v/>
      </c>
      <c r="AW143" t="str">
        <f t="shared" ca="1" si="198"/>
        <v/>
      </c>
      <c r="AY143" t="str">
        <f t="shared" ca="1" si="199"/>
        <v/>
      </c>
      <c r="BF143" t="str">
        <f t="shared" ca="1" si="200"/>
        <v/>
      </c>
      <c r="BH143" s="285" t="str">
        <f t="shared" ca="1" si="214"/>
        <v/>
      </c>
      <c r="BI143" t="str">
        <f t="shared" ca="1" si="201"/>
        <v/>
      </c>
      <c r="BJ143" t="str">
        <f t="shared" ca="1" si="202"/>
        <v/>
      </c>
      <c r="BK143" t="str">
        <f t="shared" ca="1" si="215"/>
        <v/>
      </c>
      <c r="BM143" t="str">
        <f t="shared" ca="1" si="216"/>
        <v/>
      </c>
      <c r="BN143" t="str">
        <f t="shared" ca="1" si="217"/>
        <v/>
      </c>
      <c r="BO143" t="str">
        <f t="shared" ca="1" si="203"/>
        <v/>
      </c>
      <c r="BP143" t="b">
        <f ca="1">COUNTIF(COLHELPER!A143:'COLHELPER'!A143,COLHELPER!A143)&gt;1</f>
        <v>0</v>
      </c>
      <c r="BQ143">
        <f t="shared" ca="1" si="204"/>
        <v>0</v>
      </c>
      <c r="BR143" s="290" t="str">
        <f t="shared" ca="1" si="220"/>
        <v/>
      </c>
      <c r="BS143" t="str">
        <f t="shared" ca="1" si="205"/>
        <v/>
      </c>
      <c r="BT143" t="str">
        <f t="shared" ca="1" si="218"/>
        <v/>
      </c>
      <c r="BU143" t="str">
        <f t="shared" ca="1" si="206"/>
        <v/>
      </c>
      <c r="BV143">
        <f t="shared" ca="1" si="207"/>
        <v>0</v>
      </c>
      <c r="BW143" t="str">
        <f t="shared" ca="1" si="208"/>
        <v/>
      </c>
      <c r="BX143" t="str">
        <f t="shared" ca="1" si="209"/>
        <v/>
      </c>
      <c r="BY143" t="str">
        <f ca="1">IF(R143="","",IF(R143&gt;Options!$B$3,"ALTER TABLE "&amp;HELPER!$B$4&amp;" ADD COLUMNS ("&amp;A143&amp;" "&amp;C143&amp;")",""))</f>
        <v/>
      </c>
      <c r="BZ143" t="str">
        <f ca="1">IF(R143="","",IF(R143&gt;Options!$B$3,A143,""))</f>
        <v/>
      </c>
      <c r="CA143" t="str">
        <f ca="1">IF(R143="","",IF(R143&gt;Options!$B$3,B143,""))</f>
        <v/>
      </c>
      <c r="CB143" t="str">
        <f t="shared" ca="1" si="210"/>
        <v/>
      </c>
      <c r="CC143">
        <f t="shared" ca="1" si="211"/>
        <v>0</v>
      </c>
      <c r="CD143" t="str">
        <f ca="1">IF(J143="","",Options!$B$23 &amp; "." &amp; J143)</f>
        <v/>
      </c>
    </row>
    <row r="144" spans="1:82">
      <c r="A144" s="161" t="str">
        <f t="array" aca="1" ref="A144" ca="1">IF(TRIM(INDIRECT("Columns!A144")) ="","",TRIM(INDIRECT("Columns!A144")))</f>
        <v/>
      </c>
      <c r="B144" s="161" t="str">
        <f t="shared" ca="1" si="179"/>
        <v/>
      </c>
      <c r="C144" s="161" t="str">
        <f t="shared" ca="1" si="180"/>
        <v/>
      </c>
      <c r="D144" s="161" t="str">
        <f t="shared" ca="1" si="181"/>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7" t="str">
        <f t="array" aca="1" ref="O144" ca="1">IF(TRIM(INDIRECT("Columns!B144"))="","",TRIM(INDIRECT("Columns!B144")))</f>
        <v/>
      </c>
      <c r="P144" s="227" t="str">
        <f t="array" aca="1" ref="P144" ca="1">IF(TRIM(INDIRECT("Columns!C144"))="","",TRIM(INDIRECT("Columns!C144")))</f>
        <v/>
      </c>
      <c r="Q144" s="227" t="str">
        <f t="array" aca="1" ref="Q144" ca="1">IF(TRIM(INDIRECT("Columns!D144"))="","",TRIM(INDIRECT("Columns!D144")))</f>
        <v/>
      </c>
      <c r="R144" s="227" t="str">
        <f t="array" aca="1" ref="R144" ca="1">IF(TRIM(INDIRECT("Columns!O144"))="","",TRIM(INDIRECT("Columns!O144")))</f>
        <v/>
      </c>
      <c r="S144" t="str">
        <f t="shared" ca="1" si="182"/>
        <v/>
      </c>
      <c r="T144" t="str">
        <f t="shared" ca="1" si="183"/>
        <v/>
      </c>
      <c r="U144" t="str">
        <f t="shared" ca="1" si="184"/>
        <v/>
      </c>
      <c r="V144" t="str">
        <f t="shared" ca="1" si="185"/>
        <v/>
      </c>
      <c r="W144" t="str">
        <f t="shared" ca="1" si="186"/>
        <v/>
      </c>
      <c r="X144" t="str">
        <f t="shared" ca="1" si="187"/>
        <v/>
      </c>
      <c r="Y144" t="str">
        <f t="shared" ca="1" si="188"/>
        <v/>
      </c>
      <c r="Z144" t="str">
        <f t="shared" ca="1" si="212"/>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89"/>
        <v/>
      </c>
      <c r="AF144" t="str">
        <f ca="1">IF(AE144&lt;&gt;"", HELPER!$B$93 &amp;  "." &amp; AE144,"")</f>
        <v/>
      </c>
      <c r="AG144" t="str">
        <f ca="1">IF(AE144&lt;&gt;"", HELPER!$B$94 &amp; "." &amp; AE144,"")</f>
        <v/>
      </c>
      <c r="AH144" t="str">
        <f t="shared" ca="1" si="213"/>
        <v/>
      </c>
      <c r="AI144" t="str">
        <f t="shared" ca="1" si="190"/>
        <v/>
      </c>
      <c r="AJ144" t="str">
        <f t="shared" ca="1" si="191"/>
        <v/>
      </c>
      <c r="AK144" t="str">
        <f ca="1">IF(E144="4", HELPER!$B$94 &amp;  "." &amp; A144,"")</f>
        <v/>
      </c>
      <c r="AL144" t="str">
        <f ca="1">IF(E144="4", HELPER!$B$93 &amp;  "." &amp; A144,"")</f>
        <v/>
      </c>
      <c r="AM144" t="str">
        <f t="shared" ca="1" si="192"/>
        <v/>
      </c>
      <c r="AN144" t="str">
        <f t="shared" ca="1" si="193"/>
        <v/>
      </c>
      <c r="AO144" t="str">
        <f ca="1">IF(A144&lt;&gt;"", IF(OR(F144="1",H144="1",I144="1"),""," "&amp; HELPER!$B$94 &amp; "." &amp; A144),"")</f>
        <v/>
      </c>
      <c r="AP144" t="str">
        <f t="shared" ca="1" si="194"/>
        <v/>
      </c>
      <c r="AQ144" t="str">
        <f t="shared" ca="1" si="219"/>
        <v/>
      </c>
      <c r="AS144" t="str">
        <f ca="1">IF(A144="","",  HELPER!$B$94 &amp;  "." &amp; A144)</f>
        <v/>
      </c>
      <c r="AT144" t="str">
        <f t="shared" ca="1" si="195"/>
        <v/>
      </c>
      <c r="AU144" t="str">
        <f t="shared" ca="1" si="196"/>
        <v/>
      </c>
      <c r="AV144" s="190" t="str">
        <f t="shared" ca="1" si="197"/>
        <v/>
      </c>
      <c r="AW144" t="str">
        <f t="shared" ca="1" si="198"/>
        <v/>
      </c>
      <c r="AY144" t="str">
        <f t="shared" ca="1" si="199"/>
        <v/>
      </c>
      <c r="BF144" t="str">
        <f t="shared" ca="1" si="200"/>
        <v/>
      </c>
      <c r="BH144" s="285" t="str">
        <f t="shared" ca="1" si="214"/>
        <v/>
      </c>
      <c r="BI144" t="str">
        <f t="shared" ca="1" si="201"/>
        <v/>
      </c>
      <c r="BJ144" t="str">
        <f t="shared" ca="1" si="202"/>
        <v/>
      </c>
      <c r="BK144" t="str">
        <f t="shared" ca="1" si="215"/>
        <v/>
      </c>
      <c r="BM144" t="str">
        <f t="shared" ca="1" si="216"/>
        <v/>
      </c>
      <c r="BN144" t="str">
        <f t="shared" ca="1" si="217"/>
        <v/>
      </c>
      <c r="BO144" t="str">
        <f t="shared" ca="1" si="203"/>
        <v/>
      </c>
      <c r="BP144" t="b">
        <f ca="1">COUNTIF(COLHELPER!A144:'COLHELPER'!A144,COLHELPER!A144)&gt;1</f>
        <v>0</v>
      </c>
      <c r="BQ144">
        <f t="shared" ca="1" si="204"/>
        <v>0</v>
      </c>
      <c r="BR144" s="290" t="str">
        <f t="shared" ca="1" si="220"/>
        <v/>
      </c>
      <c r="BS144" t="str">
        <f t="shared" ca="1" si="205"/>
        <v/>
      </c>
      <c r="BT144" t="str">
        <f t="shared" ca="1" si="218"/>
        <v/>
      </c>
      <c r="BU144" t="str">
        <f t="shared" ca="1" si="206"/>
        <v/>
      </c>
      <c r="BV144">
        <f t="shared" ca="1" si="207"/>
        <v>0</v>
      </c>
      <c r="BW144" t="str">
        <f t="shared" ca="1" si="208"/>
        <v/>
      </c>
      <c r="BX144" t="str">
        <f t="shared" ca="1" si="209"/>
        <v/>
      </c>
      <c r="BY144" t="str">
        <f ca="1">IF(R144="","",IF(R144&gt;Options!$B$3,"ALTER TABLE "&amp;HELPER!$B$4&amp;" ADD COLUMNS ("&amp;A144&amp;" "&amp;C144&amp;")",""))</f>
        <v/>
      </c>
      <c r="BZ144" t="str">
        <f ca="1">IF(R144="","",IF(R144&gt;Options!$B$3,A144,""))</f>
        <v/>
      </c>
      <c r="CA144" t="str">
        <f ca="1">IF(R144="","",IF(R144&gt;Options!$B$3,B144,""))</f>
        <v/>
      </c>
      <c r="CB144" t="str">
        <f t="shared" ca="1" si="210"/>
        <v/>
      </c>
      <c r="CC144">
        <f t="shared" ca="1" si="211"/>
        <v>0</v>
      </c>
      <c r="CD144" t="str">
        <f ca="1">IF(J144="","",Options!$B$23 &amp; "." &amp; J144)</f>
        <v/>
      </c>
    </row>
    <row r="145" spans="1:82">
      <c r="A145" s="161" t="str">
        <f t="array" aca="1" ref="A145" ca="1">IF(TRIM(INDIRECT("Columns!A145")) ="","",TRIM(INDIRECT("Columns!A145")))</f>
        <v/>
      </c>
      <c r="B145" s="161" t="str">
        <f t="shared" ca="1" si="179"/>
        <v/>
      </c>
      <c r="C145" s="161" t="str">
        <f t="shared" ca="1" si="180"/>
        <v/>
      </c>
      <c r="D145" s="161" t="str">
        <f t="shared" ca="1" si="181"/>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7" t="str">
        <f t="array" aca="1" ref="O145" ca="1">IF(TRIM(INDIRECT("Columns!B145"))="","",TRIM(INDIRECT("Columns!B145")))</f>
        <v/>
      </c>
      <c r="P145" s="227" t="str">
        <f t="array" aca="1" ref="P145" ca="1">IF(TRIM(INDIRECT("Columns!C145"))="","",TRIM(INDIRECT("Columns!C145")))</f>
        <v/>
      </c>
      <c r="Q145" s="227" t="str">
        <f t="array" aca="1" ref="Q145" ca="1">IF(TRIM(INDIRECT("Columns!D145"))="","",TRIM(INDIRECT("Columns!D145")))</f>
        <v/>
      </c>
      <c r="R145" s="227" t="str">
        <f t="array" aca="1" ref="R145" ca="1">IF(TRIM(INDIRECT("Columns!O145"))="","",TRIM(INDIRECT("Columns!O145")))</f>
        <v/>
      </c>
      <c r="S145" t="str">
        <f t="shared" ca="1" si="182"/>
        <v/>
      </c>
      <c r="T145" t="str">
        <f t="shared" ca="1" si="183"/>
        <v/>
      </c>
      <c r="U145" t="str">
        <f t="shared" ca="1" si="184"/>
        <v/>
      </c>
      <c r="V145" t="str">
        <f t="shared" ca="1" si="185"/>
        <v/>
      </c>
      <c r="W145" t="str">
        <f t="shared" ca="1" si="186"/>
        <v/>
      </c>
      <c r="X145" t="str">
        <f t="shared" ca="1" si="187"/>
        <v/>
      </c>
      <c r="Y145" t="str">
        <f t="shared" ca="1" si="188"/>
        <v/>
      </c>
      <c r="Z145" t="str">
        <f t="shared" ca="1" si="212"/>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89"/>
        <v/>
      </c>
      <c r="AF145" t="str">
        <f ca="1">IF(AE145&lt;&gt;"", HELPER!$B$93 &amp;  "." &amp; AE145,"")</f>
        <v/>
      </c>
      <c r="AG145" t="str">
        <f ca="1">IF(AE145&lt;&gt;"", HELPER!$B$94 &amp; "." &amp; AE145,"")</f>
        <v/>
      </c>
      <c r="AH145" t="str">
        <f t="shared" ca="1" si="213"/>
        <v/>
      </c>
      <c r="AI145" t="str">
        <f t="shared" ca="1" si="190"/>
        <v/>
      </c>
      <c r="AJ145" t="str">
        <f t="shared" ca="1" si="191"/>
        <v/>
      </c>
      <c r="AK145" t="str">
        <f ca="1">IF(E145="4", HELPER!$B$94 &amp;  "." &amp; A145,"")</f>
        <v/>
      </c>
      <c r="AL145" t="str">
        <f ca="1">IF(E145="4", HELPER!$B$93 &amp;  "." &amp; A145,"")</f>
        <v/>
      </c>
      <c r="AM145" t="str">
        <f t="shared" ca="1" si="192"/>
        <v/>
      </c>
      <c r="AN145" t="str">
        <f t="shared" ca="1" si="193"/>
        <v/>
      </c>
      <c r="AO145" t="str">
        <f ca="1">IF(A145&lt;&gt;"", IF(OR(F145="1",H145="1",I145="1"),""," "&amp; HELPER!$B$94 &amp; "." &amp; A145),"")</f>
        <v/>
      </c>
      <c r="AP145" t="str">
        <f t="shared" ca="1" si="194"/>
        <v/>
      </c>
      <c r="AQ145" t="str">
        <f t="shared" ca="1" si="219"/>
        <v/>
      </c>
      <c r="AS145" t="str">
        <f ca="1">IF(A145="","",  HELPER!$B$94 &amp;  "." &amp; A145)</f>
        <v/>
      </c>
      <c r="AT145" t="str">
        <f t="shared" ca="1" si="195"/>
        <v/>
      </c>
      <c r="AU145" t="str">
        <f t="shared" ca="1" si="196"/>
        <v/>
      </c>
      <c r="AV145" s="190" t="str">
        <f t="shared" ca="1" si="197"/>
        <v/>
      </c>
      <c r="AW145" t="str">
        <f t="shared" ca="1" si="198"/>
        <v/>
      </c>
      <c r="AY145" t="str">
        <f t="shared" ca="1" si="199"/>
        <v/>
      </c>
      <c r="BF145" t="str">
        <f t="shared" ca="1" si="200"/>
        <v/>
      </c>
      <c r="BH145" s="285" t="str">
        <f t="shared" ca="1" si="214"/>
        <v/>
      </c>
      <c r="BI145" t="str">
        <f t="shared" ca="1" si="201"/>
        <v/>
      </c>
      <c r="BJ145" t="str">
        <f t="shared" ca="1" si="202"/>
        <v/>
      </c>
      <c r="BK145" t="str">
        <f t="shared" ca="1" si="215"/>
        <v/>
      </c>
      <c r="BM145" t="str">
        <f t="shared" ca="1" si="216"/>
        <v/>
      </c>
      <c r="BN145" t="str">
        <f t="shared" ca="1" si="217"/>
        <v/>
      </c>
      <c r="BO145" t="str">
        <f t="shared" ca="1" si="203"/>
        <v/>
      </c>
      <c r="BP145" t="b">
        <f ca="1">COUNTIF(COLHELPER!A145:'COLHELPER'!A145,COLHELPER!A145)&gt;1</f>
        <v>0</v>
      </c>
      <c r="BQ145">
        <f t="shared" ca="1" si="204"/>
        <v>0</v>
      </c>
      <c r="BR145" s="290" t="str">
        <f t="shared" ca="1" si="220"/>
        <v/>
      </c>
      <c r="BS145" t="str">
        <f t="shared" ca="1" si="205"/>
        <v/>
      </c>
      <c r="BT145" t="str">
        <f t="shared" ca="1" si="218"/>
        <v/>
      </c>
      <c r="BU145" t="str">
        <f t="shared" ca="1" si="206"/>
        <v/>
      </c>
      <c r="BV145">
        <f t="shared" ca="1" si="207"/>
        <v>0</v>
      </c>
      <c r="BW145" t="str">
        <f t="shared" ca="1" si="208"/>
        <v/>
      </c>
      <c r="BX145" t="str">
        <f t="shared" ca="1" si="209"/>
        <v/>
      </c>
      <c r="BY145" t="str">
        <f ca="1">IF(R145="","",IF(R145&gt;Options!$B$3,"ALTER TABLE "&amp;HELPER!$B$4&amp;" ADD COLUMNS ("&amp;A145&amp;" "&amp;C145&amp;")",""))</f>
        <v/>
      </c>
      <c r="BZ145" t="str">
        <f ca="1">IF(R145="","",IF(R145&gt;Options!$B$3,A145,""))</f>
        <v/>
      </c>
      <c r="CA145" t="str">
        <f ca="1">IF(R145="","",IF(R145&gt;Options!$B$3,B145,""))</f>
        <v/>
      </c>
      <c r="CB145" t="str">
        <f t="shared" ca="1" si="210"/>
        <v/>
      </c>
      <c r="CC145">
        <f t="shared" ca="1" si="211"/>
        <v>0</v>
      </c>
      <c r="CD145" t="str">
        <f ca="1">IF(J145="","",Options!$B$23 &amp; "." &amp; J145)</f>
        <v/>
      </c>
    </row>
    <row r="146" spans="1:82">
      <c r="A146" s="161" t="str">
        <f t="array" aca="1" ref="A146" ca="1">IF(TRIM(INDIRECT("Columns!A146")) ="","",TRIM(INDIRECT("Columns!A146")))</f>
        <v/>
      </c>
      <c r="B146" s="161" t="str">
        <f t="shared" ca="1" si="179"/>
        <v/>
      </c>
      <c r="C146" s="161" t="str">
        <f t="shared" ca="1" si="180"/>
        <v/>
      </c>
      <c r="D146" s="161" t="str">
        <f t="shared" ca="1" si="181"/>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7" t="str">
        <f t="array" aca="1" ref="O146" ca="1">IF(TRIM(INDIRECT("Columns!B146"))="","",TRIM(INDIRECT("Columns!B146")))</f>
        <v/>
      </c>
      <c r="P146" s="227" t="str">
        <f t="array" aca="1" ref="P146" ca="1">IF(TRIM(INDIRECT("Columns!C146"))="","",TRIM(INDIRECT("Columns!C146")))</f>
        <v/>
      </c>
      <c r="Q146" s="227" t="str">
        <f t="array" aca="1" ref="Q146" ca="1">IF(TRIM(INDIRECT("Columns!D146"))="","",TRIM(INDIRECT("Columns!D146")))</f>
        <v/>
      </c>
      <c r="R146" s="227" t="str">
        <f t="array" aca="1" ref="R146" ca="1">IF(TRIM(INDIRECT("Columns!O146"))="","",TRIM(INDIRECT("Columns!O146")))</f>
        <v/>
      </c>
      <c r="S146" t="str">
        <f t="shared" ca="1" si="182"/>
        <v/>
      </c>
      <c r="T146" t="str">
        <f t="shared" ca="1" si="183"/>
        <v/>
      </c>
      <c r="U146" t="str">
        <f t="shared" ca="1" si="184"/>
        <v/>
      </c>
      <c r="V146" t="str">
        <f t="shared" ca="1" si="185"/>
        <v/>
      </c>
      <c r="W146" t="str">
        <f t="shared" ca="1" si="186"/>
        <v/>
      </c>
      <c r="X146" t="str">
        <f t="shared" ca="1" si="187"/>
        <v/>
      </c>
      <c r="Y146" t="str">
        <f t="shared" ca="1" si="188"/>
        <v/>
      </c>
      <c r="Z146" t="str">
        <f t="shared" ca="1" si="212"/>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89"/>
        <v/>
      </c>
      <c r="AF146" t="str">
        <f ca="1">IF(AE146&lt;&gt;"", HELPER!$B$93 &amp;  "." &amp; AE146,"")</f>
        <v/>
      </c>
      <c r="AG146" t="str">
        <f ca="1">IF(AE146&lt;&gt;"", HELPER!$B$94 &amp; "." &amp; AE146,"")</f>
        <v/>
      </c>
      <c r="AH146" t="str">
        <f t="shared" ca="1" si="213"/>
        <v/>
      </c>
      <c r="AI146" t="str">
        <f t="shared" ca="1" si="190"/>
        <v/>
      </c>
      <c r="AJ146" t="str">
        <f t="shared" ca="1" si="191"/>
        <v/>
      </c>
      <c r="AK146" t="str">
        <f ca="1">IF(E146="4", HELPER!$B$94 &amp;  "." &amp; A146,"")</f>
        <v/>
      </c>
      <c r="AL146" t="str">
        <f ca="1">IF(E146="4", HELPER!$B$93 &amp;  "." &amp; A146,"")</f>
        <v/>
      </c>
      <c r="AM146" t="str">
        <f t="shared" ca="1" si="192"/>
        <v/>
      </c>
      <c r="AN146" t="str">
        <f t="shared" ca="1" si="193"/>
        <v/>
      </c>
      <c r="AO146" t="str">
        <f ca="1">IF(A146&lt;&gt;"", IF(OR(F146="1",H146="1",I146="1"),""," "&amp; HELPER!$B$94 &amp; "." &amp; A146),"")</f>
        <v/>
      </c>
      <c r="AP146" t="str">
        <f t="shared" ca="1" si="194"/>
        <v/>
      </c>
      <c r="AQ146" t="str">
        <f t="shared" ca="1" si="219"/>
        <v/>
      </c>
      <c r="AS146" t="str">
        <f ca="1">IF(A146="","",  HELPER!$B$94 &amp;  "." &amp; A146)</f>
        <v/>
      </c>
      <c r="AT146" t="str">
        <f t="shared" ca="1" si="195"/>
        <v/>
      </c>
      <c r="AU146" t="str">
        <f t="shared" ca="1" si="196"/>
        <v/>
      </c>
      <c r="AV146" s="190" t="str">
        <f t="shared" ca="1" si="197"/>
        <v/>
      </c>
      <c r="AW146" t="str">
        <f t="shared" ca="1" si="198"/>
        <v/>
      </c>
      <c r="AY146" t="str">
        <f t="shared" ca="1" si="199"/>
        <v/>
      </c>
      <c r="BF146" t="str">
        <f t="shared" ca="1" si="200"/>
        <v/>
      </c>
      <c r="BH146" s="285" t="str">
        <f t="shared" ca="1" si="214"/>
        <v/>
      </c>
      <c r="BI146" t="str">
        <f t="shared" ca="1" si="201"/>
        <v/>
      </c>
      <c r="BJ146" t="str">
        <f t="shared" ca="1" si="202"/>
        <v/>
      </c>
      <c r="BK146" t="str">
        <f t="shared" ca="1" si="215"/>
        <v/>
      </c>
      <c r="BM146" t="str">
        <f t="shared" ca="1" si="216"/>
        <v/>
      </c>
      <c r="BN146" t="str">
        <f t="shared" ca="1" si="217"/>
        <v/>
      </c>
      <c r="BO146" t="str">
        <f t="shared" ca="1" si="203"/>
        <v/>
      </c>
      <c r="BP146" t="b">
        <f ca="1">COUNTIF(COLHELPER!A146:'COLHELPER'!A146,COLHELPER!A146)&gt;1</f>
        <v>0</v>
      </c>
      <c r="BQ146">
        <f t="shared" ca="1" si="204"/>
        <v>0</v>
      </c>
      <c r="BR146" s="290" t="str">
        <f t="shared" ca="1" si="220"/>
        <v/>
      </c>
      <c r="BS146" t="str">
        <f t="shared" ca="1" si="205"/>
        <v/>
      </c>
      <c r="BT146" t="str">
        <f t="shared" ca="1" si="218"/>
        <v/>
      </c>
      <c r="BU146" t="str">
        <f t="shared" ca="1" si="206"/>
        <v/>
      </c>
      <c r="BV146">
        <f t="shared" ca="1" si="207"/>
        <v>0</v>
      </c>
      <c r="BW146" t="str">
        <f t="shared" ca="1" si="208"/>
        <v/>
      </c>
      <c r="BX146" t="str">
        <f t="shared" ca="1" si="209"/>
        <v/>
      </c>
      <c r="BY146" t="str">
        <f ca="1">IF(R146="","",IF(R146&gt;Options!$B$3,"ALTER TABLE "&amp;HELPER!$B$4&amp;" ADD COLUMNS ("&amp;A146&amp;" "&amp;C146&amp;")",""))</f>
        <v/>
      </c>
      <c r="BZ146" t="str">
        <f ca="1">IF(R146="","",IF(R146&gt;Options!$B$3,A146,""))</f>
        <v/>
      </c>
      <c r="CA146" t="str">
        <f ca="1">IF(R146="","",IF(R146&gt;Options!$B$3,B146,""))</f>
        <v/>
      </c>
      <c r="CB146" t="str">
        <f t="shared" ca="1" si="210"/>
        <v/>
      </c>
      <c r="CC146">
        <f t="shared" ca="1" si="211"/>
        <v>0</v>
      </c>
      <c r="CD146" t="str">
        <f ca="1">IF(J146="","",Options!$B$23 &amp; "." &amp; J146)</f>
        <v/>
      </c>
    </row>
    <row r="147" spans="1:82">
      <c r="A147" s="161" t="str">
        <f t="array" aca="1" ref="A147" ca="1">IF(TRIM(INDIRECT("Columns!A147")) ="","",TRIM(INDIRECT("Columns!A147")))</f>
        <v/>
      </c>
      <c r="B147" s="161" t="str">
        <f t="shared" ca="1" si="179"/>
        <v/>
      </c>
      <c r="C147" s="161" t="str">
        <f t="shared" ca="1" si="180"/>
        <v/>
      </c>
      <c r="D147" s="161" t="str">
        <f t="shared" ca="1" si="181"/>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7" t="str">
        <f t="array" aca="1" ref="O147" ca="1">IF(TRIM(INDIRECT("Columns!B147"))="","",TRIM(INDIRECT("Columns!B147")))</f>
        <v/>
      </c>
      <c r="P147" s="227" t="str">
        <f t="array" aca="1" ref="P147" ca="1">IF(TRIM(INDIRECT("Columns!C147"))="","",TRIM(INDIRECT("Columns!C147")))</f>
        <v/>
      </c>
      <c r="Q147" s="227" t="str">
        <f t="array" aca="1" ref="Q147" ca="1">IF(TRIM(INDIRECT("Columns!D147"))="","",TRIM(INDIRECT("Columns!D147")))</f>
        <v/>
      </c>
      <c r="R147" s="227" t="str">
        <f t="array" aca="1" ref="R147" ca="1">IF(TRIM(INDIRECT("Columns!O147"))="","",TRIM(INDIRECT("Columns!O147")))</f>
        <v/>
      </c>
      <c r="S147" t="str">
        <f t="shared" ca="1" si="182"/>
        <v/>
      </c>
      <c r="T147" t="str">
        <f t="shared" ca="1" si="183"/>
        <v/>
      </c>
      <c r="U147" t="str">
        <f t="shared" ca="1" si="184"/>
        <v/>
      </c>
      <c r="V147" t="str">
        <f t="shared" ca="1" si="185"/>
        <v/>
      </c>
      <c r="W147" t="str">
        <f t="shared" ca="1" si="186"/>
        <v/>
      </c>
      <c r="X147" t="str">
        <f t="shared" ca="1" si="187"/>
        <v/>
      </c>
      <c r="Y147" t="str">
        <f t="shared" ca="1" si="188"/>
        <v/>
      </c>
      <c r="Z147" t="str">
        <f t="shared" ca="1" si="212"/>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89"/>
        <v/>
      </c>
      <c r="AF147" t="str">
        <f ca="1">IF(AE147&lt;&gt;"", HELPER!$B$93 &amp;  "." &amp; AE147,"")</f>
        <v/>
      </c>
      <c r="AG147" t="str">
        <f ca="1">IF(AE147&lt;&gt;"", HELPER!$B$94 &amp; "." &amp; AE147,"")</f>
        <v/>
      </c>
      <c r="AH147" t="str">
        <f t="shared" ca="1" si="213"/>
        <v/>
      </c>
      <c r="AI147" t="str">
        <f t="shared" ca="1" si="190"/>
        <v/>
      </c>
      <c r="AJ147" t="str">
        <f t="shared" ca="1" si="191"/>
        <v/>
      </c>
      <c r="AK147" t="str">
        <f ca="1">IF(E147="4", HELPER!$B$94 &amp;  "." &amp; A147,"")</f>
        <v/>
      </c>
      <c r="AL147" t="str">
        <f ca="1">IF(E147="4", HELPER!$B$93 &amp;  "." &amp; A147,"")</f>
        <v/>
      </c>
      <c r="AM147" t="str">
        <f t="shared" ca="1" si="192"/>
        <v/>
      </c>
      <c r="AN147" t="str">
        <f t="shared" ca="1" si="193"/>
        <v/>
      </c>
      <c r="AO147" t="str">
        <f ca="1">IF(A147&lt;&gt;"", IF(OR(F147="1",H147="1",I147="1"),""," "&amp; HELPER!$B$94 &amp; "." &amp; A147),"")</f>
        <v/>
      </c>
      <c r="AP147" t="str">
        <f t="shared" ca="1" si="194"/>
        <v/>
      </c>
      <c r="AQ147" t="str">
        <f t="shared" ca="1" si="219"/>
        <v/>
      </c>
      <c r="AS147" t="str">
        <f ca="1">IF(A147="","",  HELPER!$B$94 &amp;  "." &amp; A147)</f>
        <v/>
      </c>
      <c r="AT147" t="str">
        <f t="shared" ca="1" si="195"/>
        <v/>
      </c>
      <c r="AU147" t="str">
        <f t="shared" ca="1" si="196"/>
        <v/>
      </c>
      <c r="AV147" s="190" t="str">
        <f t="shared" ca="1" si="197"/>
        <v/>
      </c>
      <c r="AW147" t="str">
        <f t="shared" ca="1" si="198"/>
        <v/>
      </c>
      <c r="AY147" t="str">
        <f t="shared" ca="1" si="199"/>
        <v/>
      </c>
      <c r="BF147" t="str">
        <f t="shared" ca="1" si="200"/>
        <v/>
      </c>
      <c r="BH147" s="285" t="str">
        <f t="shared" ca="1" si="214"/>
        <v/>
      </c>
      <c r="BI147" t="str">
        <f t="shared" ca="1" si="201"/>
        <v/>
      </c>
      <c r="BJ147" t="str">
        <f t="shared" ca="1" si="202"/>
        <v/>
      </c>
      <c r="BK147" t="str">
        <f t="shared" ca="1" si="215"/>
        <v/>
      </c>
      <c r="BM147" t="str">
        <f t="shared" ca="1" si="216"/>
        <v/>
      </c>
      <c r="BN147" t="str">
        <f t="shared" ca="1" si="217"/>
        <v/>
      </c>
      <c r="BO147" t="str">
        <f t="shared" ca="1" si="203"/>
        <v/>
      </c>
      <c r="BP147" t="b">
        <f ca="1">COUNTIF(COLHELPER!A147:'COLHELPER'!A147,COLHELPER!A147)&gt;1</f>
        <v>0</v>
      </c>
      <c r="BQ147">
        <f t="shared" ca="1" si="204"/>
        <v>0</v>
      </c>
      <c r="BR147" s="290" t="str">
        <f t="shared" ca="1" si="220"/>
        <v/>
      </c>
      <c r="BS147" t="str">
        <f t="shared" ca="1" si="205"/>
        <v/>
      </c>
      <c r="BT147" t="str">
        <f t="shared" ca="1" si="218"/>
        <v/>
      </c>
      <c r="BU147" t="str">
        <f t="shared" ca="1" si="206"/>
        <v/>
      </c>
      <c r="BV147">
        <f t="shared" ca="1" si="207"/>
        <v>0</v>
      </c>
      <c r="BW147" t="str">
        <f t="shared" ca="1" si="208"/>
        <v/>
      </c>
      <c r="BX147" t="str">
        <f t="shared" ca="1" si="209"/>
        <v/>
      </c>
      <c r="BY147" t="str">
        <f ca="1">IF(R147="","",IF(R147&gt;Options!$B$3,"ALTER TABLE "&amp;HELPER!$B$4&amp;" ADD COLUMNS ("&amp;A147&amp;" "&amp;C147&amp;")",""))</f>
        <v/>
      </c>
      <c r="BZ147" t="str">
        <f ca="1">IF(R147="","",IF(R147&gt;Options!$B$3,A147,""))</f>
        <v/>
      </c>
      <c r="CA147" t="str">
        <f ca="1">IF(R147="","",IF(R147&gt;Options!$B$3,B147,""))</f>
        <v/>
      </c>
      <c r="CB147" t="str">
        <f t="shared" ca="1" si="210"/>
        <v/>
      </c>
      <c r="CC147">
        <f t="shared" ca="1" si="211"/>
        <v>0</v>
      </c>
      <c r="CD147" t="str">
        <f ca="1">IF(J147="","",Options!$B$23 &amp; "." &amp; J147)</f>
        <v/>
      </c>
    </row>
    <row r="148" spans="1:82">
      <c r="A148" s="161" t="str">
        <f t="array" aca="1" ref="A148" ca="1">IF(TRIM(INDIRECT("Columns!A148")) ="","",TRIM(INDIRECT("Columns!A148")))</f>
        <v/>
      </c>
      <c r="B148" s="161" t="str">
        <f t="shared" ca="1" si="179"/>
        <v/>
      </c>
      <c r="C148" s="161" t="str">
        <f t="shared" ca="1" si="180"/>
        <v/>
      </c>
      <c r="D148" s="161" t="str">
        <f t="shared" ca="1" si="181"/>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7" t="str">
        <f t="array" aca="1" ref="O148" ca="1">IF(TRIM(INDIRECT("Columns!B148"))="","",TRIM(INDIRECT("Columns!B148")))</f>
        <v/>
      </c>
      <c r="P148" s="227" t="str">
        <f t="array" aca="1" ref="P148" ca="1">IF(TRIM(INDIRECT("Columns!C148"))="","",TRIM(INDIRECT("Columns!C148")))</f>
        <v/>
      </c>
      <c r="Q148" s="227" t="str">
        <f t="array" aca="1" ref="Q148" ca="1">IF(TRIM(INDIRECT("Columns!D148"))="","",TRIM(INDIRECT("Columns!D148")))</f>
        <v/>
      </c>
      <c r="R148" s="227" t="str">
        <f t="array" aca="1" ref="R148" ca="1">IF(TRIM(INDIRECT("Columns!O148"))="","",TRIM(INDIRECT("Columns!O148")))</f>
        <v/>
      </c>
      <c r="S148" t="str">
        <f t="shared" ca="1" si="182"/>
        <v/>
      </c>
      <c r="T148" t="str">
        <f t="shared" ca="1" si="183"/>
        <v/>
      </c>
      <c r="U148" t="str">
        <f t="shared" ca="1" si="184"/>
        <v/>
      </c>
      <c r="V148" t="str">
        <f t="shared" ca="1" si="185"/>
        <v/>
      </c>
      <c r="W148" t="str">
        <f t="shared" ca="1" si="186"/>
        <v/>
      </c>
      <c r="X148" t="str">
        <f t="shared" ca="1" si="187"/>
        <v/>
      </c>
      <c r="Y148" t="str">
        <f t="shared" ca="1" si="188"/>
        <v/>
      </c>
      <c r="Z148" t="str">
        <f t="shared" ca="1" si="212"/>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89"/>
        <v/>
      </c>
      <c r="AF148" t="str">
        <f ca="1">IF(AE148&lt;&gt;"", HELPER!$B$93 &amp;  "." &amp; AE148,"")</f>
        <v/>
      </c>
      <c r="AG148" t="str">
        <f ca="1">IF(AE148&lt;&gt;"", HELPER!$B$94 &amp; "." &amp; AE148,"")</f>
        <v/>
      </c>
      <c r="AH148" t="str">
        <f t="shared" ca="1" si="213"/>
        <v/>
      </c>
      <c r="AI148" t="str">
        <f t="shared" ca="1" si="190"/>
        <v/>
      </c>
      <c r="AJ148" t="str">
        <f t="shared" ca="1" si="191"/>
        <v/>
      </c>
      <c r="AK148" t="str">
        <f ca="1">IF(E148="4", HELPER!$B$94 &amp;  "." &amp; A148,"")</f>
        <v/>
      </c>
      <c r="AL148" t="str">
        <f ca="1">IF(E148="4", HELPER!$B$93 &amp;  "." &amp; A148,"")</f>
        <v/>
      </c>
      <c r="AM148" t="str">
        <f t="shared" ca="1" si="192"/>
        <v/>
      </c>
      <c r="AN148" t="str">
        <f t="shared" ca="1" si="193"/>
        <v/>
      </c>
      <c r="AO148" t="str">
        <f ca="1">IF(A148&lt;&gt;"", IF(OR(F148="1",H148="1",I148="1"),""," "&amp; HELPER!$B$94 &amp; "." &amp; A148),"")</f>
        <v/>
      </c>
      <c r="AP148" t="str">
        <f t="shared" ca="1" si="194"/>
        <v/>
      </c>
      <c r="AQ148" t="str">
        <f t="shared" ca="1" si="219"/>
        <v/>
      </c>
      <c r="AS148" t="str">
        <f ca="1">IF(A148="","",  HELPER!$B$94 &amp;  "." &amp; A148)</f>
        <v/>
      </c>
      <c r="AT148" t="str">
        <f t="shared" ca="1" si="195"/>
        <v/>
      </c>
      <c r="AU148" t="str">
        <f t="shared" ca="1" si="196"/>
        <v/>
      </c>
      <c r="AV148" s="190" t="str">
        <f t="shared" ca="1" si="197"/>
        <v/>
      </c>
      <c r="AW148" t="str">
        <f t="shared" ca="1" si="198"/>
        <v/>
      </c>
      <c r="AY148" t="str">
        <f t="shared" ca="1" si="199"/>
        <v/>
      </c>
      <c r="BF148" t="str">
        <f t="shared" ca="1" si="200"/>
        <v/>
      </c>
      <c r="BH148" s="285" t="str">
        <f t="shared" ca="1" si="214"/>
        <v/>
      </c>
      <c r="BI148" t="str">
        <f t="shared" ca="1" si="201"/>
        <v/>
      </c>
      <c r="BJ148" t="str">
        <f t="shared" ca="1" si="202"/>
        <v/>
      </c>
      <c r="BK148" t="str">
        <f t="shared" ca="1" si="215"/>
        <v/>
      </c>
      <c r="BM148" t="str">
        <f t="shared" ca="1" si="216"/>
        <v/>
      </c>
      <c r="BN148" t="str">
        <f t="shared" ca="1" si="217"/>
        <v/>
      </c>
      <c r="BO148" t="str">
        <f t="shared" ca="1" si="203"/>
        <v/>
      </c>
      <c r="BP148" t="b">
        <f ca="1">COUNTIF(COLHELPER!A148:'COLHELPER'!A148,COLHELPER!A148)&gt;1</f>
        <v>0</v>
      </c>
      <c r="BQ148">
        <f t="shared" ca="1" si="204"/>
        <v>0</v>
      </c>
      <c r="BR148" s="290" t="str">
        <f t="shared" ca="1" si="220"/>
        <v/>
      </c>
      <c r="BS148" t="str">
        <f t="shared" ca="1" si="205"/>
        <v/>
      </c>
      <c r="BT148" t="str">
        <f t="shared" ca="1" si="218"/>
        <v/>
      </c>
      <c r="BU148" t="str">
        <f t="shared" ca="1" si="206"/>
        <v/>
      </c>
      <c r="BV148">
        <f t="shared" ca="1" si="207"/>
        <v>0</v>
      </c>
      <c r="BW148" t="str">
        <f t="shared" ca="1" si="208"/>
        <v/>
      </c>
      <c r="BX148" t="str">
        <f t="shared" ca="1" si="209"/>
        <v/>
      </c>
      <c r="BY148" t="str">
        <f ca="1">IF(R148="","",IF(R148&gt;Options!$B$3,"ALTER TABLE "&amp;HELPER!$B$4&amp;" ADD COLUMNS ("&amp;A148&amp;" "&amp;C148&amp;")",""))</f>
        <v/>
      </c>
      <c r="BZ148" t="str">
        <f ca="1">IF(R148="","",IF(R148&gt;Options!$B$3,A148,""))</f>
        <v/>
      </c>
      <c r="CA148" t="str">
        <f ca="1">IF(R148="","",IF(R148&gt;Options!$B$3,B148,""))</f>
        <v/>
      </c>
      <c r="CB148" t="str">
        <f t="shared" ca="1" si="210"/>
        <v/>
      </c>
      <c r="CC148">
        <f t="shared" ca="1" si="211"/>
        <v>0</v>
      </c>
      <c r="CD148" t="str">
        <f ca="1">IF(J148="","",Options!$B$23 &amp; "." &amp; J148)</f>
        <v/>
      </c>
    </row>
    <row r="149" spans="1:82">
      <c r="A149" s="161" t="str">
        <f t="array" aca="1" ref="A149" ca="1">IF(TRIM(INDIRECT("Columns!A149")) ="","",TRIM(INDIRECT("Columns!A149")))</f>
        <v/>
      </c>
      <c r="B149" s="161" t="str">
        <f t="shared" ca="1" si="179"/>
        <v/>
      </c>
      <c r="C149" s="161" t="str">
        <f t="shared" ca="1" si="180"/>
        <v/>
      </c>
      <c r="D149" s="161" t="str">
        <f t="shared" ca="1" si="181"/>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7" t="str">
        <f t="array" aca="1" ref="O149" ca="1">IF(TRIM(INDIRECT("Columns!B149"))="","",TRIM(INDIRECT("Columns!B149")))</f>
        <v/>
      </c>
      <c r="P149" s="227" t="str">
        <f t="array" aca="1" ref="P149" ca="1">IF(TRIM(INDIRECT("Columns!C149"))="","",TRIM(INDIRECT("Columns!C149")))</f>
        <v/>
      </c>
      <c r="Q149" s="227" t="str">
        <f t="array" aca="1" ref="Q149" ca="1">IF(TRIM(INDIRECT("Columns!D149"))="","",TRIM(INDIRECT("Columns!D149")))</f>
        <v/>
      </c>
      <c r="R149" s="227" t="str">
        <f t="array" aca="1" ref="R149" ca="1">IF(TRIM(INDIRECT("Columns!O149"))="","",TRIM(INDIRECT("Columns!O149")))</f>
        <v/>
      </c>
      <c r="S149" t="str">
        <f t="shared" ca="1" si="182"/>
        <v/>
      </c>
      <c r="T149" t="str">
        <f t="shared" ca="1" si="183"/>
        <v/>
      </c>
      <c r="U149" t="str">
        <f t="shared" ca="1" si="184"/>
        <v/>
      </c>
      <c r="V149" t="str">
        <f t="shared" ca="1" si="185"/>
        <v/>
      </c>
      <c r="W149" t="str">
        <f t="shared" ca="1" si="186"/>
        <v/>
      </c>
      <c r="X149" t="str">
        <f t="shared" ca="1" si="187"/>
        <v/>
      </c>
      <c r="Y149" t="str">
        <f t="shared" ca="1" si="188"/>
        <v/>
      </c>
      <c r="Z149" t="str">
        <f t="shared" ca="1" si="212"/>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89"/>
        <v/>
      </c>
      <c r="AF149" t="str">
        <f ca="1">IF(AE149&lt;&gt;"", HELPER!$B$93 &amp;  "." &amp; AE149,"")</f>
        <v/>
      </c>
      <c r="AG149" t="str">
        <f ca="1">IF(AE149&lt;&gt;"", HELPER!$B$94 &amp; "." &amp; AE149,"")</f>
        <v/>
      </c>
      <c r="AH149" t="str">
        <f t="shared" ca="1" si="213"/>
        <v/>
      </c>
      <c r="AI149" t="str">
        <f t="shared" ca="1" si="190"/>
        <v/>
      </c>
      <c r="AJ149" t="str">
        <f t="shared" ca="1" si="191"/>
        <v/>
      </c>
      <c r="AK149" t="str">
        <f ca="1">IF(E149="4", HELPER!$B$94 &amp;  "." &amp; A149,"")</f>
        <v/>
      </c>
      <c r="AL149" t="str">
        <f ca="1">IF(E149="4", HELPER!$B$93 &amp;  "." &amp; A149,"")</f>
        <v/>
      </c>
      <c r="AM149" t="str">
        <f t="shared" ca="1" si="192"/>
        <v/>
      </c>
      <c r="AN149" t="str">
        <f t="shared" ca="1" si="193"/>
        <v/>
      </c>
      <c r="AO149" t="str">
        <f ca="1">IF(A149&lt;&gt;"", IF(OR(F149="1",H149="1",I149="1"),""," "&amp; HELPER!$B$94 &amp; "." &amp; A149),"")</f>
        <v/>
      </c>
      <c r="AP149" t="str">
        <f t="shared" ca="1" si="194"/>
        <v/>
      </c>
      <c r="AQ149" t="str">
        <f t="shared" ca="1" si="219"/>
        <v/>
      </c>
      <c r="AS149" t="str">
        <f ca="1">IF(A149="","",  HELPER!$B$94 &amp;  "." &amp; A149)</f>
        <v/>
      </c>
      <c r="AT149" t="str">
        <f t="shared" ca="1" si="195"/>
        <v/>
      </c>
      <c r="AU149" t="str">
        <f t="shared" ca="1" si="196"/>
        <v/>
      </c>
      <c r="AV149" s="190" t="str">
        <f t="shared" ca="1" si="197"/>
        <v/>
      </c>
      <c r="AW149" t="str">
        <f t="shared" ca="1" si="198"/>
        <v/>
      </c>
      <c r="AY149" t="str">
        <f t="shared" ca="1" si="199"/>
        <v/>
      </c>
      <c r="BF149" t="str">
        <f t="shared" ca="1" si="200"/>
        <v/>
      </c>
      <c r="BH149" s="285" t="str">
        <f t="shared" ca="1" si="214"/>
        <v/>
      </c>
      <c r="BI149" t="str">
        <f t="shared" ca="1" si="201"/>
        <v/>
      </c>
      <c r="BJ149" t="str">
        <f t="shared" ca="1" si="202"/>
        <v/>
      </c>
      <c r="BK149" t="str">
        <f t="shared" ca="1" si="215"/>
        <v/>
      </c>
      <c r="BM149" t="str">
        <f t="shared" ca="1" si="216"/>
        <v/>
      </c>
      <c r="BN149" t="str">
        <f t="shared" ca="1" si="217"/>
        <v/>
      </c>
      <c r="BO149" t="str">
        <f t="shared" ca="1" si="203"/>
        <v/>
      </c>
      <c r="BP149" t="b">
        <f ca="1">COUNTIF(COLHELPER!A149:'COLHELPER'!A149,COLHELPER!A149)&gt;1</f>
        <v>0</v>
      </c>
      <c r="BQ149">
        <f t="shared" ca="1" si="204"/>
        <v>0</v>
      </c>
      <c r="BR149" s="290" t="str">
        <f t="shared" ca="1" si="220"/>
        <v/>
      </c>
      <c r="BS149" t="str">
        <f t="shared" ca="1" si="205"/>
        <v/>
      </c>
      <c r="BT149" t="str">
        <f t="shared" ca="1" si="218"/>
        <v/>
      </c>
      <c r="BU149" t="str">
        <f t="shared" ca="1" si="206"/>
        <v/>
      </c>
      <c r="BV149">
        <f t="shared" ca="1" si="207"/>
        <v>0</v>
      </c>
      <c r="BW149" t="str">
        <f t="shared" ca="1" si="208"/>
        <v/>
      </c>
      <c r="BX149" t="str">
        <f t="shared" ca="1" si="209"/>
        <v/>
      </c>
      <c r="BY149" t="str">
        <f ca="1">IF(R149="","",IF(R149&gt;Options!$B$3,"ALTER TABLE "&amp;HELPER!$B$4&amp;" ADD COLUMNS ("&amp;A149&amp;" "&amp;C149&amp;")",""))</f>
        <v/>
      </c>
      <c r="BZ149" t="str">
        <f ca="1">IF(R149="","",IF(R149&gt;Options!$B$3,A149,""))</f>
        <v/>
      </c>
      <c r="CA149" t="str">
        <f ca="1">IF(R149="","",IF(R149&gt;Options!$B$3,B149,""))</f>
        <v/>
      </c>
      <c r="CB149" t="str">
        <f t="shared" ca="1" si="210"/>
        <v/>
      </c>
      <c r="CC149">
        <f t="shared" ca="1" si="211"/>
        <v>0</v>
      </c>
      <c r="CD149" t="str">
        <f ca="1">IF(J149="","",Options!$B$23 &amp; "." &amp; J149)</f>
        <v/>
      </c>
    </row>
    <row r="150" spans="1:82">
      <c r="A150" s="161" t="str">
        <f t="array" aca="1" ref="A150" ca="1">IF(TRIM(INDIRECT("Columns!A150")) ="","",TRIM(INDIRECT("Columns!A150")))</f>
        <v/>
      </c>
      <c r="B150" s="161" t="str">
        <f t="shared" ca="1" si="179"/>
        <v/>
      </c>
      <c r="C150" s="161" t="str">
        <f t="shared" ca="1" si="180"/>
        <v/>
      </c>
      <c r="D150" s="161" t="str">
        <f t="shared" ca="1" si="181"/>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7" t="str">
        <f t="array" aca="1" ref="O150" ca="1">IF(TRIM(INDIRECT("Columns!B150"))="","",TRIM(INDIRECT("Columns!B150")))</f>
        <v/>
      </c>
      <c r="P150" s="227" t="str">
        <f t="array" aca="1" ref="P150" ca="1">IF(TRIM(INDIRECT("Columns!C150"))="","",TRIM(INDIRECT("Columns!C150")))</f>
        <v/>
      </c>
      <c r="Q150" s="227" t="str">
        <f t="array" aca="1" ref="Q150" ca="1">IF(TRIM(INDIRECT("Columns!D150"))="","",TRIM(INDIRECT("Columns!D150")))</f>
        <v/>
      </c>
      <c r="R150" s="227" t="str">
        <f t="array" aca="1" ref="R150" ca="1">IF(TRIM(INDIRECT("Columns!O150"))="","",TRIM(INDIRECT("Columns!O150")))</f>
        <v/>
      </c>
      <c r="S150" t="str">
        <f t="shared" ca="1" si="182"/>
        <v/>
      </c>
      <c r="T150" t="str">
        <f t="shared" ca="1" si="183"/>
        <v/>
      </c>
      <c r="U150" t="str">
        <f t="shared" ca="1" si="184"/>
        <v/>
      </c>
      <c r="V150" t="str">
        <f t="shared" ca="1" si="185"/>
        <v/>
      </c>
      <c r="W150" t="str">
        <f t="shared" ca="1" si="186"/>
        <v/>
      </c>
      <c r="X150" t="str">
        <f t="shared" ca="1" si="187"/>
        <v/>
      </c>
      <c r="Y150" t="str">
        <f t="shared" ca="1" si="188"/>
        <v/>
      </c>
      <c r="Z150" t="str">
        <f t="shared" ca="1" si="212"/>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89"/>
        <v/>
      </c>
      <c r="AF150" t="str">
        <f ca="1">IF(AE150&lt;&gt;"", HELPER!$B$93 &amp;  "." &amp; AE150,"")</f>
        <v/>
      </c>
      <c r="AG150" t="str">
        <f ca="1">IF(AE150&lt;&gt;"", HELPER!$B$94 &amp; "." &amp; AE150,"")</f>
        <v/>
      </c>
      <c r="AH150" t="str">
        <f t="shared" ca="1" si="213"/>
        <v/>
      </c>
      <c r="AI150" t="str">
        <f t="shared" ca="1" si="190"/>
        <v/>
      </c>
      <c r="AJ150" t="str">
        <f t="shared" ca="1" si="191"/>
        <v/>
      </c>
      <c r="AK150" t="str">
        <f ca="1">IF(E150="4", HELPER!$B$94 &amp;  "." &amp; A150,"")</f>
        <v/>
      </c>
      <c r="AL150" t="str">
        <f ca="1">IF(E150="4", HELPER!$B$93 &amp;  "." &amp; A150,"")</f>
        <v/>
      </c>
      <c r="AM150" t="str">
        <f t="shared" ca="1" si="192"/>
        <v/>
      </c>
      <c r="AN150" t="str">
        <f t="shared" ca="1" si="193"/>
        <v/>
      </c>
      <c r="AO150" t="str">
        <f ca="1">IF(A150&lt;&gt;"", IF(OR(F150="1",H150="1",I150="1"),""," "&amp; HELPER!$B$94 &amp; "." &amp; A150),"")</f>
        <v/>
      </c>
      <c r="AP150" t="str">
        <f t="shared" ca="1" si="194"/>
        <v/>
      </c>
      <c r="AQ150" t="str">
        <f t="shared" ca="1" si="219"/>
        <v/>
      </c>
      <c r="AS150" t="str">
        <f ca="1">IF(A150="","",  HELPER!$B$94 &amp;  "." &amp; A150)</f>
        <v/>
      </c>
      <c r="AT150" t="str">
        <f t="shared" ca="1" si="195"/>
        <v/>
      </c>
      <c r="AU150" t="str">
        <f t="shared" ca="1" si="196"/>
        <v/>
      </c>
      <c r="AV150" s="190" t="str">
        <f t="shared" ca="1" si="197"/>
        <v/>
      </c>
      <c r="AW150" t="str">
        <f t="shared" ca="1" si="198"/>
        <v/>
      </c>
      <c r="AY150" t="str">
        <f t="shared" ca="1" si="199"/>
        <v/>
      </c>
      <c r="BF150" t="str">
        <f t="shared" ca="1" si="200"/>
        <v/>
      </c>
      <c r="BH150" s="285" t="str">
        <f t="shared" ca="1" si="214"/>
        <v/>
      </c>
      <c r="BI150" t="str">
        <f t="shared" ca="1" si="201"/>
        <v/>
      </c>
      <c r="BJ150" t="str">
        <f t="shared" ca="1" si="202"/>
        <v/>
      </c>
      <c r="BK150" t="str">
        <f t="shared" ca="1" si="215"/>
        <v/>
      </c>
      <c r="BM150" t="str">
        <f t="shared" ca="1" si="216"/>
        <v/>
      </c>
      <c r="BN150" t="str">
        <f t="shared" ca="1" si="217"/>
        <v/>
      </c>
      <c r="BO150" t="str">
        <f t="shared" ca="1" si="203"/>
        <v/>
      </c>
      <c r="BP150" t="b">
        <f ca="1">COUNTIF(COLHELPER!A150:'COLHELPER'!A150,COLHELPER!A150)&gt;1</f>
        <v>0</v>
      </c>
      <c r="BQ150">
        <f t="shared" ca="1" si="204"/>
        <v>0</v>
      </c>
      <c r="BR150" s="290" t="str">
        <f t="shared" ca="1" si="220"/>
        <v/>
      </c>
      <c r="BS150" t="str">
        <f t="shared" ca="1" si="205"/>
        <v/>
      </c>
      <c r="BT150" t="str">
        <f t="shared" ca="1" si="218"/>
        <v/>
      </c>
      <c r="BU150" t="str">
        <f t="shared" ca="1" si="206"/>
        <v/>
      </c>
      <c r="BV150">
        <f t="shared" ca="1" si="207"/>
        <v>0</v>
      </c>
      <c r="BW150" t="str">
        <f t="shared" ca="1" si="208"/>
        <v/>
      </c>
      <c r="BX150" t="str">
        <f t="shared" ca="1" si="209"/>
        <v/>
      </c>
      <c r="BY150" t="str">
        <f ca="1">IF(R150="","",IF(R150&gt;Options!$B$3,"ALTER TABLE "&amp;HELPER!$B$4&amp;" ADD COLUMNS ("&amp;A150&amp;" "&amp;C150&amp;")",""))</f>
        <v/>
      </c>
      <c r="BZ150" t="str">
        <f ca="1">IF(R150="","",IF(R150&gt;Options!$B$3,A150,""))</f>
        <v/>
      </c>
      <c r="CA150" t="str">
        <f ca="1">IF(R150="","",IF(R150&gt;Options!$B$3,B150,""))</f>
        <v/>
      </c>
      <c r="CB150" t="str">
        <f t="shared" ca="1" si="210"/>
        <v/>
      </c>
      <c r="CC150">
        <f t="shared" ca="1" si="211"/>
        <v>0</v>
      </c>
      <c r="CD150" t="str">
        <f ca="1">IF(J150="","",Options!$B$23 &amp; "." &amp; J150)</f>
        <v/>
      </c>
    </row>
    <row r="151" spans="1:82"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V151" s="190"/>
      <c r="BH151" s="106"/>
    </row>
    <row r="152" spans="1:82" ht="45" customHeight="1">
      <c r="B152" s="164" t="str">
        <f ca="1">_xlfn.TEXTJOIN(", ",TRUE,B2:B150)</f>
        <v>wkVehicle, 1 AS has_communicated_last_90_days, lake_arrival_date</v>
      </c>
      <c r="F152" s="164">
        <f ca="1">SUM(F153:F267)</f>
        <v>1</v>
      </c>
      <c r="S152" s="190" t="str">
        <f ca="1">_xlfn.TEXTJOIN(", ",TRUE,S2:S150)</f>
        <v>wkVehicle bigint, has_communicated_last_90_days bigint, lake_arrival_date string</v>
      </c>
      <c r="T152" t="str">
        <f ca="1">_xlfn.TEXTJOIN(", ",TRUE,T2:T150)</f>
        <v>wkVehicle</v>
      </c>
      <c r="U152" t="str">
        <f ca="1">_xlfn.TEXTJOIN(", ",TRUE,U2:U150)</f>
        <v>wkVehicle</v>
      </c>
      <c r="W152" t="str">
        <f ca="1">_xlfn.TEXTJOIN(", ",TRUE,W2:W150)</f>
        <v/>
      </c>
      <c r="X152" s="285" t="str">
        <f ca="1">_xlfn.TEXTJOIN(", ",TRUE,X2:X150)</f>
        <v/>
      </c>
      <c r="AE152" t="str">
        <f ca="1">_xlfn.TEXTJOIN("|",TRUE,AE2:AE150)</f>
        <v>wkVehicle</v>
      </c>
      <c r="AI152" s="190" t="str">
        <f ca="1">_xlfn.TEXTJOIN(" AND ", TRUE,AI2:AI150)</f>
        <v/>
      </c>
      <c r="AJ152" s="190" t="str">
        <f ca="1">_xlfn.TEXTJOIN(", ",TRUE,AJ2:AJ150)</f>
        <v/>
      </c>
      <c r="AK152" s="190" t="str">
        <f ca="1">_xlfn.TEXTJOIN(", ", TRUE,AK2:AK150)</f>
        <v/>
      </c>
      <c r="AM152" s="190" t="str">
        <f ca="1">_xlfn.TEXTJOIN(" AND ",TRUE,AM2:AM150)</f>
        <v/>
      </c>
      <c r="AP152" s="10" t="str">
        <f ca="1">_xlfn.TEXTJOIN(",",TRUE,AP2:AP150)</f>
        <v>has_communicated_last_90_days =  src.has_communicated_last_90_days</v>
      </c>
      <c r="AQ152" s="10" t="str">
        <f ca="1">_xlfn.TEXTJOIN(",",TRUE,AQ2:AQ150)</f>
        <v/>
      </c>
      <c r="AR152" s="190"/>
      <c r="AW152" s="285" t="str">
        <f ca="1">_xlfn.TEXTJOIN(", ",TRUE,AW2:AW150)</f>
        <v>src.wkVehicle, COALESCE(src.lake_arrival_date,'')</v>
      </c>
      <c r="BH152" s="285"/>
      <c r="BR152" t="str">
        <f ca="1">_xlfn.TEXTJOIN(" AND ",TRUE,BR2:BR150)</f>
        <v>lake_arrival_date='[:date_yyyy_mm_dd]'</v>
      </c>
      <c r="CC152" s="285">
        <f ca="1">SUM(CC2:CC150)</f>
        <v>0</v>
      </c>
      <c r="CD152" t="str">
        <f ca="1">_xlfn.TEXTJOIN(", ", TRUE,CD2:CD150)</f>
        <v/>
      </c>
    </row>
    <row r="153" spans="1:82">
      <c r="F153" s="164">
        <f ca="1">IF(F2="1",VALUE(F2),0)</f>
        <v>0</v>
      </c>
      <c r="BH153" s="285"/>
    </row>
    <row r="154" spans="1:82">
      <c r="F154" s="164">
        <f t="shared" ref="F154:F217" ca="1" si="221">IF(F3="1",VALUE(F3),0)</f>
        <v>0</v>
      </c>
      <c r="BH154" s="285"/>
    </row>
    <row r="155" spans="1:82">
      <c r="F155" s="164">
        <f t="shared" ca="1" si="221"/>
        <v>1</v>
      </c>
      <c r="BH155" s="285"/>
    </row>
    <row r="156" spans="1:82">
      <c r="F156" s="164">
        <f t="shared" ca="1" si="221"/>
        <v>0</v>
      </c>
      <c r="BH156" s="285"/>
    </row>
    <row r="157" spans="1:82">
      <c r="F157" s="164">
        <f t="shared" ca="1" si="221"/>
        <v>0</v>
      </c>
      <c r="BH157" s="285"/>
    </row>
    <row r="158" spans="1:82">
      <c r="F158" s="164">
        <f t="shared" ca="1" si="221"/>
        <v>0</v>
      </c>
      <c r="BH158" s="285"/>
    </row>
    <row r="159" spans="1:82">
      <c r="F159" s="164">
        <f t="shared" ca="1" si="221"/>
        <v>0</v>
      </c>
      <c r="BH159" s="285"/>
    </row>
    <row r="160" spans="1:82">
      <c r="F160" s="164">
        <f t="shared" ca="1" si="221"/>
        <v>0</v>
      </c>
      <c r="BH160" s="285"/>
    </row>
    <row r="161" spans="6:74">
      <c r="F161" s="164">
        <f t="shared" ca="1" si="221"/>
        <v>0</v>
      </c>
      <c r="BH161" s="285"/>
    </row>
    <row r="162" spans="6:74">
      <c r="F162" s="164">
        <f t="shared" ca="1" si="221"/>
        <v>0</v>
      </c>
      <c r="BH162" s="285"/>
    </row>
    <row r="163" spans="6:74">
      <c r="F163" s="164">
        <f t="shared" ca="1" si="221"/>
        <v>0</v>
      </c>
      <c r="BH163" s="285"/>
    </row>
    <row r="164" spans="6:74">
      <c r="F164" s="164">
        <f t="shared" ca="1" si="221"/>
        <v>0</v>
      </c>
      <c r="BH164" s="285"/>
    </row>
    <row r="165" spans="6:74">
      <c r="F165" s="164">
        <f t="shared" ca="1" si="221"/>
        <v>0</v>
      </c>
      <c r="BH165" s="285"/>
    </row>
    <row r="166" spans="6:74">
      <c r="F166" s="164">
        <f t="shared" ca="1" si="221"/>
        <v>0</v>
      </c>
      <c r="BH166" s="285"/>
    </row>
    <row r="167" spans="6:74">
      <c r="F167" s="164">
        <f t="shared" ca="1" si="221"/>
        <v>0</v>
      </c>
      <c r="G167" s="164"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ca="1" si="224">IF(F167="1",A167 &amp; " " &amp; C167,"" )</f>
        <v/>
      </c>
      <c r="Z167" t="str">
        <f t="shared" ref="Z167:Z198" ca="1"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ca="1"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5"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ca="1" si="240">IF(F167="1",SUBSTITUTE(BR167,"'",""),"")</f>
        <v/>
      </c>
      <c r="BT167" t="str">
        <f>IF(N167="","", SUBSTITUTE(BR167,"[:date_yyyy_mm_dd]",  N167))</f>
        <v/>
      </c>
      <c r="BU167" t="str">
        <f t="shared" ref="BU167:BU198" si="241">IF(N167="","",SUBSTITUTE(BS167,"[:date_yyyy_mm_dd]",SUBSTITUTE(N167,"'","")))</f>
        <v/>
      </c>
      <c r="BV167">
        <f t="shared" ref="BV167:BV198" si="242">IF(A166="",0,1)</f>
        <v>0</v>
      </c>
    </row>
    <row r="168" spans="6:74">
      <c r="F168" s="164">
        <f t="shared" ca="1" si="221"/>
        <v>0</v>
      </c>
      <c r="G168" s="164" t="str">
        <f t="array" aca="1" ref="G168" ca="1">IF(TRIM(INDIRECT("Columns!D2"))="","",TRIM(INDIRECT("Columns!D2")))</f>
        <v/>
      </c>
      <c r="S168" t="str">
        <f t="shared" si="222"/>
        <v/>
      </c>
      <c r="V168" t="str">
        <f t="shared" si="223"/>
        <v/>
      </c>
      <c r="Y168" t="str">
        <f t="shared" ca="1" si="224"/>
        <v/>
      </c>
      <c r="Z168" t="str">
        <f t="shared" ca="1"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ca="1" si="233"/>
        <v/>
      </c>
      <c r="BC168" t="str">
        <f t="shared" ref="BC168:BC198" si="243">IF(AZ168="","","COALESCE(" &amp; AZ168 &amp; "," &amp; IF(C168="string","''",0 ) &amp; ") AS " &amp; A168)</f>
        <v/>
      </c>
      <c r="BE168" t="str">
        <f t="shared" si="234"/>
        <v/>
      </c>
      <c r="BF168" t="str">
        <f t="shared" si="235"/>
        <v/>
      </c>
      <c r="BG168" t="str">
        <f t="shared" si="236"/>
        <v/>
      </c>
      <c r="BH168" s="285"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ca="1" si="240"/>
        <v/>
      </c>
      <c r="BT168" t="str">
        <f t="shared" ref="BT168:BT198" si="247">IF(N168="","", SUBSTITUTE(BR168,"[:date_yyyy_mm_dd]", N168))</f>
        <v/>
      </c>
      <c r="BU168" t="str">
        <f t="shared" si="241"/>
        <v/>
      </c>
      <c r="BV168">
        <f t="shared" si="242"/>
        <v>0</v>
      </c>
    </row>
    <row r="169" spans="6:74">
      <c r="F169" s="164">
        <f t="shared" ca="1" si="221"/>
        <v>0</v>
      </c>
      <c r="G169" s="164" t="str">
        <f t="array" aca="1" ref="G169" ca="1">IF(TRIM(INDIRECT("Columns!D2"))="","",TRIM(INDIRECT("Columns!D2")))</f>
        <v/>
      </c>
      <c r="S169" t="str">
        <f t="shared" si="222"/>
        <v/>
      </c>
      <c r="V169" t="str">
        <f t="shared" si="223"/>
        <v/>
      </c>
      <c r="Y169" t="str">
        <f t="shared" ca="1" si="224"/>
        <v/>
      </c>
      <c r="Z169" t="str">
        <f t="shared" ca="1"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ca="1" si="233"/>
        <v/>
      </c>
      <c r="BC169" t="str">
        <f t="shared" si="243"/>
        <v/>
      </c>
      <c r="BE169" t="str">
        <f t="shared" si="234"/>
        <v/>
      </c>
      <c r="BF169" t="str">
        <f t="shared" si="235"/>
        <v/>
      </c>
      <c r="BG169" t="str">
        <f t="shared" si="236"/>
        <v/>
      </c>
      <c r="BH169" s="285" t="str">
        <f t="shared" ca="1" si="244"/>
        <v/>
      </c>
      <c r="BJ169" t="str">
        <f t="shared" si="237"/>
        <v/>
      </c>
      <c r="BM169" t="str">
        <f t="shared" si="245"/>
        <v/>
      </c>
      <c r="BN169" t="str">
        <f t="shared" si="246"/>
        <v/>
      </c>
      <c r="BO169" t="str">
        <f t="shared" ca="1" si="238"/>
        <v/>
      </c>
      <c r="BR169" t="str">
        <f t="shared" si="239"/>
        <v/>
      </c>
      <c r="BS169" t="str">
        <f t="shared" ca="1" si="240"/>
        <v/>
      </c>
      <c r="BT169" t="str">
        <f t="shared" si="247"/>
        <v/>
      </c>
      <c r="BU169" t="str">
        <f t="shared" si="241"/>
        <v/>
      </c>
      <c r="BV169">
        <f t="shared" si="242"/>
        <v>0</v>
      </c>
    </row>
    <row r="170" spans="6:74">
      <c r="F170" s="164">
        <f t="shared" ca="1" si="221"/>
        <v>0</v>
      </c>
      <c r="G170" s="164" t="str">
        <f t="array" aca="1" ref="G170" ca="1">IF(TRIM(INDIRECT("Columns!D2"))="","",TRIM(INDIRECT("Columns!D2")))</f>
        <v/>
      </c>
      <c r="S170" t="str">
        <f t="shared" si="222"/>
        <v/>
      </c>
      <c r="V170" t="str">
        <f t="shared" si="223"/>
        <v/>
      </c>
      <c r="Y170" t="str">
        <f t="shared" ca="1" si="224"/>
        <v/>
      </c>
      <c r="Z170" t="str">
        <f t="shared" ca="1"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ca="1" si="233"/>
        <v/>
      </c>
      <c r="BC170" t="str">
        <f t="shared" si="243"/>
        <v/>
      </c>
      <c r="BE170" t="str">
        <f t="shared" si="234"/>
        <v/>
      </c>
      <c r="BF170" t="str">
        <f t="shared" si="235"/>
        <v/>
      </c>
      <c r="BG170" t="str">
        <f t="shared" si="236"/>
        <v/>
      </c>
      <c r="BH170" s="285" t="str">
        <f t="shared" ca="1" si="244"/>
        <v/>
      </c>
      <c r="BJ170" t="str">
        <f t="shared" si="237"/>
        <v/>
      </c>
      <c r="BM170" t="str">
        <f t="shared" si="245"/>
        <v/>
      </c>
      <c r="BN170" t="str">
        <f t="shared" si="246"/>
        <v/>
      </c>
      <c r="BO170" t="str">
        <f t="shared" ca="1" si="238"/>
        <v/>
      </c>
      <c r="BR170" t="str">
        <f t="shared" si="239"/>
        <v/>
      </c>
      <c r="BS170" t="str">
        <f t="shared" ca="1" si="240"/>
        <v/>
      </c>
      <c r="BT170" t="str">
        <f t="shared" si="247"/>
        <v/>
      </c>
      <c r="BU170" t="str">
        <f t="shared" si="241"/>
        <v/>
      </c>
      <c r="BV170">
        <f t="shared" si="242"/>
        <v>0</v>
      </c>
    </row>
    <row r="171" spans="6:74">
      <c r="F171" s="164">
        <f t="shared" ca="1" si="221"/>
        <v>0</v>
      </c>
      <c r="G171" s="164" t="str">
        <f t="array" aca="1" ref="G171" ca="1">IF(TRIM(INDIRECT("Columns!D2"))="","",TRIM(INDIRECT("Columns!D2")))</f>
        <v/>
      </c>
      <c r="S171" t="str">
        <f t="shared" si="222"/>
        <v/>
      </c>
      <c r="V171" t="str">
        <f t="shared" si="223"/>
        <v/>
      </c>
      <c r="Y171" t="str">
        <f t="shared" ca="1" si="224"/>
        <v/>
      </c>
      <c r="Z171" t="str">
        <f t="shared" ca="1"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ca="1" si="233"/>
        <v/>
      </c>
      <c r="BC171" t="str">
        <f t="shared" si="243"/>
        <v/>
      </c>
      <c r="BE171" t="str">
        <f t="shared" si="234"/>
        <v/>
      </c>
      <c r="BF171" t="str">
        <f t="shared" si="235"/>
        <v/>
      </c>
      <c r="BG171" t="str">
        <f t="shared" si="236"/>
        <v/>
      </c>
      <c r="BH171" s="285" t="str">
        <f t="shared" ca="1" si="244"/>
        <v/>
      </c>
      <c r="BJ171" t="str">
        <f t="shared" si="237"/>
        <v/>
      </c>
      <c r="BM171" t="str">
        <f t="shared" si="245"/>
        <v/>
      </c>
      <c r="BN171" t="str">
        <f t="shared" si="246"/>
        <v/>
      </c>
      <c r="BO171" t="str">
        <f t="shared" ca="1" si="238"/>
        <v/>
      </c>
      <c r="BR171" t="str">
        <f t="shared" si="239"/>
        <v/>
      </c>
      <c r="BS171" t="str">
        <f t="shared" ca="1" si="240"/>
        <v/>
      </c>
      <c r="BT171" t="str">
        <f t="shared" si="247"/>
        <v/>
      </c>
      <c r="BU171" t="str">
        <f t="shared" si="241"/>
        <v/>
      </c>
      <c r="BV171">
        <f t="shared" si="242"/>
        <v>0</v>
      </c>
    </row>
    <row r="172" spans="6:74">
      <c r="F172" s="164">
        <f t="shared" ca="1" si="221"/>
        <v>0</v>
      </c>
      <c r="G172" s="164" t="str">
        <f t="array" aca="1" ref="G172" ca="1">IF(TRIM(INDIRECT("Columns!D2"))="","",TRIM(INDIRECT("Columns!D2")))</f>
        <v/>
      </c>
      <c r="S172" t="str">
        <f t="shared" si="222"/>
        <v/>
      </c>
      <c r="V172" t="str">
        <f t="shared" si="223"/>
        <v/>
      </c>
      <c r="Y172" t="str">
        <f t="shared" ca="1" si="224"/>
        <v/>
      </c>
      <c r="Z172" t="str">
        <f t="shared" ca="1"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ca="1" si="233"/>
        <v/>
      </c>
      <c r="BC172" t="str">
        <f t="shared" si="243"/>
        <v/>
      </c>
      <c r="BE172" t="str">
        <f t="shared" si="234"/>
        <v/>
      </c>
      <c r="BF172" t="str">
        <f t="shared" si="235"/>
        <v/>
      </c>
      <c r="BG172" t="str">
        <f t="shared" si="236"/>
        <v/>
      </c>
      <c r="BH172" s="285" t="str">
        <f t="shared" ca="1" si="244"/>
        <v/>
      </c>
      <c r="BJ172" t="str">
        <f t="shared" si="237"/>
        <v/>
      </c>
      <c r="BM172" t="str">
        <f t="shared" si="245"/>
        <v/>
      </c>
      <c r="BN172" t="str">
        <f t="shared" si="246"/>
        <v/>
      </c>
      <c r="BO172" t="str">
        <f t="shared" ca="1" si="238"/>
        <v/>
      </c>
      <c r="BR172" t="str">
        <f t="shared" si="239"/>
        <v/>
      </c>
      <c r="BS172" t="str">
        <f t="shared" ca="1" si="240"/>
        <v/>
      </c>
      <c r="BT172" t="str">
        <f t="shared" si="247"/>
        <v/>
      </c>
      <c r="BU172" t="str">
        <f t="shared" si="241"/>
        <v/>
      </c>
      <c r="BV172">
        <f t="shared" si="242"/>
        <v>0</v>
      </c>
    </row>
    <row r="173" spans="6:74">
      <c r="F173" s="164">
        <f t="shared" ca="1" si="221"/>
        <v>0</v>
      </c>
      <c r="G173" s="164" t="str">
        <f t="array" aca="1" ref="G173" ca="1">IF(TRIM(INDIRECT("Columns!D2"))="","",TRIM(INDIRECT("Columns!D2")))</f>
        <v/>
      </c>
      <c r="S173" t="str">
        <f t="shared" si="222"/>
        <v/>
      </c>
      <c r="V173" t="str">
        <f t="shared" si="223"/>
        <v/>
      </c>
      <c r="Y173" t="str">
        <f t="shared" ca="1" si="224"/>
        <v/>
      </c>
      <c r="Z173" t="str">
        <f t="shared" ca="1"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ca="1" si="233"/>
        <v/>
      </c>
      <c r="BC173" t="str">
        <f t="shared" si="243"/>
        <v/>
      </c>
      <c r="BE173" t="str">
        <f t="shared" si="234"/>
        <v/>
      </c>
      <c r="BF173" t="str">
        <f t="shared" si="235"/>
        <v/>
      </c>
      <c r="BG173" t="str">
        <f t="shared" si="236"/>
        <v/>
      </c>
      <c r="BH173" s="285" t="str">
        <f t="shared" ca="1" si="244"/>
        <v/>
      </c>
      <c r="BJ173" t="str">
        <f t="shared" si="237"/>
        <v/>
      </c>
      <c r="BM173" t="str">
        <f t="shared" si="245"/>
        <v/>
      </c>
      <c r="BN173" t="str">
        <f t="shared" si="246"/>
        <v/>
      </c>
      <c r="BO173" t="str">
        <f t="shared" ca="1" si="238"/>
        <v/>
      </c>
      <c r="BR173" t="str">
        <f t="shared" si="239"/>
        <v/>
      </c>
      <c r="BS173" t="str">
        <f t="shared" ca="1" si="240"/>
        <v/>
      </c>
      <c r="BT173" t="str">
        <f t="shared" si="247"/>
        <v/>
      </c>
      <c r="BU173" t="str">
        <f t="shared" si="241"/>
        <v/>
      </c>
      <c r="BV173">
        <f t="shared" si="242"/>
        <v>0</v>
      </c>
    </row>
    <row r="174" spans="6:74">
      <c r="F174" s="164">
        <f t="shared" ca="1" si="221"/>
        <v>0</v>
      </c>
      <c r="G174" s="164" t="str">
        <f t="array" aca="1" ref="G174" ca="1">IF(TRIM(INDIRECT("Columns!D2"))="","",TRIM(INDIRECT("Columns!D2")))</f>
        <v/>
      </c>
      <c r="S174" t="str">
        <f t="shared" si="222"/>
        <v/>
      </c>
      <c r="V174" t="str">
        <f t="shared" si="223"/>
        <v/>
      </c>
      <c r="Y174" t="str">
        <f t="shared" ca="1" si="224"/>
        <v/>
      </c>
      <c r="Z174" t="str">
        <f t="shared" ca="1"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ca="1" si="233"/>
        <v/>
      </c>
      <c r="BC174" t="str">
        <f t="shared" si="243"/>
        <v/>
      </c>
      <c r="BE174" t="str">
        <f t="shared" si="234"/>
        <v/>
      </c>
      <c r="BF174" t="str">
        <f t="shared" si="235"/>
        <v/>
      </c>
      <c r="BG174" t="str">
        <f t="shared" si="236"/>
        <v/>
      </c>
      <c r="BH174" s="285" t="str">
        <f t="shared" ca="1" si="244"/>
        <v/>
      </c>
      <c r="BJ174" t="str">
        <f t="shared" si="237"/>
        <v/>
      </c>
      <c r="BM174" t="str">
        <f t="shared" si="245"/>
        <v/>
      </c>
      <c r="BN174" t="str">
        <f t="shared" si="246"/>
        <v/>
      </c>
      <c r="BO174" t="str">
        <f t="shared" ca="1" si="238"/>
        <v/>
      </c>
      <c r="BR174" t="str">
        <f t="shared" si="239"/>
        <v/>
      </c>
      <c r="BS174" t="str">
        <f t="shared" ca="1" si="240"/>
        <v/>
      </c>
      <c r="BT174" t="str">
        <f t="shared" si="247"/>
        <v/>
      </c>
      <c r="BU174" t="str">
        <f t="shared" si="241"/>
        <v/>
      </c>
      <c r="BV174">
        <f t="shared" si="242"/>
        <v>0</v>
      </c>
    </row>
    <row r="175" spans="6:74">
      <c r="F175" s="164">
        <f t="shared" ca="1" si="221"/>
        <v>0</v>
      </c>
      <c r="G175" s="164" t="str">
        <f t="array" aca="1" ref="G175" ca="1">IF(TRIM(INDIRECT("Columns!D2"))="","",TRIM(INDIRECT("Columns!D2")))</f>
        <v/>
      </c>
      <c r="S175" t="str">
        <f t="shared" si="222"/>
        <v/>
      </c>
      <c r="V175" t="str">
        <f t="shared" si="223"/>
        <v/>
      </c>
      <c r="Y175" t="str">
        <f t="shared" ca="1" si="224"/>
        <v/>
      </c>
      <c r="Z175" t="str">
        <f t="shared" ca="1"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ca="1" si="233"/>
        <v/>
      </c>
      <c r="BC175" t="str">
        <f t="shared" si="243"/>
        <v/>
      </c>
      <c r="BE175" t="str">
        <f t="shared" si="234"/>
        <v/>
      </c>
      <c r="BF175" t="str">
        <f t="shared" si="235"/>
        <v/>
      </c>
      <c r="BG175" t="str">
        <f t="shared" si="236"/>
        <v/>
      </c>
      <c r="BH175" s="285" t="str">
        <f t="shared" ca="1" si="244"/>
        <v/>
      </c>
      <c r="BJ175" t="str">
        <f t="shared" si="237"/>
        <v/>
      </c>
      <c r="BM175" t="str">
        <f t="shared" si="245"/>
        <v/>
      </c>
      <c r="BN175" t="str">
        <f t="shared" si="246"/>
        <v/>
      </c>
      <c r="BO175" t="str">
        <f t="shared" ca="1" si="238"/>
        <v/>
      </c>
      <c r="BR175" t="str">
        <f t="shared" si="239"/>
        <v/>
      </c>
      <c r="BS175" t="str">
        <f t="shared" ca="1" si="240"/>
        <v/>
      </c>
      <c r="BT175" t="str">
        <f t="shared" si="247"/>
        <v/>
      </c>
      <c r="BU175" t="str">
        <f t="shared" si="241"/>
        <v/>
      </c>
      <c r="BV175">
        <f t="shared" si="242"/>
        <v>0</v>
      </c>
    </row>
    <row r="176" spans="6:74">
      <c r="F176" s="164">
        <f t="shared" ca="1" si="221"/>
        <v>0</v>
      </c>
      <c r="G176" s="164" t="str">
        <f t="array" aca="1" ref="G176" ca="1">IF(TRIM(INDIRECT("Columns!D2"))="","",TRIM(INDIRECT("Columns!D2")))</f>
        <v/>
      </c>
      <c r="S176" t="str">
        <f t="shared" si="222"/>
        <v/>
      </c>
      <c r="V176" t="str">
        <f t="shared" si="223"/>
        <v/>
      </c>
      <c r="Y176" t="str">
        <f t="shared" ca="1" si="224"/>
        <v/>
      </c>
      <c r="Z176" t="str">
        <f t="shared" ca="1"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ca="1" si="233"/>
        <v/>
      </c>
      <c r="BC176" t="str">
        <f t="shared" si="243"/>
        <v/>
      </c>
      <c r="BE176" t="str">
        <f t="shared" si="234"/>
        <v/>
      </c>
      <c r="BF176" t="str">
        <f t="shared" si="235"/>
        <v/>
      </c>
      <c r="BG176" t="str">
        <f t="shared" si="236"/>
        <v/>
      </c>
      <c r="BH176" s="285" t="str">
        <f t="shared" ca="1" si="244"/>
        <v/>
      </c>
      <c r="BJ176" t="str">
        <f t="shared" si="237"/>
        <v/>
      </c>
      <c r="BM176" t="str">
        <f t="shared" si="245"/>
        <v/>
      </c>
      <c r="BN176" t="str">
        <f t="shared" si="246"/>
        <v/>
      </c>
      <c r="BO176" t="str">
        <f t="shared" ca="1" si="238"/>
        <v/>
      </c>
      <c r="BR176" t="str">
        <f t="shared" si="239"/>
        <v/>
      </c>
      <c r="BS176" t="str">
        <f t="shared" ca="1" si="240"/>
        <v/>
      </c>
      <c r="BT176" t="str">
        <f t="shared" si="247"/>
        <v/>
      </c>
      <c r="BU176" t="str">
        <f t="shared" si="241"/>
        <v/>
      </c>
      <c r="BV176">
        <f t="shared" si="242"/>
        <v>0</v>
      </c>
    </row>
    <row r="177" spans="6:74">
      <c r="F177" s="164">
        <f t="shared" ca="1" si="221"/>
        <v>0</v>
      </c>
      <c r="G177" s="164" t="str">
        <f t="array" aca="1" ref="G177" ca="1">IF(TRIM(INDIRECT("Columns!D2"))="","",TRIM(INDIRECT("Columns!D2")))</f>
        <v/>
      </c>
      <c r="S177" t="str">
        <f t="shared" si="222"/>
        <v/>
      </c>
      <c r="V177" t="str">
        <f t="shared" si="223"/>
        <v/>
      </c>
      <c r="Y177" t="str">
        <f t="shared" ca="1" si="224"/>
        <v/>
      </c>
      <c r="Z177" t="str">
        <f t="shared" ca="1"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ca="1" si="233"/>
        <v/>
      </c>
      <c r="BC177" t="str">
        <f t="shared" si="243"/>
        <v/>
      </c>
      <c r="BE177" t="str">
        <f t="shared" si="234"/>
        <v/>
      </c>
      <c r="BF177" t="str">
        <f t="shared" si="235"/>
        <v/>
      </c>
      <c r="BG177" t="str">
        <f t="shared" si="236"/>
        <v/>
      </c>
      <c r="BH177" s="285" t="str">
        <f t="shared" ca="1" si="244"/>
        <v/>
      </c>
      <c r="BJ177" t="str">
        <f t="shared" si="237"/>
        <v/>
      </c>
      <c r="BM177" t="str">
        <f t="shared" si="245"/>
        <v/>
      </c>
      <c r="BN177" t="str">
        <f t="shared" si="246"/>
        <v/>
      </c>
      <c r="BO177" t="str">
        <f t="shared" ca="1" si="238"/>
        <v/>
      </c>
      <c r="BR177" t="str">
        <f t="shared" si="239"/>
        <v/>
      </c>
      <c r="BS177" t="str">
        <f t="shared" ca="1" si="240"/>
        <v/>
      </c>
      <c r="BT177" t="str">
        <f t="shared" si="247"/>
        <v/>
      </c>
      <c r="BU177" t="str">
        <f t="shared" si="241"/>
        <v/>
      </c>
      <c r="BV177">
        <f t="shared" si="242"/>
        <v>0</v>
      </c>
    </row>
    <row r="178" spans="6:74">
      <c r="F178" s="164">
        <f t="shared" ca="1" si="221"/>
        <v>0</v>
      </c>
      <c r="G178" s="164" t="str">
        <f t="array" aca="1" ref="G178" ca="1">IF(TRIM(INDIRECT("Columns!D2"))="","",TRIM(INDIRECT("Columns!D2")))</f>
        <v/>
      </c>
      <c r="S178" t="str">
        <f t="shared" si="222"/>
        <v/>
      </c>
      <c r="V178" t="str">
        <f t="shared" si="223"/>
        <v/>
      </c>
      <c r="Y178" t="str">
        <f t="shared" ca="1" si="224"/>
        <v/>
      </c>
      <c r="Z178" t="str">
        <f t="shared" ca="1"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ca="1" si="233"/>
        <v/>
      </c>
      <c r="BC178" t="str">
        <f t="shared" si="243"/>
        <v/>
      </c>
      <c r="BE178" t="str">
        <f t="shared" si="234"/>
        <v/>
      </c>
      <c r="BF178" t="str">
        <f t="shared" si="235"/>
        <v/>
      </c>
      <c r="BG178" t="str">
        <f t="shared" si="236"/>
        <v/>
      </c>
      <c r="BH178" s="285" t="str">
        <f t="shared" ca="1" si="244"/>
        <v/>
      </c>
      <c r="BJ178" t="str">
        <f t="shared" si="237"/>
        <v/>
      </c>
      <c r="BM178" t="str">
        <f t="shared" si="245"/>
        <v/>
      </c>
      <c r="BN178" t="str">
        <f t="shared" si="246"/>
        <v/>
      </c>
      <c r="BO178" t="str">
        <f t="shared" ca="1" si="238"/>
        <v/>
      </c>
      <c r="BR178" t="str">
        <f t="shared" si="239"/>
        <v/>
      </c>
      <c r="BS178" t="str">
        <f t="shared" ca="1" si="240"/>
        <v/>
      </c>
      <c r="BT178" t="str">
        <f t="shared" si="247"/>
        <v/>
      </c>
      <c r="BU178" t="str">
        <f t="shared" si="241"/>
        <v/>
      </c>
      <c r="BV178">
        <f t="shared" si="242"/>
        <v>0</v>
      </c>
    </row>
    <row r="179" spans="6:74">
      <c r="F179" s="164">
        <f t="shared" ca="1" si="221"/>
        <v>0</v>
      </c>
      <c r="G179" s="164" t="str">
        <f t="array" aca="1" ref="G179" ca="1">IF(TRIM(INDIRECT("Columns!D2"))="","",TRIM(INDIRECT("Columns!D2")))</f>
        <v/>
      </c>
      <c r="S179" t="str">
        <f t="shared" si="222"/>
        <v/>
      </c>
      <c r="V179" t="str">
        <f t="shared" si="223"/>
        <v/>
      </c>
      <c r="Y179" t="str">
        <f t="shared" ca="1" si="224"/>
        <v/>
      </c>
      <c r="Z179" t="str">
        <f t="shared" ca="1"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ca="1" si="233"/>
        <v/>
      </c>
      <c r="BC179" t="str">
        <f t="shared" si="243"/>
        <v/>
      </c>
      <c r="BE179" t="str">
        <f t="shared" si="234"/>
        <v/>
      </c>
      <c r="BF179" t="str">
        <f t="shared" si="235"/>
        <v/>
      </c>
      <c r="BG179" t="str">
        <f t="shared" si="236"/>
        <v/>
      </c>
      <c r="BH179" s="285" t="str">
        <f t="shared" ca="1" si="244"/>
        <v/>
      </c>
      <c r="BJ179" t="str">
        <f t="shared" si="237"/>
        <v/>
      </c>
      <c r="BM179" t="str">
        <f t="shared" si="245"/>
        <v/>
      </c>
      <c r="BN179" t="str">
        <f t="shared" si="246"/>
        <v/>
      </c>
      <c r="BO179" t="str">
        <f t="shared" ca="1" si="238"/>
        <v/>
      </c>
      <c r="BR179" t="str">
        <f t="shared" si="239"/>
        <v/>
      </c>
      <c r="BS179" t="str">
        <f t="shared" ca="1" si="240"/>
        <v/>
      </c>
      <c r="BT179" t="str">
        <f t="shared" si="247"/>
        <v/>
      </c>
      <c r="BU179" t="str">
        <f t="shared" si="241"/>
        <v/>
      </c>
      <c r="BV179">
        <f t="shared" si="242"/>
        <v>0</v>
      </c>
    </row>
    <row r="180" spans="6:74">
      <c r="F180" s="164">
        <f t="shared" ca="1" si="221"/>
        <v>0</v>
      </c>
      <c r="G180" s="164" t="str">
        <f t="array" aca="1" ref="G180" ca="1">IF(TRIM(INDIRECT("Columns!D2"))="","",TRIM(INDIRECT("Columns!D2")))</f>
        <v/>
      </c>
      <c r="S180" t="str">
        <f t="shared" si="222"/>
        <v/>
      </c>
      <c r="V180" t="str">
        <f t="shared" si="223"/>
        <v/>
      </c>
      <c r="Y180" t="str">
        <f t="shared" ca="1" si="224"/>
        <v/>
      </c>
      <c r="Z180" t="str">
        <f t="shared" ca="1"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ca="1" si="233"/>
        <v/>
      </c>
      <c r="BC180" t="str">
        <f t="shared" si="243"/>
        <v/>
      </c>
      <c r="BE180" t="str">
        <f t="shared" si="234"/>
        <v/>
      </c>
      <c r="BF180" t="str">
        <f t="shared" si="235"/>
        <v/>
      </c>
      <c r="BG180" t="str">
        <f t="shared" si="236"/>
        <v/>
      </c>
      <c r="BH180" s="285" t="str">
        <f t="shared" ca="1" si="244"/>
        <v/>
      </c>
      <c r="BJ180" t="str">
        <f t="shared" si="237"/>
        <v/>
      </c>
      <c r="BM180" t="str">
        <f t="shared" si="245"/>
        <v/>
      </c>
      <c r="BN180" t="str">
        <f t="shared" si="246"/>
        <v/>
      </c>
      <c r="BO180" t="str">
        <f t="shared" ca="1" si="238"/>
        <v/>
      </c>
      <c r="BR180" t="str">
        <f t="shared" si="239"/>
        <v/>
      </c>
      <c r="BS180" t="str">
        <f t="shared" ca="1" si="240"/>
        <v/>
      </c>
      <c r="BT180" t="str">
        <f t="shared" si="247"/>
        <v/>
      </c>
      <c r="BU180" t="str">
        <f t="shared" si="241"/>
        <v/>
      </c>
      <c r="BV180">
        <f t="shared" si="242"/>
        <v>0</v>
      </c>
    </row>
    <row r="181" spans="6:74">
      <c r="F181" s="164">
        <f t="shared" ca="1" si="221"/>
        <v>0</v>
      </c>
      <c r="G181" s="164" t="str">
        <f t="array" aca="1" ref="G181" ca="1">IF(TRIM(INDIRECT("Columns!D2"))="","",TRIM(INDIRECT("Columns!D2")))</f>
        <v/>
      </c>
      <c r="S181" t="str">
        <f t="shared" si="222"/>
        <v/>
      </c>
      <c r="V181" t="str">
        <f t="shared" si="223"/>
        <v/>
      </c>
      <c r="Y181" t="str">
        <f t="shared" ca="1" si="224"/>
        <v/>
      </c>
      <c r="Z181" t="str">
        <f t="shared" ca="1"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ca="1" si="233"/>
        <v/>
      </c>
      <c r="BC181" t="str">
        <f t="shared" si="243"/>
        <v/>
      </c>
      <c r="BE181" t="str">
        <f t="shared" si="234"/>
        <v/>
      </c>
      <c r="BF181" t="str">
        <f t="shared" si="235"/>
        <v/>
      </c>
      <c r="BG181" t="str">
        <f t="shared" si="236"/>
        <v/>
      </c>
      <c r="BH181" s="285" t="str">
        <f t="shared" ca="1" si="244"/>
        <v/>
      </c>
      <c r="BJ181" t="str">
        <f t="shared" si="237"/>
        <v/>
      </c>
      <c r="BM181" t="str">
        <f t="shared" si="245"/>
        <v/>
      </c>
      <c r="BN181" t="str">
        <f t="shared" si="246"/>
        <v/>
      </c>
      <c r="BO181" t="str">
        <f t="shared" ca="1" si="238"/>
        <v/>
      </c>
      <c r="BR181" t="str">
        <f t="shared" si="239"/>
        <v/>
      </c>
      <c r="BS181" t="str">
        <f t="shared" ca="1" si="240"/>
        <v/>
      </c>
      <c r="BT181" t="str">
        <f t="shared" si="247"/>
        <v/>
      </c>
      <c r="BU181" t="str">
        <f t="shared" si="241"/>
        <v/>
      </c>
      <c r="BV181">
        <f t="shared" si="242"/>
        <v>0</v>
      </c>
    </row>
    <row r="182" spans="6:74">
      <c r="F182" s="164">
        <f t="shared" ca="1" si="221"/>
        <v>0</v>
      </c>
      <c r="G182" s="164" t="str">
        <f t="array" aca="1" ref="G182" ca="1">IF(TRIM(INDIRECT("Columns!D2"))="","",TRIM(INDIRECT("Columns!D2")))</f>
        <v/>
      </c>
      <c r="S182" t="str">
        <f t="shared" si="222"/>
        <v/>
      </c>
      <c r="V182" t="str">
        <f t="shared" si="223"/>
        <v/>
      </c>
      <c r="Y182" t="str">
        <f t="shared" ca="1" si="224"/>
        <v/>
      </c>
      <c r="Z182" t="str">
        <f t="shared" ca="1"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ca="1" si="233"/>
        <v/>
      </c>
      <c r="BC182" t="str">
        <f t="shared" si="243"/>
        <v/>
      </c>
      <c r="BE182" t="str">
        <f t="shared" si="234"/>
        <v/>
      </c>
      <c r="BF182" t="str">
        <f t="shared" si="235"/>
        <v/>
      </c>
      <c r="BG182" t="str">
        <f t="shared" si="236"/>
        <v/>
      </c>
      <c r="BH182" s="285" t="str">
        <f t="shared" ca="1" si="244"/>
        <v/>
      </c>
      <c r="BJ182" t="str">
        <f t="shared" si="237"/>
        <v/>
      </c>
      <c r="BM182" t="str">
        <f t="shared" si="245"/>
        <v/>
      </c>
      <c r="BN182" t="str">
        <f t="shared" si="246"/>
        <v/>
      </c>
      <c r="BO182" t="str">
        <f t="shared" ca="1" si="238"/>
        <v/>
      </c>
      <c r="BR182" t="str">
        <f t="shared" si="239"/>
        <v/>
      </c>
      <c r="BS182" t="str">
        <f t="shared" ca="1" si="240"/>
        <v/>
      </c>
      <c r="BT182" t="str">
        <f t="shared" si="247"/>
        <v/>
      </c>
      <c r="BU182" t="str">
        <f t="shared" si="241"/>
        <v/>
      </c>
      <c r="BV182">
        <f t="shared" si="242"/>
        <v>0</v>
      </c>
    </row>
    <row r="183" spans="6:74">
      <c r="F183" s="164">
        <f t="shared" ca="1" si="221"/>
        <v>0</v>
      </c>
      <c r="G183" s="164" t="str">
        <f t="array" aca="1" ref="G183" ca="1">IF(TRIM(INDIRECT("Columns!D2"))="","",TRIM(INDIRECT("Columns!D2")))</f>
        <v/>
      </c>
      <c r="S183" t="str">
        <f t="shared" si="222"/>
        <v/>
      </c>
      <c r="V183" t="str">
        <f t="shared" si="223"/>
        <v/>
      </c>
      <c r="Y183" t="str">
        <f t="shared" ca="1" si="224"/>
        <v/>
      </c>
      <c r="Z183" t="str">
        <f t="shared" ca="1"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ca="1" si="233"/>
        <v/>
      </c>
      <c r="BC183" t="str">
        <f t="shared" si="243"/>
        <v/>
      </c>
      <c r="BE183" t="str">
        <f t="shared" si="234"/>
        <v/>
      </c>
      <c r="BF183" t="str">
        <f t="shared" si="235"/>
        <v/>
      </c>
      <c r="BG183" t="str">
        <f t="shared" si="236"/>
        <v/>
      </c>
      <c r="BH183" s="285" t="str">
        <f t="shared" ca="1" si="244"/>
        <v/>
      </c>
      <c r="BJ183" t="str">
        <f t="shared" si="237"/>
        <v/>
      </c>
      <c r="BM183" t="str">
        <f t="shared" si="245"/>
        <v/>
      </c>
      <c r="BN183" t="str">
        <f t="shared" si="246"/>
        <v/>
      </c>
      <c r="BO183" t="str">
        <f t="shared" ca="1" si="238"/>
        <v/>
      </c>
      <c r="BR183" t="str">
        <f t="shared" si="239"/>
        <v/>
      </c>
      <c r="BS183" t="str">
        <f t="shared" ca="1" si="240"/>
        <v/>
      </c>
      <c r="BT183" t="str">
        <f t="shared" si="247"/>
        <v/>
      </c>
      <c r="BU183" t="str">
        <f t="shared" si="241"/>
        <v/>
      </c>
      <c r="BV183">
        <f t="shared" si="242"/>
        <v>0</v>
      </c>
    </row>
    <row r="184" spans="6:74">
      <c r="F184" s="164">
        <f t="shared" ca="1" si="221"/>
        <v>0</v>
      </c>
      <c r="G184" s="164" t="str">
        <f t="array" aca="1" ref="G184" ca="1">IF(TRIM(INDIRECT("Columns!D2"))="","",TRIM(INDIRECT("Columns!D2")))</f>
        <v/>
      </c>
      <c r="S184" t="str">
        <f t="shared" si="222"/>
        <v/>
      </c>
      <c r="V184" t="str">
        <f t="shared" si="223"/>
        <v/>
      </c>
      <c r="Y184" t="str">
        <f t="shared" ca="1" si="224"/>
        <v/>
      </c>
      <c r="Z184" t="str">
        <f t="shared" ca="1"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ca="1" si="233"/>
        <v/>
      </c>
      <c r="BC184" t="str">
        <f t="shared" si="243"/>
        <v/>
      </c>
      <c r="BE184" t="str">
        <f t="shared" si="234"/>
        <v/>
      </c>
      <c r="BF184" t="str">
        <f t="shared" si="235"/>
        <v/>
      </c>
      <c r="BG184" t="str">
        <f t="shared" si="236"/>
        <v/>
      </c>
      <c r="BH184" s="285" t="str">
        <f t="shared" ca="1" si="244"/>
        <v/>
      </c>
      <c r="BJ184" t="str">
        <f t="shared" si="237"/>
        <v/>
      </c>
      <c r="BM184" t="str">
        <f t="shared" si="245"/>
        <v/>
      </c>
      <c r="BN184" t="str">
        <f t="shared" si="246"/>
        <v/>
      </c>
      <c r="BO184" t="str">
        <f t="shared" ca="1" si="238"/>
        <v/>
      </c>
      <c r="BR184" t="str">
        <f t="shared" si="239"/>
        <v/>
      </c>
      <c r="BS184" t="str">
        <f t="shared" ca="1" si="240"/>
        <v/>
      </c>
      <c r="BT184" t="str">
        <f t="shared" si="247"/>
        <v/>
      </c>
      <c r="BU184" t="str">
        <f t="shared" si="241"/>
        <v/>
      </c>
      <c r="BV184">
        <f t="shared" si="242"/>
        <v>0</v>
      </c>
    </row>
    <row r="185" spans="6:74">
      <c r="F185" s="164">
        <f t="shared" ca="1" si="221"/>
        <v>0</v>
      </c>
      <c r="G185" s="164" t="str">
        <f t="array" aca="1" ref="G185" ca="1">IF(TRIM(INDIRECT("Columns!D2"))="","",TRIM(INDIRECT("Columns!D2")))</f>
        <v/>
      </c>
      <c r="S185" t="str">
        <f t="shared" si="222"/>
        <v/>
      </c>
      <c r="V185" t="str">
        <f t="shared" si="223"/>
        <v/>
      </c>
      <c r="Y185" t="str">
        <f t="shared" ca="1" si="224"/>
        <v/>
      </c>
      <c r="Z185" t="str">
        <f t="shared" ca="1"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ca="1" si="233"/>
        <v/>
      </c>
      <c r="BC185" t="str">
        <f t="shared" si="243"/>
        <v/>
      </c>
      <c r="BE185" t="str">
        <f t="shared" si="234"/>
        <v/>
      </c>
      <c r="BF185" t="str">
        <f t="shared" si="235"/>
        <v/>
      </c>
      <c r="BG185" t="str">
        <f t="shared" si="236"/>
        <v/>
      </c>
      <c r="BH185" s="285" t="str">
        <f t="shared" ca="1" si="244"/>
        <v/>
      </c>
      <c r="BJ185" t="str">
        <f t="shared" si="237"/>
        <v/>
      </c>
      <c r="BM185" t="str">
        <f t="shared" si="245"/>
        <v/>
      </c>
      <c r="BN185" t="str">
        <f t="shared" si="246"/>
        <v/>
      </c>
      <c r="BO185" t="str">
        <f t="shared" ca="1" si="238"/>
        <v/>
      </c>
      <c r="BR185" t="str">
        <f t="shared" si="239"/>
        <v/>
      </c>
      <c r="BS185" t="str">
        <f t="shared" ca="1" si="240"/>
        <v/>
      </c>
      <c r="BT185" t="str">
        <f t="shared" si="247"/>
        <v/>
      </c>
      <c r="BU185" t="str">
        <f t="shared" si="241"/>
        <v/>
      </c>
      <c r="BV185">
        <f t="shared" si="242"/>
        <v>0</v>
      </c>
    </row>
    <row r="186" spans="6:74">
      <c r="F186" s="164">
        <f t="shared" ca="1" si="221"/>
        <v>0</v>
      </c>
      <c r="G186" s="164" t="str">
        <f t="array" aca="1" ref="G186" ca="1">IF(TRIM(INDIRECT("Columns!D2"))="","",TRIM(INDIRECT("Columns!D2")))</f>
        <v/>
      </c>
      <c r="S186" t="str">
        <f t="shared" si="222"/>
        <v/>
      </c>
      <c r="V186" t="str">
        <f t="shared" si="223"/>
        <v/>
      </c>
      <c r="Y186" t="str">
        <f t="shared" ca="1" si="224"/>
        <v/>
      </c>
      <c r="Z186" t="str">
        <f t="shared" ca="1"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ca="1" si="233"/>
        <v/>
      </c>
      <c r="BC186" t="str">
        <f t="shared" si="243"/>
        <v/>
      </c>
      <c r="BE186" t="str">
        <f t="shared" si="234"/>
        <v/>
      </c>
      <c r="BF186" t="str">
        <f t="shared" si="235"/>
        <v/>
      </c>
      <c r="BG186" t="str">
        <f t="shared" si="236"/>
        <v/>
      </c>
      <c r="BH186" s="285" t="str">
        <f t="shared" ca="1" si="244"/>
        <v/>
      </c>
      <c r="BJ186" t="str">
        <f t="shared" si="237"/>
        <v/>
      </c>
      <c r="BM186" t="str">
        <f t="shared" si="245"/>
        <v/>
      </c>
      <c r="BN186" t="str">
        <f t="shared" si="246"/>
        <v/>
      </c>
      <c r="BO186" t="str">
        <f t="shared" ca="1" si="238"/>
        <v/>
      </c>
      <c r="BR186" t="str">
        <f t="shared" si="239"/>
        <v/>
      </c>
      <c r="BS186" t="str">
        <f t="shared" ca="1" si="240"/>
        <v/>
      </c>
      <c r="BT186" t="str">
        <f t="shared" si="247"/>
        <v/>
      </c>
      <c r="BU186" t="str">
        <f t="shared" si="241"/>
        <v/>
      </c>
      <c r="BV186">
        <f t="shared" si="242"/>
        <v>0</v>
      </c>
    </row>
    <row r="187" spans="6:74">
      <c r="F187" s="164">
        <f t="shared" ca="1" si="221"/>
        <v>0</v>
      </c>
      <c r="G187" s="164" t="str">
        <f t="array" aca="1" ref="G187" ca="1">IF(TRIM(INDIRECT("Columns!D2"))="","",TRIM(INDIRECT("Columns!D2")))</f>
        <v/>
      </c>
      <c r="S187" t="str">
        <f t="shared" si="222"/>
        <v/>
      </c>
      <c r="V187" t="str">
        <f t="shared" si="223"/>
        <v/>
      </c>
      <c r="Y187" t="str">
        <f t="shared" ca="1" si="224"/>
        <v/>
      </c>
      <c r="Z187" t="str">
        <f t="shared" ca="1"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ca="1" si="233"/>
        <v/>
      </c>
      <c r="BC187" t="str">
        <f t="shared" si="243"/>
        <v/>
      </c>
      <c r="BE187" t="str">
        <f t="shared" si="234"/>
        <v/>
      </c>
      <c r="BF187" t="str">
        <f t="shared" si="235"/>
        <v/>
      </c>
      <c r="BG187" t="str">
        <f t="shared" si="236"/>
        <v/>
      </c>
      <c r="BH187" s="285" t="str">
        <f t="shared" ca="1" si="244"/>
        <v/>
      </c>
      <c r="BJ187" t="str">
        <f t="shared" si="237"/>
        <v/>
      </c>
      <c r="BM187" t="str">
        <f t="shared" si="245"/>
        <v/>
      </c>
      <c r="BN187" t="str">
        <f t="shared" si="246"/>
        <v/>
      </c>
      <c r="BO187" t="str">
        <f t="shared" ca="1" si="238"/>
        <v/>
      </c>
      <c r="BR187" t="str">
        <f t="shared" si="239"/>
        <v/>
      </c>
      <c r="BS187" t="str">
        <f t="shared" ca="1" si="240"/>
        <v/>
      </c>
      <c r="BT187" t="str">
        <f t="shared" si="247"/>
        <v/>
      </c>
      <c r="BU187" t="str">
        <f t="shared" si="241"/>
        <v/>
      </c>
      <c r="BV187">
        <f t="shared" si="242"/>
        <v>0</v>
      </c>
    </row>
    <row r="188" spans="6:74">
      <c r="F188" s="164">
        <f t="shared" ca="1" si="221"/>
        <v>0</v>
      </c>
      <c r="G188" s="164" t="str">
        <f t="array" aca="1" ref="G188" ca="1">IF(TRIM(INDIRECT("Columns!D2"))="","",TRIM(INDIRECT("Columns!D2")))</f>
        <v/>
      </c>
      <c r="S188" t="str">
        <f t="shared" si="222"/>
        <v/>
      </c>
      <c r="V188" t="str">
        <f t="shared" si="223"/>
        <v/>
      </c>
      <c r="Y188" t="str">
        <f t="shared" ca="1" si="224"/>
        <v/>
      </c>
      <c r="Z188" t="str">
        <f t="shared" ca="1"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ca="1" si="233"/>
        <v/>
      </c>
      <c r="BC188" t="str">
        <f t="shared" si="243"/>
        <v/>
      </c>
      <c r="BE188" t="str">
        <f t="shared" si="234"/>
        <v/>
      </c>
      <c r="BF188" t="str">
        <f t="shared" si="235"/>
        <v/>
      </c>
      <c r="BG188" t="str">
        <f t="shared" si="236"/>
        <v/>
      </c>
      <c r="BH188" s="285" t="str">
        <f t="shared" ca="1" si="244"/>
        <v/>
      </c>
      <c r="BJ188" t="str">
        <f t="shared" si="237"/>
        <v/>
      </c>
      <c r="BM188" t="str">
        <f t="shared" si="245"/>
        <v/>
      </c>
      <c r="BN188" t="str">
        <f t="shared" si="246"/>
        <v/>
      </c>
      <c r="BO188" t="str">
        <f t="shared" ca="1" si="238"/>
        <v/>
      </c>
      <c r="BR188" t="str">
        <f t="shared" si="239"/>
        <v/>
      </c>
      <c r="BS188" t="str">
        <f t="shared" ca="1" si="240"/>
        <v/>
      </c>
      <c r="BT188" t="str">
        <f t="shared" si="247"/>
        <v/>
      </c>
      <c r="BU188" t="str">
        <f t="shared" si="241"/>
        <v/>
      </c>
      <c r="BV188">
        <f t="shared" si="242"/>
        <v>0</v>
      </c>
    </row>
    <row r="189" spans="6:74">
      <c r="F189" s="164">
        <f t="shared" ca="1" si="221"/>
        <v>0</v>
      </c>
      <c r="G189" s="164" t="str">
        <f t="array" aca="1" ref="G189" ca="1">IF(TRIM(INDIRECT("Columns!D2"))="","",TRIM(INDIRECT("Columns!D2")))</f>
        <v/>
      </c>
      <c r="S189" t="str">
        <f t="shared" si="222"/>
        <v/>
      </c>
      <c r="V189" t="str">
        <f t="shared" si="223"/>
        <v/>
      </c>
      <c r="Y189" t="str">
        <f t="shared" ca="1" si="224"/>
        <v/>
      </c>
      <c r="Z189" t="str">
        <f t="shared" ca="1"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ca="1" si="233"/>
        <v/>
      </c>
      <c r="BC189" t="str">
        <f t="shared" si="243"/>
        <v/>
      </c>
      <c r="BE189" t="str">
        <f t="shared" si="234"/>
        <v/>
      </c>
      <c r="BF189" t="str">
        <f t="shared" si="235"/>
        <v/>
      </c>
      <c r="BG189" t="str">
        <f t="shared" si="236"/>
        <v/>
      </c>
      <c r="BH189" s="285" t="str">
        <f t="shared" ca="1" si="244"/>
        <v/>
      </c>
      <c r="BJ189" t="str">
        <f t="shared" si="237"/>
        <v/>
      </c>
      <c r="BM189" t="str">
        <f t="shared" si="245"/>
        <v/>
      </c>
      <c r="BN189" t="str">
        <f t="shared" si="246"/>
        <v/>
      </c>
      <c r="BO189" t="str">
        <f t="shared" ca="1" si="238"/>
        <v/>
      </c>
      <c r="BR189" t="str">
        <f t="shared" si="239"/>
        <v/>
      </c>
      <c r="BS189" t="str">
        <f t="shared" ca="1" si="240"/>
        <v/>
      </c>
      <c r="BT189" t="str">
        <f t="shared" si="247"/>
        <v/>
      </c>
      <c r="BU189" t="str">
        <f t="shared" si="241"/>
        <v/>
      </c>
      <c r="BV189">
        <f t="shared" si="242"/>
        <v>0</v>
      </c>
    </row>
    <row r="190" spans="6:74">
      <c r="F190" s="164">
        <f t="shared" ca="1" si="221"/>
        <v>0</v>
      </c>
      <c r="G190" s="164" t="str">
        <f t="array" aca="1" ref="G190" ca="1">IF(TRIM(INDIRECT("Columns!D2"))="","",TRIM(INDIRECT("Columns!D2")))</f>
        <v/>
      </c>
      <c r="S190" t="str">
        <f t="shared" si="222"/>
        <v/>
      </c>
      <c r="V190" t="str">
        <f t="shared" si="223"/>
        <v/>
      </c>
      <c r="Y190" t="str">
        <f t="shared" ca="1" si="224"/>
        <v/>
      </c>
      <c r="Z190" t="str">
        <f t="shared" ca="1"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ca="1" si="233"/>
        <v/>
      </c>
      <c r="BC190" t="str">
        <f t="shared" si="243"/>
        <v/>
      </c>
      <c r="BE190" t="str">
        <f t="shared" si="234"/>
        <v/>
      </c>
      <c r="BF190" t="str">
        <f t="shared" si="235"/>
        <v/>
      </c>
      <c r="BG190" t="str">
        <f t="shared" si="236"/>
        <v/>
      </c>
      <c r="BH190" s="285" t="str">
        <f t="shared" ca="1" si="244"/>
        <v/>
      </c>
      <c r="BJ190" t="str">
        <f t="shared" si="237"/>
        <v/>
      </c>
      <c r="BM190" t="str">
        <f t="shared" si="245"/>
        <v/>
      </c>
      <c r="BN190" t="str">
        <f t="shared" si="246"/>
        <v/>
      </c>
      <c r="BO190" t="str">
        <f t="shared" ca="1" si="238"/>
        <v/>
      </c>
      <c r="BR190" t="str">
        <f t="shared" si="239"/>
        <v/>
      </c>
      <c r="BS190" t="str">
        <f t="shared" ca="1" si="240"/>
        <v/>
      </c>
      <c r="BT190" t="str">
        <f t="shared" si="247"/>
        <v/>
      </c>
      <c r="BU190" t="str">
        <f t="shared" si="241"/>
        <v/>
      </c>
      <c r="BV190">
        <f t="shared" si="242"/>
        <v>0</v>
      </c>
    </row>
    <row r="191" spans="6:74">
      <c r="F191" s="164">
        <f t="shared" ca="1" si="221"/>
        <v>0</v>
      </c>
      <c r="G191" s="164" t="str">
        <f t="array" aca="1" ref="G191" ca="1">IF(TRIM(INDIRECT("Columns!D2"))="","",TRIM(INDIRECT("Columns!D2")))</f>
        <v/>
      </c>
      <c r="S191" t="str">
        <f t="shared" si="222"/>
        <v/>
      </c>
      <c r="V191" t="str">
        <f t="shared" si="223"/>
        <v/>
      </c>
      <c r="Y191" t="str">
        <f t="shared" ca="1" si="224"/>
        <v/>
      </c>
      <c r="Z191" t="str">
        <f t="shared" ca="1"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ca="1" si="233"/>
        <v/>
      </c>
      <c r="BC191" t="str">
        <f t="shared" si="243"/>
        <v/>
      </c>
      <c r="BE191" t="str">
        <f t="shared" si="234"/>
        <v/>
      </c>
      <c r="BF191" t="str">
        <f t="shared" si="235"/>
        <v/>
      </c>
      <c r="BG191" t="str">
        <f t="shared" si="236"/>
        <v/>
      </c>
      <c r="BH191" s="285" t="str">
        <f t="shared" ca="1" si="244"/>
        <v/>
      </c>
      <c r="BJ191" t="str">
        <f t="shared" si="237"/>
        <v/>
      </c>
      <c r="BM191" t="str">
        <f t="shared" si="245"/>
        <v/>
      </c>
      <c r="BN191" t="str">
        <f t="shared" si="246"/>
        <v/>
      </c>
      <c r="BO191" t="str">
        <f t="shared" ca="1" si="238"/>
        <v/>
      </c>
      <c r="BR191" t="str">
        <f t="shared" si="239"/>
        <v/>
      </c>
      <c r="BS191" t="str">
        <f t="shared" ca="1" si="240"/>
        <v/>
      </c>
      <c r="BT191" t="str">
        <f t="shared" si="247"/>
        <v/>
      </c>
      <c r="BU191" t="str">
        <f t="shared" si="241"/>
        <v/>
      </c>
      <c r="BV191">
        <f t="shared" si="242"/>
        <v>0</v>
      </c>
    </row>
    <row r="192" spans="6:74">
      <c r="F192" s="164">
        <f t="shared" ca="1" si="221"/>
        <v>0</v>
      </c>
      <c r="G192" s="164" t="str">
        <f t="array" aca="1" ref="G192" ca="1">IF(TRIM(INDIRECT("Columns!D2"))="","",TRIM(INDIRECT("Columns!D2")))</f>
        <v/>
      </c>
      <c r="S192" t="str">
        <f t="shared" si="222"/>
        <v/>
      </c>
      <c r="V192" t="str">
        <f t="shared" si="223"/>
        <v/>
      </c>
      <c r="Y192" t="str">
        <f t="shared" ca="1" si="224"/>
        <v/>
      </c>
      <c r="Z192" t="str">
        <f t="shared" ca="1"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ca="1" si="233"/>
        <v/>
      </c>
      <c r="BC192" t="str">
        <f t="shared" si="243"/>
        <v/>
      </c>
      <c r="BE192" t="str">
        <f t="shared" si="234"/>
        <v/>
      </c>
      <c r="BF192" t="str">
        <f t="shared" si="235"/>
        <v/>
      </c>
      <c r="BG192" t="str">
        <f t="shared" si="236"/>
        <v/>
      </c>
      <c r="BH192" s="285" t="str">
        <f t="shared" ca="1" si="244"/>
        <v/>
      </c>
      <c r="BJ192" t="str">
        <f t="shared" si="237"/>
        <v/>
      </c>
      <c r="BM192" t="str">
        <f t="shared" si="245"/>
        <v/>
      </c>
      <c r="BN192" t="str">
        <f t="shared" si="246"/>
        <v/>
      </c>
      <c r="BO192" t="str">
        <f t="shared" ca="1" si="238"/>
        <v/>
      </c>
      <c r="BR192" t="str">
        <f t="shared" si="239"/>
        <v/>
      </c>
      <c r="BS192" t="str">
        <f t="shared" ca="1" si="240"/>
        <v/>
      </c>
      <c r="BT192" t="str">
        <f t="shared" si="247"/>
        <v/>
      </c>
      <c r="BU192" t="str">
        <f t="shared" si="241"/>
        <v/>
      </c>
      <c r="BV192">
        <f t="shared" si="242"/>
        <v>0</v>
      </c>
    </row>
    <row r="193" spans="6:74">
      <c r="F193" s="164">
        <f t="shared" ca="1" si="221"/>
        <v>0</v>
      </c>
      <c r="G193" s="164" t="str">
        <f t="array" aca="1" ref="G193" ca="1">IF(TRIM(INDIRECT("Columns!D2"))="","",TRIM(INDIRECT("Columns!D2")))</f>
        <v/>
      </c>
      <c r="S193" t="str">
        <f t="shared" si="222"/>
        <v/>
      </c>
      <c r="V193" t="str">
        <f t="shared" si="223"/>
        <v/>
      </c>
      <c r="Y193" t="str">
        <f t="shared" ca="1" si="224"/>
        <v/>
      </c>
      <c r="Z193" t="str">
        <f t="shared" ca="1"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ca="1" si="233"/>
        <v/>
      </c>
      <c r="BC193" t="str">
        <f t="shared" si="243"/>
        <v/>
      </c>
      <c r="BE193" t="str">
        <f t="shared" si="234"/>
        <v/>
      </c>
      <c r="BF193" t="str">
        <f t="shared" si="235"/>
        <v/>
      </c>
      <c r="BG193" t="str">
        <f t="shared" si="236"/>
        <v/>
      </c>
      <c r="BH193" s="285" t="str">
        <f t="shared" ca="1" si="244"/>
        <v/>
      </c>
      <c r="BJ193" t="str">
        <f t="shared" si="237"/>
        <v/>
      </c>
      <c r="BM193" t="str">
        <f t="shared" si="245"/>
        <v/>
      </c>
      <c r="BN193" t="str">
        <f t="shared" si="246"/>
        <v/>
      </c>
      <c r="BO193" t="str">
        <f t="shared" ca="1" si="238"/>
        <v/>
      </c>
      <c r="BR193" t="str">
        <f t="shared" si="239"/>
        <v/>
      </c>
      <c r="BS193" t="str">
        <f t="shared" ca="1" si="240"/>
        <v/>
      </c>
      <c r="BT193" t="str">
        <f t="shared" si="247"/>
        <v/>
      </c>
      <c r="BU193" t="str">
        <f t="shared" si="241"/>
        <v/>
      </c>
      <c r="BV193">
        <f t="shared" si="242"/>
        <v>0</v>
      </c>
    </row>
    <row r="194" spans="6:74">
      <c r="F194" s="164">
        <f t="shared" ca="1" si="221"/>
        <v>0</v>
      </c>
      <c r="G194" s="164" t="str">
        <f t="array" aca="1" ref="G194" ca="1">IF(TRIM(INDIRECT("Columns!D2"))="","",TRIM(INDIRECT("Columns!D2")))</f>
        <v/>
      </c>
      <c r="S194" t="str">
        <f t="shared" si="222"/>
        <v/>
      </c>
      <c r="V194" t="str">
        <f t="shared" si="223"/>
        <v/>
      </c>
      <c r="Y194" t="str">
        <f t="shared" ca="1" si="224"/>
        <v/>
      </c>
      <c r="Z194" t="str">
        <f t="shared" ca="1"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ca="1" si="233"/>
        <v/>
      </c>
      <c r="BC194" t="str">
        <f t="shared" si="243"/>
        <v/>
      </c>
      <c r="BE194" t="str">
        <f t="shared" si="234"/>
        <v/>
      </c>
      <c r="BF194" t="str">
        <f t="shared" si="235"/>
        <v/>
      </c>
      <c r="BG194" t="str">
        <f t="shared" si="236"/>
        <v/>
      </c>
      <c r="BH194" s="285" t="str">
        <f t="shared" ca="1" si="244"/>
        <v/>
      </c>
      <c r="BJ194" t="str">
        <f t="shared" si="237"/>
        <v/>
      </c>
      <c r="BM194" t="str">
        <f t="shared" si="245"/>
        <v/>
      </c>
      <c r="BN194" t="str">
        <f t="shared" si="246"/>
        <v/>
      </c>
      <c r="BO194" t="str">
        <f t="shared" ca="1" si="238"/>
        <v/>
      </c>
      <c r="BR194" t="str">
        <f t="shared" si="239"/>
        <v/>
      </c>
      <c r="BS194" t="str">
        <f t="shared" ca="1" si="240"/>
        <v/>
      </c>
      <c r="BT194" t="str">
        <f t="shared" si="247"/>
        <v/>
      </c>
      <c r="BU194" t="str">
        <f t="shared" si="241"/>
        <v/>
      </c>
      <c r="BV194">
        <f t="shared" si="242"/>
        <v>0</v>
      </c>
    </row>
    <row r="195" spans="6:74">
      <c r="F195" s="164">
        <f t="shared" ca="1" si="221"/>
        <v>0</v>
      </c>
      <c r="G195" s="164" t="str">
        <f t="array" aca="1" ref="G195" ca="1">IF(TRIM(INDIRECT("Columns!D2"))="","",TRIM(INDIRECT("Columns!D2")))</f>
        <v/>
      </c>
      <c r="S195" t="str">
        <f t="shared" si="222"/>
        <v/>
      </c>
      <c r="V195" t="str">
        <f t="shared" si="223"/>
        <v/>
      </c>
      <c r="Y195" t="str">
        <f t="shared" ca="1" si="224"/>
        <v/>
      </c>
      <c r="Z195" t="str">
        <f t="shared" ca="1"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ca="1" si="233"/>
        <v/>
      </c>
      <c r="BC195" t="str">
        <f t="shared" si="243"/>
        <v/>
      </c>
      <c r="BE195" t="str">
        <f t="shared" si="234"/>
        <v/>
      </c>
      <c r="BF195" t="str">
        <f t="shared" si="235"/>
        <v/>
      </c>
      <c r="BG195" t="str">
        <f t="shared" si="236"/>
        <v/>
      </c>
      <c r="BH195" s="285" t="str">
        <f t="shared" ca="1" si="244"/>
        <v/>
      </c>
      <c r="BJ195" t="str">
        <f t="shared" si="237"/>
        <v/>
      </c>
      <c r="BM195" t="str">
        <f t="shared" si="245"/>
        <v/>
      </c>
      <c r="BN195" t="str">
        <f t="shared" si="246"/>
        <v/>
      </c>
      <c r="BO195" t="str">
        <f t="shared" ca="1" si="238"/>
        <v/>
      </c>
      <c r="BR195" t="str">
        <f t="shared" si="239"/>
        <v/>
      </c>
      <c r="BS195" t="str">
        <f t="shared" ca="1" si="240"/>
        <v/>
      </c>
      <c r="BT195" t="str">
        <f t="shared" si="247"/>
        <v/>
      </c>
      <c r="BU195" t="str">
        <f t="shared" si="241"/>
        <v/>
      </c>
      <c r="BV195">
        <f t="shared" si="242"/>
        <v>0</v>
      </c>
    </row>
    <row r="196" spans="6:74">
      <c r="F196" s="164">
        <f t="shared" ca="1" si="221"/>
        <v>0</v>
      </c>
      <c r="G196" s="164" t="str">
        <f t="array" aca="1" ref="G196" ca="1">IF(TRIM(INDIRECT("Columns!D2"))="","",TRIM(INDIRECT("Columns!D2")))</f>
        <v/>
      </c>
      <c r="S196" t="str">
        <f t="shared" si="222"/>
        <v/>
      </c>
      <c r="V196" t="str">
        <f t="shared" si="223"/>
        <v/>
      </c>
      <c r="Y196" t="str">
        <f t="shared" ca="1" si="224"/>
        <v/>
      </c>
      <c r="Z196" t="str">
        <f t="shared" ca="1"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ca="1" si="233"/>
        <v/>
      </c>
      <c r="BC196" t="str">
        <f t="shared" si="243"/>
        <v/>
      </c>
      <c r="BE196" t="str">
        <f t="shared" si="234"/>
        <v/>
      </c>
      <c r="BF196" t="str">
        <f t="shared" si="235"/>
        <v/>
      </c>
      <c r="BG196" t="str">
        <f t="shared" si="236"/>
        <v/>
      </c>
      <c r="BH196" s="285" t="str">
        <f t="shared" ca="1" si="244"/>
        <v/>
      </c>
      <c r="BJ196" t="str">
        <f t="shared" si="237"/>
        <v/>
      </c>
      <c r="BM196" t="str">
        <f t="shared" si="245"/>
        <v/>
      </c>
      <c r="BN196" t="str">
        <f t="shared" si="246"/>
        <v/>
      </c>
      <c r="BO196" t="str">
        <f t="shared" ca="1" si="238"/>
        <v/>
      </c>
      <c r="BR196" t="str">
        <f t="shared" si="239"/>
        <v/>
      </c>
      <c r="BS196" t="str">
        <f t="shared" ca="1" si="240"/>
        <v/>
      </c>
      <c r="BT196" t="str">
        <f t="shared" si="247"/>
        <v/>
      </c>
      <c r="BU196" t="str">
        <f t="shared" si="241"/>
        <v/>
      </c>
      <c r="BV196">
        <f t="shared" si="242"/>
        <v>0</v>
      </c>
    </row>
    <row r="197" spans="6:74">
      <c r="F197" s="164">
        <f t="shared" ca="1" si="221"/>
        <v>0</v>
      </c>
      <c r="G197" s="164" t="str">
        <f t="array" aca="1" ref="G197" ca="1">IF(TRIM(INDIRECT("Columns!D2"))="","",TRIM(INDIRECT("Columns!D2")))</f>
        <v/>
      </c>
      <c r="S197" t="str">
        <f t="shared" si="222"/>
        <v/>
      </c>
      <c r="V197" t="str">
        <f t="shared" si="223"/>
        <v/>
      </c>
      <c r="Y197" t="str">
        <f t="shared" ca="1" si="224"/>
        <v/>
      </c>
      <c r="Z197" t="str">
        <f t="shared" ca="1"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ca="1" si="233"/>
        <v/>
      </c>
      <c r="BC197" t="str">
        <f t="shared" si="243"/>
        <v/>
      </c>
      <c r="BE197" t="str">
        <f t="shared" si="234"/>
        <v/>
      </c>
      <c r="BF197" t="str">
        <f t="shared" si="235"/>
        <v/>
      </c>
      <c r="BG197" t="str">
        <f t="shared" si="236"/>
        <v/>
      </c>
      <c r="BH197" s="285" t="str">
        <f t="shared" ca="1" si="244"/>
        <v/>
      </c>
      <c r="BJ197" t="str">
        <f t="shared" si="237"/>
        <v/>
      </c>
      <c r="BM197" t="str">
        <f t="shared" si="245"/>
        <v/>
      </c>
      <c r="BN197" t="str">
        <f t="shared" si="246"/>
        <v/>
      </c>
      <c r="BO197" t="str">
        <f t="shared" ca="1" si="238"/>
        <v/>
      </c>
      <c r="BR197" t="str">
        <f t="shared" si="239"/>
        <v/>
      </c>
      <c r="BS197" t="str">
        <f t="shared" ca="1" si="240"/>
        <v/>
      </c>
      <c r="BT197" t="str">
        <f t="shared" si="247"/>
        <v/>
      </c>
      <c r="BU197" t="str">
        <f t="shared" si="241"/>
        <v/>
      </c>
      <c r="BV197">
        <f t="shared" si="242"/>
        <v>0</v>
      </c>
    </row>
    <row r="198" spans="6:74">
      <c r="F198" s="164">
        <f t="shared" ca="1" si="221"/>
        <v>0</v>
      </c>
      <c r="G198" s="164" t="str">
        <f t="array" aca="1" ref="G198" ca="1">IF(TRIM(INDIRECT("Columns!D2"))="","",TRIM(INDIRECT("Columns!D2")))</f>
        <v/>
      </c>
      <c r="S198" t="str">
        <f t="shared" si="222"/>
        <v/>
      </c>
      <c r="V198" t="str">
        <f t="shared" si="223"/>
        <v/>
      </c>
      <c r="Y198" t="str">
        <f t="shared" ca="1" si="224"/>
        <v/>
      </c>
      <c r="Z198" t="str">
        <f t="shared" ca="1"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ca="1" si="233"/>
        <v/>
      </c>
      <c r="BC198" t="str">
        <f t="shared" si="243"/>
        <v/>
      </c>
      <c r="BE198" t="str">
        <f t="shared" si="234"/>
        <v/>
      </c>
      <c r="BF198" t="str">
        <f t="shared" si="235"/>
        <v/>
      </c>
      <c r="BG198" t="str">
        <f t="shared" si="236"/>
        <v/>
      </c>
      <c r="BH198" s="285" t="str">
        <f t="shared" ca="1" si="244"/>
        <v/>
      </c>
      <c r="BJ198" t="str">
        <f t="shared" si="237"/>
        <v/>
      </c>
      <c r="BM198" t="str">
        <f t="shared" si="245"/>
        <v/>
      </c>
      <c r="BN198" t="str">
        <f t="shared" si="246"/>
        <v/>
      </c>
      <c r="BO198" t="str">
        <f t="shared" ca="1" si="238"/>
        <v/>
      </c>
      <c r="BR198" t="str">
        <f t="shared" si="239"/>
        <v/>
      </c>
      <c r="BS198" t="str">
        <f t="shared" ca="1" si="240"/>
        <v/>
      </c>
      <c r="BT198" t="str">
        <f t="shared" si="247"/>
        <v/>
      </c>
      <c r="BU198" t="str">
        <f t="shared" si="241"/>
        <v/>
      </c>
      <c r="BV198">
        <f t="shared" si="242"/>
        <v>0</v>
      </c>
    </row>
    <row r="199" spans="6:74">
      <c r="F199" s="164">
        <f t="shared" ca="1" si="221"/>
        <v>0</v>
      </c>
      <c r="G199" s="164"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ca="1" si="250">IF(F199="1",A199 &amp; " " &amp; C199,"" )</f>
        <v/>
      </c>
      <c r="Z199" t="str">
        <f t="shared" ref="Z199:Z230" ca="1"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ca="1"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5"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ca="1" si="265">IF(F199="1",SUBSTITUTE(BR199,"'",""),"")</f>
        <v/>
      </c>
      <c r="BT199" t="str">
        <f>IF(N199="","", SUBSTITUTE(BR199,"[:date_yyyy_mm_dd]",  N199))</f>
        <v/>
      </c>
      <c r="BU199" t="str">
        <f t="shared" ref="BU199:BU230" si="266">IF(N199="","",SUBSTITUTE(BS199,"[:date_yyyy_mm_dd]",SUBSTITUTE(N199,"'","")))</f>
        <v/>
      </c>
      <c r="BV199">
        <f t="shared" ref="BV199:BV230" si="267">IF(A198="",0,1)</f>
        <v>0</v>
      </c>
    </row>
    <row r="200" spans="6:74">
      <c r="F200" s="164">
        <f t="shared" ca="1" si="221"/>
        <v>0</v>
      </c>
      <c r="G200" s="164" t="str">
        <f t="array" aca="1" ref="G200" ca="1">IF(TRIM(INDIRECT("Columns!D2"))="","",TRIM(INDIRECT("Columns!D2")))</f>
        <v/>
      </c>
      <c r="S200" t="str">
        <f t="shared" si="248"/>
        <v/>
      </c>
      <c r="V200" t="str">
        <f t="shared" si="249"/>
        <v/>
      </c>
      <c r="Y200" t="str">
        <f t="shared" ca="1" si="250"/>
        <v/>
      </c>
      <c r="Z200" t="str">
        <f t="shared" ca="1"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ca="1" si="259"/>
        <v/>
      </c>
      <c r="BC200" t="str">
        <f t="shared" ref="BC200:BC230" si="268">IF(AZ200="","","COALESCE(" &amp; AZ200 &amp; "," &amp; IF(C200="string","''",0 ) &amp; ") AS " &amp; A200)</f>
        <v/>
      </c>
      <c r="BE200" t="str">
        <f t="shared" si="234"/>
        <v/>
      </c>
      <c r="BF200" t="str">
        <f t="shared" si="260"/>
        <v/>
      </c>
      <c r="BG200" t="str">
        <f t="shared" si="261"/>
        <v/>
      </c>
      <c r="BH200" s="285"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ca="1" si="265"/>
        <v/>
      </c>
      <c r="BT200" t="str">
        <f t="shared" ref="BT200:BT230" si="272">IF(N200="","", SUBSTITUTE(BR200,"[:date_yyyy_mm_dd]", N200))</f>
        <v/>
      </c>
      <c r="BU200" t="str">
        <f t="shared" si="266"/>
        <v/>
      </c>
      <c r="BV200">
        <f t="shared" si="267"/>
        <v>0</v>
      </c>
    </row>
    <row r="201" spans="6:74">
      <c r="F201" s="164">
        <f t="shared" ca="1" si="221"/>
        <v>0</v>
      </c>
      <c r="G201" s="164" t="str">
        <f t="array" aca="1" ref="G201" ca="1">IF(TRIM(INDIRECT("Columns!D2"))="","",TRIM(INDIRECT("Columns!D2")))</f>
        <v/>
      </c>
      <c r="S201" t="str">
        <f t="shared" si="248"/>
        <v/>
      </c>
      <c r="V201" t="str">
        <f t="shared" si="249"/>
        <v/>
      </c>
      <c r="Y201" t="str">
        <f t="shared" ca="1" si="250"/>
        <v/>
      </c>
      <c r="Z201" t="str">
        <f t="shared" ca="1"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ca="1" si="259"/>
        <v/>
      </c>
      <c r="BC201" t="str">
        <f t="shared" si="268"/>
        <v/>
      </c>
      <c r="BE201" t="str">
        <f t="shared" si="234"/>
        <v/>
      </c>
      <c r="BF201" t="str">
        <f t="shared" si="260"/>
        <v/>
      </c>
      <c r="BG201" t="str">
        <f t="shared" si="261"/>
        <v/>
      </c>
      <c r="BH201" s="285" t="str">
        <f t="shared" ca="1" si="269"/>
        <v/>
      </c>
      <c r="BJ201" t="str">
        <f t="shared" si="262"/>
        <v/>
      </c>
      <c r="BM201" t="str">
        <f t="shared" si="270"/>
        <v/>
      </c>
      <c r="BN201" t="str">
        <f t="shared" si="271"/>
        <v/>
      </c>
      <c r="BO201" t="str">
        <f t="shared" ca="1" si="263"/>
        <v/>
      </c>
      <c r="BR201" t="str">
        <f t="shared" si="264"/>
        <v/>
      </c>
      <c r="BS201" t="str">
        <f t="shared" ca="1" si="265"/>
        <v/>
      </c>
      <c r="BT201" t="str">
        <f t="shared" si="272"/>
        <v/>
      </c>
      <c r="BU201" t="str">
        <f t="shared" si="266"/>
        <v/>
      </c>
      <c r="BV201">
        <f t="shared" si="267"/>
        <v>0</v>
      </c>
    </row>
    <row r="202" spans="6:74">
      <c r="F202" s="164">
        <f t="shared" ca="1" si="221"/>
        <v>0</v>
      </c>
      <c r="G202" s="164" t="str">
        <f t="array" aca="1" ref="G202" ca="1">IF(TRIM(INDIRECT("Columns!D2"))="","",TRIM(INDIRECT("Columns!D2")))</f>
        <v/>
      </c>
      <c r="S202" t="str">
        <f t="shared" si="248"/>
        <v/>
      </c>
      <c r="V202" t="str">
        <f t="shared" si="249"/>
        <v/>
      </c>
      <c r="Y202" t="str">
        <f t="shared" ca="1" si="250"/>
        <v/>
      </c>
      <c r="Z202" t="str">
        <f t="shared" ca="1"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ca="1" si="259"/>
        <v/>
      </c>
      <c r="BC202" t="str">
        <f t="shared" si="268"/>
        <v/>
      </c>
      <c r="BE202" t="str">
        <f t="shared" si="234"/>
        <v/>
      </c>
      <c r="BF202" t="str">
        <f t="shared" si="260"/>
        <v/>
      </c>
      <c r="BG202" t="str">
        <f t="shared" si="261"/>
        <v/>
      </c>
      <c r="BH202" s="285" t="str">
        <f t="shared" ca="1" si="269"/>
        <v/>
      </c>
      <c r="BJ202" t="str">
        <f t="shared" si="262"/>
        <v/>
      </c>
      <c r="BM202" t="str">
        <f t="shared" si="270"/>
        <v/>
      </c>
      <c r="BN202" t="str">
        <f t="shared" si="271"/>
        <v/>
      </c>
      <c r="BO202" t="str">
        <f t="shared" ca="1" si="263"/>
        <v/>
      </c>
      <c r="BR202" t="str">
        <f t="shared" si="264"/>
        <v/>
      </c>
      <c r="BS202" t="str">
        <f t="shared" ca="1" si="265"/>
        <v/>
      </c>
      <c r="BT202" t="str">
        <f t="shared" si="272"/>
        <v/>
      </c>
      <c r="BU202" t="str">
        <f t="shared" si="266"/>
        <v/>
      </c>
      <c r="BV202">
        <f t="shared" si="267"/>
        <v>0</v>
      </c>
    </row>
    <row r="203" spans="6:74">
      <c r="F203" s="164">
        <f t="shared" ca="1" si="221"/>
        <v>0</v>
      </c>
      <c r="G203" s="164" t="str">
        <f t="array" aca="1" ref="G203" ca="1">IF(TRIM(INDIRECT("Columns!D2"))="","",TRIM(INDIRECT("Columns!D2")))</f>
        <v/>
      </c>
      <c r="S203" t="str">
        <f t="shared" si="248"/>
        <v/>
      </c>
      <c r="V203" t="str">
        <f t="shared" si="249"/>
        <v/>
      </c>
      <c r="Y203" t="str">
        <f t="shared" ca="1" si="250"/>
        <v/>
      </c>
      <c r="Z203" t="str">
        <f t="shared" ca="1"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ca="1" si="259"/>
        <v/>
      </c>
      <c r="BC203" t="str">
        <f t="shared" si="268"/>
        <v/>
      </c>
      <c r="BF203" t="str">
        <f t="shared" si="260"/>
        <v/>
      </c>
      <c r="BG203" t="str">
        <f t="shared" si="261"/>
        <v/>
      </c>
      <c r="BH203" s="285" t="str">
        <f t="shared" ca="1" si="269"/>
        <v/>
      </c>
      <c r="BJ203" t="str">
        <f t="shared" si="262"/>
        <v/>
      </c>
      <c r="BM203" t="str">
        <f t="shared" si="270"/>
        <v/>
      </c>
      <c r="BN203" t="str">
        <f t="shared" si="271"/>
        <v/>
      </c>
      <c r="BO203" t="str">
        <f t="shared" ca="1" si="263"/>
        <v/>
      </c>
      <c r="BR203" t="str">
        <f t="shared" si="264"/>
        <v/>
      </c>
      <c r="BS203" t="str">
        <f t="shared" ca="1" si="265"/>
        <v/>
      </c>
      <c r="BT203" t="str">
        <f t="shared" si="272"/>
        <v/>
      </c>
      <c r="BU203" t="str">
        <f t="shared" si="266"/>
        <v/>
      </c>
      <c r="BV203">
        <f t="shared" si="267"/>
        <v>0</v>
      </c>
    </row>
    <row r="204" spans="6:74">
      <c r="F204" s="164">
        <f t="shared" ca="1" si="221"/>
        <v>0</v>
      </c>
      <c r="G204" s="164" t="str">
        <f t="array" aca="1" ref="G204" ca="1">IF(TRIM(INDIRECT("Columns!D2"))="","",TRIM(INDIRECT("Columns!D2")))</f>
        <v/>
      </c>
      <c r="S204" t="str">
        <f t="shared" si="248"/>
        <v/>
      </c>
      <c r="V204" t="str">
        <f t="shared" si="249"/>
        <v/>
      </c>
      <c r="Y204" t="str">
        <f t="shared" ca="1" si="250"/>
        <v/>
      </c>
      <c r="Z204" t="str">
        <f t="shared" ca="1"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ca="1" si="259"/>
        <v/>
      </c>
      <c r="BC204" t="str">
        <f t="shared" si="268"/>
        <v/>
      </c>
      <c r="BF204" t="str">
        <f t="shared" si="260"/>
        <v/>
      </c>
      <c r="BG204" t="str">
        <f t="shared" si="261"/>
        <v/>
      </c>
      <c r="BH204" s="285" t="str">
        <f t="shared" ca="1" si="269"/>
        <v/>
      </c>
      <c r="BJ204" t="str">
        <f t="shared" si="262"/>
        <v/>
      </c>
      <c r="BM204" t="str">
        <f t="shared" si="270"/>
        <v/>
      </c>
      <c r="BN204" t="str">
        <f t="shared" si="271"/>
        <v/>
      </c>
      <c r="BO204" t="str">
        <f t="shared" ca="1" si="263"/>
        <v/>
      </c>
      <c r="BR204" t="str">
        <f t="shared" si="264"/>
        <v/>
      </c>
      <c r="BS204" t="str">
        <f t="shared" ca="1" si="265"/>
        <v/>
      </c>
      <c r="BT204" t="str">
        <f t="shared" si="272"/>
        <v/>
      </c>
      <c r="BU204" t="str">
        <f t="shared" si="266"/>
        <v/>
      </c>
      <c r="BV204">
        <f t="shared" si="267"/>
        <v>0</v>
      </c>
    </row>
    <row r="205" spans="6:74">
      <c r="F205" s="164">
        <f t="shared" ca="1" si="221"/>
        <v>0</v>
      </c>
      <c r="G205" s="164" t="str">
        <f t="array" aca="1" ref="G205" ca="1">IF(TRIM(INDIRECT("Columns!D2"))="","",TRIM(INDIRECT("Columns!D2")))</f>
        <v/>
      </c>
      <c r="S205" t="str">
        <f t="shared" si="248"/>
        <v/>
      </c>
      <c r="V205" t="str">
        <f t="shared" si="249"/>
        <v/>
      </c>
      <c r="Y205" t="str">
        <f t="shared" ca="1" si="250"/>
        <v/>
      </c>
      <c r="Z205" t="str">
        <f t="shared" ca="1"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ca="1" si="259"/>
        <v/>
      </c>
      <c r="BC205" t="str">
        <f t="shared" si="268"/>
        <v/>
      </c>
      <c r="BF205" t="str">
        <f t="shared" si="260"/>
        <v/>
      </c>
      <c r="BG205" t="str">
        <f t="shared" si="261"/>
        <v/>
      </c>
      <c r="BH205" s="285" t="str">
        <f t="shared" ca="1" si="269"/>
        <v/>
      </c>
      <c r="BJ205" t="str">
        <f t="shared" si="262"/>
        <v/>
      </c>
      <c r="BM205" t="str">
        <f t="shared" si="270"/>
        <v/>
      </c>
      <c r="BN205" t="str">
        <f t="shared" si="271"/>
        <v/>
      </c>
      <c r="BO205" t="str">
        <f t="shared" ca="1" si="263"/>
        <v/>
      </c>
      <c r="BR205" t="str">
        <f t="shared" si="264"/>
        <v/>
      </c>
      <c r="BS205" t="str">
        <f t="shared" ca="1" si="265"/>
        <v/>
      </c>
      <c r="BT205" t="str">
        <f t="shared" si="272"/>
        <v/>
      </c>
      <c r="BU205" t="str">
        <f t="shared" si="266"/>
        <v/>
      </c>
      <c r="BV205">
        <f t="shared" si="267"/>
        <v>0</v>
      </c>
    </row>
    <row r="206" spans="6:74">
      <c r="F206" s="164">
        <f t="shared" ca="1" si="221"/>
        <v>0</v>
      </c>
      <c r="G206" s="164" t="str">
        <f t="array" aca="1" ref="G206" ca="1">IF(TRIM(INDIRECT("Columns!D2"))="","",TRIM(INDIRECT("Columns!D2")))</f>
        <v/>
      </c>
      <c r="S206" t="str">
        <f t="shared" si="248"/>
        <v/>
      </c>
      <c r="V206" t="str">
        <f t="shared" si="249"/>
        <v/>
      </c>
      <c r="Y206" t="str">
        <f t="shared" ca="1" si="250"/>
        <v/>
      </c>
      <c r="Z206" t="str">
        <f t="shared" ca="1"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ca="1" si="259"/>
        <v/>
      </c>
      <c r="BC206" t="str">
        <f t="shared" si="268"/>
        <v/>
      </c>
      <c r="BF206" t="str">
        <f t="shared" si="260"/>
        <v/>
      </c>
      <c r="BG206" t="str">
        <f t="shared" si="261"/>
        <v/>
      </c>
      <c r="BH206" s="285" t="str">
        <f t="shared" ca="1" si="269"/>
        <v/>
      </c>
      <c r="BJ206" t="str">
        <f t="shared" si="262"/>
        <v/>
      </c>
      <c r="BM206" t="str">
        <f t="shared" si="270"/>
        <v/>
      </c>
      <c r="BN206" t="str">
        <f t="shared" si="271"/>
        <v/>
      </c>
      <c r="BO206" t="str">
        <f t="shared" ca="1" si="263"/>
        <v/>
      </c>
      <c r="BR206" t="str">
        <f t="shared" si="264"/>
        <v/>
      </c>
      <c r="BS206" t="str">
        <f t="shared" ca="1" si="265"/>
        <v/>
      </c>
      <c r="BT206" t="str">
        <f t="shared" si="272"/>
        <v/>
      </c>
      <c r="BU206" t="str">
        <f t="shared" si="266"/>
        <v/>
      </c>
      <c r="BV206">
        <f t="shared" si="267"/>
        <v>0</v>
      </c>
    </row>
    <row r="207" spans="6:74">
      <c r="F207" s="164">
        <f t="shared" ca="1" si="221"/>
        <v>0</v>
      </c>
      <c r="G207" s="164" t="str">
        <f t="array" aca="1" ref="G207" ca="1">IF(TRIM(INDIRECT("Columns!D2"))="","",TRIM(INDIRECT("Columns!D2")))</f>
        <v/>
      </c>
      <c r="S207" t="str">
        <f t="shared" si="248"/>
        <v/>
      </c>
      <c r="V207" t="str">
        <f t="shared" si="249"/>
        <v/>
      </c>
      <c r="Y207" t="str">
        <f t="shared" ca="1" si="250"/>
        <v/>
      </c>
      <c r="Z207" t="str">
        <f t="shared" ca="1"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ca="1" si="259"/>
        <v/>
      </c>
      <c r="BC207" t="str">
        <f t="shared" si="268"/>
        <v/>
      </c>
      <c r="BF207" t="str">
        <f t="shared" si="260"/>
        <v/>
      </c>
      <c r="BG207" t="str">
        <f t="shared" si="261"/>
        <v/>
      </c>
      <c r="BH207" s="285" t="str">
        <f t="shared" ca="1" si="269"/>
        <v/>
      </c>
      <c r="BJ207" t="str">
        <f t="shared" si="262"/>
        <v/>
      </c>
      <c r="BM207" t="str">
        <f t="shared" si="270"/>
        <v/>
      </c>
      <c r="BN207" t="str">
        <f t="shared" si="271"/>
        <v/>
      </c>
      <c r="BO207" t="str">
        <f t="shared" ca="1" si="263"/>
        <v/>
      </c>
      <c r="BR207" t="str">
        <f t="shared" si="264"/>
        <v/>
      </c>
      <c r="BS207" t="str">
        <f t="shared" ca="1" si="265"/>
        <v/>
      </c>
      <c r="BT207" t="str">
        <f t="shared" si="272"/>
        <v/>
      </c>
      <c r="BU207" t="str">
        <f t="shared" si="266"/>
        <v/>
      </c>
      <c r="BV207">
        <f t="shared" si="267"/>
        <v>0</v>
      </c>
    </row>
    <row r="208" spans="6:74">
      <c r="F208" s="164">
        <f t="shared" ca="1" si="221"/>
        <v>0</v>
      </c>
      <c r="G208" s="164" t="str">
        <f t="array" aca="1" ref="G208" ca="1">IF(TRIM(INDIRECT("Columns!D2"))="","",TRIM(INDIRECT("Columns!D2")))</f>
        <v/>
      </c>
      <c r="S208" t="str">
        <f t="shared" si="248"/>
        <v/>
      </c>
      <c r="V208" t="str">
        <f t="shared" si="249"/>
        <v/>
      </c>
      <c r="Y208" t="str">
        <f t="shared" ca="1" si="250"/>
        <v/>
      </c>
      <c r="Z208" t="str">
        <f t="shared" ca="1"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ca="1" si="259"/>
        <v/>
      </c>
      <c r="BC208" t="str">
        <f t="shared" si="268"/>
        <v/>
      </c>
      <c r="BF208" t="str">
        <f t="shared" si="260"/>
        <v/>
      </c>
      <c r="BG208" t="str">
        <f t="shared" si="261"/>
        <v/>
      </c>
      <c r="BH208" s="285" t="str">
        <f t="shared" ca="1" si="269"/>
        <v/>
      </c>
      <c r="BJ208" t="str">
        <f t="shared" si="262"/>
        <v/>
      </c>
      <c r="BM208" t="str">
        <f t="shared" si="270"/>
        <v/>
      </c>
      <c r="BN208" t="str">
        <f t="shared" si="271"/>
        <v/>
      </c>
      <c r="BO208" t="str">
        <f t="shared" ca="1" si="263"/>
        <v/>
      </c>
      <c r="BR208" t="str">
        <f t="shared" si="264"/>
        <v/>
      </c>
      <c r="BS208" t="str">
        <f t="shared" ca="1" si="265"/>
        <v/>
      </c>
      <c r="BT208" t="str">
        <f t="shared" si="272"/>
        <v/>
      </c>
      <c r="BU208" t="str">
        <f t="shared" si="266"/>
        <v/>
      </c>
      <c r="BV208">
        <f t="shared" si="267"/>
        <v>0</v>
      </c>
    </row>
    <row r="209" spans="6:74">
      <c r="F209" s="164">
        <f t="shared" ca="1" si="221"/>
        <v>0</v>
      </c>
      <c r="G209" s="164" t="str">
        <f t="array" aca="1" ref="G209" ca="1">IF(TRIM(INDIRECT("Columns!D2"))="","",TRIM(INDIRECT("Columns!D2")))</f>
        <v/>
      </c>
      <c r="S209" t="str">
        <f t="shared" si="248"/>
        <v/>
      </c>
      <c r="V209" t="str">
        <f t="shared" si="249"/>
        <v/>
      </c>
      <c r="Y209" t="str">
        <f t="shared" ca="1" si="250"/>
        <v/>
      </c>
      <c r="Z209" t="str">
        <f t="shared" ca="1"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ca="1" si="259"/>
        <v/>
      </c>
      <c r="BC209" t="str">
        <f t="shared" si="268"/>
        <v/>
      </c>
      <c r="BF209" t="str">
        <f t="shared" si="260"/>
        <v/>
      </c>
      <c r="BG209" t="str">
        <f t="shared" si="261"/>
        <v/>
      </c>
      <c r="BH209" s="285" t="str">
        <f t="shared" ca="1" si="269"/>
        <v/>
      </c>
      <c r="BJ209" t="str">
        <f t="shared" si="262"/>
        <v/>
      </c>
      <c r="BM209" t="str">
        <f t="shared" si="270"/>
        <v/>
      </c>
      <c r="BN209" t="str">
        <f t="shared" si="271"/>
        <v/>
      </c>
      <c r="BO209" t="str">
        <f t="shared" ca="1" si="263"/>
        <v/>
      </c>
      <c r="BR209" t="str">
        <f t="shared" si="264"/>
        <v/>
      </c>
      <c r="BS209" t="str">
        <f t="shared" ca="1" si="265"/>
        <v/>
      </c>
      <c r="BT209" t="str">
        <f t="shared" si="272"/>
        <v/>
      </c>
      <c r="BU209" t="str">
        <f t="shared" si="266"/>
        <v/>
      </c>
      <c r="BV209">
        <f t="shared" si="267"/>
        <v>0</v>
      </c>
    </row>
    <row r="210" spans="6:74">
      <c r="F210" s="164">
        <f t="shared" ca="1" si="221"/>
        <v>0</v>
      </c>
      <c r="G210" s="164" t="str">
        <f t="array" aca="1" ref="G210" ca="1">IF(TRIM(INDIRECT("Columns!D2"))="","",TRIM(INDIRECT("Columns!D2")))</f>
        <v/>
      </c>
      <c r="S210" t="str">
        <f t="shared" si="248"/>
        <v/>
      </c>
      <c r="V210" t="str">
        <f t="shared" si="249"/>
        <v/>
      </c>
      <c r="Y210" t="str">
        <f t="shared" ca="1" si="250"/>
        <v/>
      </c>
      <c r="Z210" t="str">
        <f t="shared" ca="1"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ca="1" si="259"/>
        <v/>
      </c>
      <c r="BC210" t="str">
        <f t="shared" si="268"/>
        <v/>
      </c>
      <c r="BF210" t="str">
        <f t="shared" si="260"/>
        <v/>
      </c>
      <c r="BG210" t="str">
        <f t="shared" si="261"/>
        <v/>
      </c>
      <c r="BH210" s="285" t="str">
        <f t="shared" ca="1" si="269"/>
        <v/>
      </c>
      <c r="BJ210" t="str">
        <f t="shared" si="262"/>
        <v/>
      </c>
      <c r="BM210" t="str">
        <f t="shared" si="270"/>
        <v/>
      </c>
      <c r="BN210" t="str">
        <f t="shared" si="271"/>
        <v/>
      </c>
      <c r="BO210" t="str">
        <f t="shared" ca="1" si="263"/>
        <v/>
      </c>
      <c r="BR210" t="str">
        <f t="shared" si="264"/>
        <v/>
      </c>
      <c r="BS210" t="str">
        <f t="shared" ca="1" si="265"/>
        <v/>
      </c>
      <c r="BT210" t="str">
        <f t="shared" si="272"/>
        <v/>
      </c>
      <c r="BU210" t="str">
        <f t="shared" si="266"/>
        <v/>
      </c>
      <c r="BV210">
        <f t="shared" si="267"/>
        <v>0</v>
      </c>
    </row>
    <row r="211" spans="6:74">
      <c r="F211" s="164">
        <f t="shared" ca="1" si="221"/>
        <v>0</v>
      </c>
      <c r="G211" s="164" t="str">
        <f t="array" aca="1" ref="G211" ca="1">IF(TRIM(INDIRECT("Columns!D2"))="","",TRIM(INDIRECT("Columns!D2")))</f>
        <v/>
      </c>
      <c r="S211" t="str">
        <f t="shared" si="248"/>
        <v/>
      </c>
      <c r="V211" t="str">
        <f t="shared" si="249"/>
        <v/>
      </c>
      <c r="Y211" t="str">
        <f t="shared" ca="1" si="250"/>
        <v/>
      </c>
      <c r="Z211" t="str">
        <f t="shared" ca="1"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ca="1" si="259"/>
        <v/>
      </c>
      <c r="BC211" t="str">
        <f t="shared" si="268"/>
        <v/>
      </c>
      <c r="BF211" t="str">
        <f t="shared" si="260"/>
        <v/>
      </c>
      <c r="BG211" t="str">
        <f t="shared" si="261"/>
        <v/>
      </c>
      <c r="BH211" s="285" t="str">
        <f t="shared" ca="1" si="269"/>
        <v/>
      </c>
      <c r="BJ211" t="str">
        <f t="shared" si="262"/>
        <v/>
      </c>
      <c r="BM211" t="str">
        <f t="shared" si="270"/>
        <v/>
      </c>
      <c r="BN211" t="str">
        <f t="shared" si="271"/>
        <v/>
      </c>
      <c r="BO211" t="str">
        <f t="shared" ca="1" si="263"/>
        <v/>
      </c>
      <c r="BR211" t="str">
        <f t="shared" si="264"/>
        <v/>
      </c>
      <c r="BS211" t="str">
        <f t="shared" ca="1" si="265"/>
        <v/>
      </c>
      <c r="BT211" t="str">
        <f t="shared" si="272"/>
        <v/>
      </c>
      <c r="BU211" t="str">
        <f t="shared" si="266"/>
        <v/>
      </c>
      <c r="BV211">
        <f t="shared" si="267"/>
        <v>0</v>
      </c>
    </row>
    <row r="212" spans="6:74">
      <c r="F212" s="164">
        <f t="shared" ca="1" si="221"/>
        <v>0</v>
      </c>
      <c r="G212" s="164" t="str">
        <f t="array" aca="1" ref="G212" ca="1">IF(TRIM(INDIRECT("Columns!D2"))="","",TRIM(INDIRECT("Columns!D2")))</f>
        <v/>
      </c>
      <c r="S212" t="str">
        <f t="shared" si="248"/>
        <v/>
      </c>
      <c r="V212" t="str">
        <f t="shared" si="249"/>
        <v/>
      </c>
      <c r="Y212" t="str">
        <f t="shared" ca="1" si="250"/>
        <v/>
      </c>
      <c r="Z212" t="str">
        <f t="shared" ca="1"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ca="1" si="259"/>
        <v/>
      </c>
      <c r="BC212" t="str">
        <f t="shared" si="268"/>
        <v/>
      </c>
      <c r="BF212" t="str">
        <f t="shared" si="260"/>
        <v/>
      </c>
      <c r="BG212" t="str">
        <f t="shared" si="261"/>
        <v/>
      </c>
      <c r="BH212" s="285" t="str">
        <f t="shared" ca="1" si="269"/>
        <v/>
      </c>
      <c r="BJ212" t="str">
        <f t="shared" si="262"/>
        <v/>
      </c>
      <c r="BM212" t="str">
        <f t="shared" si="270"/>
        <v/>
      </c>
      <c r="BN212" t="str">
        <f t="shared" si="271"/>
        <v/>
      </c>
      <c r="BO212" t="str">
        <f t="shared" ca="1" si="263"/>
        <v/>
      </c>
      <c r="BR212" t="str">
        <f t="shared" si="264"/>
        <v/>
      </c>
      <c r="BS212" t="str">
        <f t="shared" ca="1" si="265"/>
        <v/>
      </c>
      <c r="BT212" t="str">
        <f t="shared" si="272"/>
        <v/>
      </c>
      <c r="BU212" t="str">
        <f t="shared" si="266"/>
        <v/>
      </c>
      <c r="BV212">
        <f t="shared" si="267"/>
        <v>0</v>
      </c>
    </row>
    <row r="213" spans="6:74">
      <c r="F213" s="164">
        <f t="shared" ca="1" si="221"/>
        <v>0</v>
      </c>
      <c r="G213" s="164" t="str">
        <f t="array" aca="1" ref="G213" ca="1">IF(TRIM(INDIRECT("Columns!D2"))="","",TRIM(INDIRECT("Columns!D2")))</f>
        <v/>
      </c>
      <c r="S213" t="str">
        <f t="shared" si="248"/>
        <v/>
      </c>
      <c r="V213" t="str">
        <f t="shared" si="249"/>
        <v/>
      </c>
      <c r="Y213" t="str">
        <f t="shared" ca="1" si="250"/>
        <v/>
      </c>
      <c r="Z213" t="str">
        <f t="shared" ca="1"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ca="1" si="259"/>
        <v/>
      </c>
      <c r="BC213" t="str">
        <f t="shared" si="268"/>
        <v/>
      </c>
      <c r="BF213" t="str">
        <f t="shared" si="260"/>
        <v/>
      </c>
      <c r="BG213" t="str">
        <f t="shared" si="261"/>
        <v/>
      </c>
      <c r="BH213" s="285" t="str">
        <f t="shared" ca="1" si="269"/>
        <v/>
      </c>
      <c r="BJ213" t="str">
        <f t="shared" si="262"/>
        <v/>
      </c>
      <c r="BM213" t="str">
        <f t="shared" si="270"/>
        <v/>
      </c>
      <c r="BN213" t="str">
        <f t="shared" si="271"/>
        <v/>
      </c>
      <c r="BO213" t="str">
        <f t="shared" ca="1" si="263"/>
        <v/>
      </c>
      <c r="BR213" t="str">
        <f t="shared" si="264"/>
        <v/>
      </c>
      <c r="BS213" t="str">
        <f t="shared" ca="1" si="265"/>
        <v/>
      </c>
      <c r="BT213" t="str">
        <f t="shared" si="272"/>
        <v/>
      </c>
      <c r="BU213" t="str">
        <f t="shared" si="266"/>
        <v/>
      </c>
      <c r="BV213">
        <f t="shared" si="267"/>
        <v>0</v>
      </c>
    </row>
    <row r="214" spans="6:74">
      <c r="F214" s="164">
        <f t="shared" ca="1" si="221"/>
        <v>0</v>
      </c>
      <c r="G214" s="164" t="str">
        <f t="array" aca="1" ref="G214" ca="1">IF(TRIM(INDIRECT("Columns!D2"))="","",TRIM(INDIRECT("Columns!D2")))</f>
        <v/>
      </c>
      <c r="S214" t="str">
        <f t="shared" si="248"/>
        <v/>
      </c>
      <c r="V214" t="str">
        <f t="shared" si="249"/>
        <v/>
      </c>
      <c r="Y214" t="str">
        <f t="shared" ca="1" si="250"/>
        <v/>
      </c>
      <c r="Z214" t="str">
        <f t="shared" ca="1"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ca="1" si="259"/>
        <v/>
      </c>
      <c r="BC214" t="str">
        <f t="shared" si="268"/>
        <v/>
      </c>
      <c r="BF214" t="str">
        <f t="shared" si="260"/>
        <v/>
      </c>
      <c r="BG214" t="str">
        <f t="shared" si="261"/>
        <v/>
      </c>
      <c r="BH214" s="285" t="str">
        <f t="shared" ca="1" si="269"/>
        <v/>
      </c>
      <c r="BJ214" t="str">
        <f t="shared" si="262"/>
        <v/>
      </c>
      <c r="BM214" t="str">
        <f t="shared" si="270"/>
        <v/>
      </c>
      <c r="BN214" t="str">
        <f t="shared" si="271"/>
        <v/>
      </c>
      <c r="BO214" t="str">
        <f t="shared" ca="1" si="263"/>
        <v/>
      </c>
      <c r="BR214" t="str">
        <f t="shared" si="264"/>
        <v/>
      </c>
      <c r="BS214" t="str">
        <f t="shared" ca="1" si="265"/>
        <v/>
      </c>
      <c r="BT214" t="str">
        <f t="shared" si="272"/>
        <v/>
      </c>
      <c r="BU214" t="str">
        <f t="shared" si="266"/>
        <v/>
      </c>
      <c r="BV214">
        <f t="shared" si="267"/>
        <v>0</v>
      </c>
    </row>
    <row r="215" spans="6:74">
      <c r="F215" s="164">
        <f t="shared" ca="1" si="221"/>
        <v>0</v>
      </c>
      <c r="G215" s="164" t="str">
        <f t="array" aca="1" ref="G215" ca="1">IF(TRIM(INDIRECT("Columns!D2"))="","",TRIM(INDIRECT("Columns!D2")))</f>
        <v/>
      </c>
      <c r="S215" t="str">
        <f t="shared" si="248"/>
        <v/>
      </c>
      <c r="V215" t="str">
        <f t="shared" si="249"/>
        <v/>
      </c>
      <c r="Y215" t="str">
        <f t="shared" ca="1" si="250"/>
        <v/>
      </c>
      <c r="Z215" t="str">
        <f t="shared" ca="1"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ca="1" si="259"/>
        <v/>
      </c>
      <c r="BC215" t="str">
        <f t="shared" si="268"/>
        <v/>
      </c>
      <c r="BF215" t="str">
        <f t="shared" si="260"/>
        <v/>
      </c>
      <c r="BG215" t="str">
        <f t="shared" si="261"/>
        <v/>
      </c>
      <c r="BH215" s="285" t="str">
        <f t="shared" ca="1" si="269"/>
        <v/>
      </c>
      <c r="BJ215" t="str">
        <f t="shared" si="262"/>
        <v/>
      </c>
      <c r="BM215" t="str">
        <f t="shared" si="270"/>
        <v/>
      </c>
      <c r="BN215" t="str">
        <f t="shared" si="271"/>
        <v/>
      </c>
      <c r="BO215" t="str">
        <f t="shared" ca="1" si="263"/>
        <v/>
      </c>
      <c r="BR215" t="str">
        <f t="shared" si="264"/>
        <v/>
      </c>
      <c r="BS215" t="str">
        <f t="shared" ca="1" si="265"/>
        <v/>
      </c>
      <c r="BT215" t="str">
        <f t="shared" si="272"/>
        <v/>
      </c>
      <c r="BU215" t="str">
        <f t="shared" si="266"/>
        <v/>
      </c>
      <c r="BV215">
        <f t="shared" si="267"/>
        <v>0</v>
      </c>
    </row>
    <row r="216" spans="6:74">
      <c r="F216" s="164">
        <f t="shared" ca="1" si="221"/>
        <v>0</v>
      </c>
      <c r="G216" s="164" t="str">
        <f t="array" aca="1" ref="G216" ca="1">IF(TRIM(INDIRECT("Columns!D2"))="","",TRIM(INDIRECT("Columns!D2")))</f>
        <v/>
      </c>
      <c r="S216" t="str">
        <f t="shared" si="248"/>
        <v/>
      </c>
      <c r="V216" t="str">
        <f t="shared" si="249"/>
        <v/>
      </c>
      <c r="Y216" t="str">
        <f t="shared" ca="1" si="250"/>
        <v/>
      </c>
      <c r="Z216" t="str">
        <f t="shared" ca="1"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ca="1" si="259"/>
        <v/>
      </c>
      <c r="BC216" t="str">
        <f t="shared" si="268"/>
        <v/>
      </c>
      <c r="BF216" t="str">
        <f t="shared" si="260"/>
        <v/>
      </c>
      <c r="BG216" t="str">
        <f t="shared" si="261"/>
        <v/>
      </c>
      <c r="BH216" s="285" t="str">
        <f t="shared" ca="1" si="269"/>
        <v/>
      </c>
      <c r="BJ216" t="str">
        <f t="shared" si="262"/>
        <v/>
      </c>
      <c r="BM216" t="str">
        <f t="shared" si="270"/>
        <v/>
      </c>
      <c r="BN216" t="str">
        <f t="shared" si="271"/>
        <v/>
      </c>
      <c r="BO216" t="str">
        <f t="shared" ca="1" si="263"/>
        <v/>
      </c>
      <c r="BR216" t="str">
        <f t="shared" si="264"/>
        <v/>
      </c>
      <c r="BS216" t="str">
        <f t="shared" ca="1" si="265"/>
        <v/>
      </c>
      <c r="BT216" t="str">
        <f t="shared" si="272"/>
        <v/>
      </c>
      <c r="BU216" t="str">
        <f t="shared" si="266"/>
        <v/>
      </c>
      <c r="BV216">
        <f t="shared" si="267"/>
        <v>0</v>
      </c>
    </row>
    <row r="217" spans="6:74">
      <c r="F217" s="164">
        <f t="shared" ca="1" si="221"/>
        <v>0</v>
      </c>
      <c r="G217" s="164" t="str">
        <f t="array" aca="1" ref="G217" ca="1">IF(TRIM(INDIRECT("Columns!D2"))="","",TRIM(INDIRECT("Columns!D2")))</f>
        <v/>
      </c>
      <c r="S217" t="str">
        <f t="shared" si="248"/>
        <v/>
      </c>
      <c r="V217" t="str">
        <f t="shared" si="249"/>
        <v/>
      </c>
      <c r="Y217" t="str">
        <f t="shared" ca="1" si="250"/>
        <v/>
      </c>
      <c r="Z217" t="str">
        <f t="shared" ca="1"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ca="1" si="259"/>
        <v/>
      </c>
      <c r="BC217" t="str">
        <f t="shared" si="268"/>
        <v/>
      </c>
      <c r="BF217" t="str">
        <f t="shared" si="260"/>
        <v/>
      </c>
      <c r="BG217" t="str">
        <f t="shared" si="261"/>
        <v/>
      </c>
      <c r="BH217" s="285" t="str">
        <f t="shared" ca="1" si="269"/>
        <v/>
      </c>
      <c r="BJ217" t="str">
        <f t="shared" si="262"/>
        <v/>
      </c>
      <c r="BM217" t="str">
        <f t="shared" si="270"/>
        <v/>
      </c>
      <c r="BN217" t="str">
        <f t="shared" si="271"/>
        <v/>
      </c>
      <c r="BO217" t="str">
        <f t="shared" ca="1" si="263"/>
        <v/>
      </c>
      <c r="BR217" t="str">
        <f t="shared" si="264"/>
        <v/>
      </c>
      <c r="BS217" t="str">
        <f t="shared" ca="1" si="265"/>
        <v/>
      </c>
      <c r="BT217" t="str">
        <f t="shared" si="272"/>
        <v/>
      </c>
      <c r="BU217" t="str">
        <f t="shared" si="266"/>
        <v/>
      </c>
      <c r="BV217">
        <f t="shared" si="267"/>
        <v>0</v>
      </c>
    </row>
    <row r="218" spans="6:74">
      <c r="F218" s="164">
        <f t="shared" ref="F218:F281" ca="1" si="273">IF(F67="1",VALUE(F67),0)</f>
        <v>0</v>
      </c>
      <c r="G218" s="164" t="str">
        <f t="array" aca="1" ref="G218" ca="1">IF(TRIM(INDIRECT("Columns!D2"))="","",TRIM(INDIRECT("Columns!D2")))</f>
        <v/>
      </c>
      <c r="S218" t="str">
        <f t="shared" si="248"/>
        <v/>
      </c>
      <c r="V218" t="str">
        <f t="shared" si="249"/>
        <v/>
      </c>
      <c r="Y218" t="str">
        <f t="shared" ca="1" si="250"/>
        <v/>
      </c>
      <c r="Z218" t="str">
        <f t="shared" ca="1"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ca="1" si="259"/>
        <v/>
      </c>
      <c r="BC218" t="str">
        <f t="shared" si="268"/>
        <v/>
      </c>
      <c r="BF218" t="str">
        <f t="shared" si="260"/>
        <v/>
      </c>
      <c r="BG218" t="str">
        <f t="shared" si="261"/>
        <v/>
      </c>
      <c r="BH218" s="285" t="str">
        <f t="shared" ca="1" si="269"/>
        <v/>
      </c>
      <c r="BJ218" t="str">
        <f t="shared" si="262"/>
        <v/>
      </c>
      <c r="BM218" t="str">
        <f t="shared" si="270"/>
        <v/>
      </c>
      <c r="BN218" t="str">
        <f t="shared" si="271"/>
        <v/>
      </c>
      <c r="BO218" t="str">
        <f t="shared" ca="1" si="263"/>
        <v/>
      </c>
      <c r="BR218" t="str">
        <f t="shared" si="264"/>
        <v/>
      </c>
      <c r="BS218" t="str">
        <f t="shared" ca="1" si="265"/>
        <v/>
      </c>
      <c r="BT218" t="str">
        <f t="shared" si="272"/>
        <v/>
      </c>
      <c r="BU218" t="str">
        <f t="shared" si="266"/>
        <v/>
      </c>
      <c r="BV218">
        <f t="shared" si="267"/>
        <v>0</v>
      </c>
    </row>
    <row r="219" spans="6:74">
      <c r="F219" s="164">
        <f t="shared" ca="1" si="273"/>
        <v>0</v>
      </c>
      <c r="G219" s="164" t="str">
        <f t="array" aca="1" ref="G219" ca="1">IF(TRIM(INDIRECT("Columns!D2"))="","",TRIM(INDIRECT("Columns!D2")))</f>
        <v/>
      </c>
      <c r="S219" t="str">
        <f t="shared" si="248"/>
        <v/>
      </c>
      <c r="V219" t="str">
        <f t="shared" si="249"/>
        <v/>
      </c>
      <c r="Y219" t="str">
        <f t="shared" ca="1" si="250"/>
        <v/>
      </c>
      <c r="Z219" t="str">
        <f t="shared" ca="1"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ca="1" si="259"/>
        <v/>
      </c>
      <c r="BC219" t="str">
        <f t="shared" si="268"/>
        <v/>
      </c>
      <c r="BF219" t="str">
        <f t="shared" si="260"/>
        <v/>
      </c>
      <c r="BG219" t="str">
        <f t="shared" si="261"/>
        <v/>
      </c>
      <c r="BH219" s="285" t="str">
        <f t="shared" ca="1" si="269"/>
        <v/>
      </c>
      <c r="BJ219" t="str">
        <f t="shared" si="262"/>
        <v/>
      </c>
      <c r="BM219" t="str">
        <f t="shared" si="270"/>
        <v/>
      </c>
      <c r="BN219" t="str">
        <f t="shared" si="271"/>
        <v/>
      </c>
      <c r="BO219" t="str">
        <f t="shared" ca="1" si="263"/>
        <v/>
      </c>
      <c r="BR219" t="str">
        <f t="shared" si="264"/>
        <v/>
      </c>
      <c r="BS219" t="str">
        <f t="shared" ca="1" si="265"/>
        <v/>
      </c>
      <c r="BT219" t="str">
        <f t="shared" si="272"/>
        <v/>
      </c>
      <c r="BU219" t="str">
        <f t="shared" si="266"/>
        <v/>
      </c>
      <c r="BV219">
        <f t="shared" si="267"/>
        <v>0</v>
      </c>
    </row>
    <row r="220" spans="6:74">
      <c r="F220" s="164">
        <f t="shared" ca="1" si="273"/>
        <v>0</v>
      </c>
      <c r="G220" s="164" t="str">
        <f t="array" aca="1" ref="G220" ca="1">IF(TRIM(INDIRECT("Columns!D2"))="","",TRIM(INDIRECT("Columns!D2")))</f>
        <v/>
      </c>
      <c r="S220" t="str">
        <f t="shared" si="248"/>
        <v/>
      </c>
      <c r="V220" t="str">
        <f t="shared" si="249"/>
        <v/>
      </c>
      <c r="Y220" t="str">
        <f t="shared" ca="1" si="250"/>
        <v/>
      </c>
      <c r="Z220" t="str">
        <f t="shared" ca="1"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ca="1" si="259"/>
        <v/>
      </c>
      <c r="BC220" t="str">
        <f t="shared" si="268"/>
        <v/>
      </c>
      <c r="BF220" t="str">
        <f t="shared" si="260"/>
        <v/>
      </c>
      <c r="BG220" t="str">
        <f t="shared" si="261"/>
        <v/>
      </c>
      <c r="BH220" s="285" t="str">
        <f t="shared" ca="1" si="269"/>
        <v/>
      </c>
      <c r="BJ220" t="str">
        <f t="shared" si="262"/>
        <v/>
      </c>
      <c r="BM220" t="str">
        <f t="shared" si="270"/>
        <v/>
      </c>
      <c r="BN220" t="str">
        <f t="shared" si="271"/>
        <v/>
      </c>
      <c r="BO220" t="str">
        <f t="shared" ca="1" si="263"/>
        <v/>
      </c>
      <c r="BR220" t="str">
        <f t="shared" si="264"/>
        <v/>
      </c>
      <c r="BS220" t="str">
        <f t="shared" ca="1" si="265"/>
        <v/>
      </c>
      <c r="BT220" t="str">
        <f t="shared" si="272"/>
        <v/>
      </c>
      <c r="BU220" t="str">
        <f t="shared" si="266"/>
        <v/>
      </c>
      <c r="BV220">
        <f t="shared" si="267"/>
        <v>0</v>
      </c>
    </row>
    <row r="221" spans="6:74">
      <c r="F221" s="164">
        <f t="shared" ca="1" si="273"/>
        <v>0</v>
      </c>
      <c r="G221" s="164" t="str">
        <f t="array" aca="1" ref="G221" ca="1">IF(TRIM(INDIRECT("Columns!D2"))="","",TRIM(INDIRECT("Columns!D2")))</f>
        <v/>
      </c>
      <c r="S221" t="str">
        <f t="shared" si="248"/>
        <v/>
      </c>
      <c r="V221" t="str">
        <f t="shared" si="249"/>
        <v/>
      </c>
      <c r="Y221" t="str">
        <f t="shared" ca="1" si="250"/>
        <v/>
      </c>
      <c r="Z221" t="str">
        <f t="shared" ca="1"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ca="1" si="259"/>
        <v/>
      </c>
      <c r="BC221" t="str">
        <f t="shared" si="268"/>
        <v/>
      </c>
      <c r="BF221" t="str">
        <f t="shared" si="260"/>
        <v/>
      </c>
      <c r="BG221" t="str">
        <f t="shared" si="261"/>
        <v/>
      </c>
      <c r="BH221" s="285" t="str">
        <f t="shared" ca="1" si="269"/>
        <v/>
      </c>
      <c r="BJ221" t="str">
        <f t="shared" si="262"/>
        <v/>
      </c>
      <c r="BM221" t="str">
        <f t="shared" si="270"/>
        <v/>
      </c>
      <c r="BN221" t="str">
        <f t="shared" si="271"/>
        <v/>
      </c>
      <c r="BO221" t="str">
        <f t="shared" ca="1" si="263"/>
        <v/>
      </c>
      <c r="BR221" t="str">
        <f t="shared" si="264"/>
        <v/>
      </c>
      <c r="BS221" t="str">
        <f t="shared" ca="1" si="265"/>
        <v/>
      </c>
      <c r="BT221" t="str">
        <f t="shared" si="272"/>
        <v/>
      </c>
      <c r="BU221" t="str">
        <f t="shared" si="266"/>
        <v/>
      </c>
      <c r="BV221">
        <f t="shared" si="267"/>
        <v>0</v>
      </c>
    </row>
    <row r="222" spans="6:74">
      <c r="F222" s="164">
        <f t="shared" ca="1" si="273"/>
        <v>0</v>
      </c>
      <c r="G222" s="164" t="str">
        <f t="array" aca="1" ref="G222" ca="1">IF(TRIM(INDIRECT("Columns!D2"))="","",TRIM(INDIRECT("Columns!D2")))</f>
        <v/>
      </c>
      <c r="S222" t="str">
        <f t="shared" si="248"/>
        <v/>
      </c>
      <c r="V222" t="str">
        <f t="shared" si="249"/>
        <v/>
      </c>
      <c r="Y222" t="str">
        <f t="shared" ca="1" si="250"/>
        <v/>
      </c>
      <c r="Z222" t="str">
        <f t="shared" ca="1"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ca="1" si="259"/>
        <v/>
      </c>
      <c r="BC222" t="str">
        <f t="shared" si="268"/>
        <v/>
      </c>
      <c r="BF222" t="str">
        <f t="shared" si="260"/>
        <v/>
      </c>
      <c r="BG222" t="str">
        <f t="shared" si="261"/>
        <v/>
      </c>
      <c r="BH222" s="285" t="str">
        <f t="shared" ca="1" si="269"/>
        <v/>
      </c>
      <c r="BJ222" t="str">
        <f t="shared" si="262"/>
        <v/>
      </c>
      <c r="BM222" t="str">
        <f t="shared" si="270"/>
        <v/>
      </c>
      <c r="BN222" t="str">
        <f t="shared" si="271"/>
        <v/>
      </c>
      <c r="BO222" t="str">
        <f t="shared" ca="1" si="263"/>
        <v/>
      </c>
      <c r="BR222" t="str">
        <f t="shared" si="264"/>
        <v/>
      </c>
      <c r="BS222" t="str">
        <f t="shared" ca="1" si="265"/>
        <v/>
      </c>
      <c r="BT222" t="str">
        <f t="shared" si="272"/>
        <v/>
      </c>
      <c r="BU222" t="str">
        <f t="shared" si="266"/>
        <v/>
      </c>
      <c r="BV222">
        <f t="shared" si="267"/>
        <v>0</v>
      </c>
    </row>
    <row r="223" spans="6:74">
      <c r="F223" s="164">
        <f t="shared" ca="1" si="273"/>
        <v>0</v>
      </c>
      <c r="G223" s="164" t="str">
        <f t="array" aca="1" ref="G223" ca="1">IF(TRIM(INDIRECT("Columns!D2"))="","",TRIM(INDIRECT("Columns!D2")))</f>
        <v/>
      </c>
      <c r="S223" t="str">
        <f t="shared" si="248"/>
        <v/>
      </c>
      <c r="V223" t="str">
        <f t="shared" si="249"/>
        <v/>
      </c>
      <c r="Y223" t="str">
        <f t="shared" ca="1" si="250"/>
        <v/>
      </c>
      <c r="Z223" t="str">
        <f t="shared" ca="1"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ca="1" si="259"/>
        <v/>
      </c>
      <c r="BC223" t="str">
        <f t="shared" si="268"/>
        <v/>
      </c>
      <c r="BF223" t="str">
        <f t="shared" si="260"/>
        <v/>
      </c>
      <c r="BG223" t="str">
        <f t="shared" si="261"/>
        <v/>
      </c>
      <c r="BH223" s="285" t="str">
        <f t="shared" ca="1" si="269"/>
        <v/>
      </c>
      <c r="BJ223" t="str">
        <f t="shared" si="262"/>
        <v/>
      </c>
      <c r="BM223" t="str">
        <f t="shared" si="270"/>
        <v/>
      </c>
      <c r="BN223" t="str">
        <f t="shared" si="271"/>
        <v/>
      </c>
      <c r="BO223" t="str">
        <f t="shared" ca="1" si="263"/>
        <v/>
      </c>
      <c r="BR223" t="str">
        <f t="shared" si="264"/>
        <v/>
      </c>
      <c r="BS223" t="str">
        <f t="shared" ca="1" si="265"/>
        <v/>
      </c>
      <c r="BT223" t="str">
        <f t="shared" si="272"/>
        <v/>
      </c>
      <c r="BU223" t="str">
        <f t="shared" si="266"/>
        <v/>
      </c>
      <c r="BV223">
        <f t="shared" si="267"/>
        <v>0</v>
      </c>
    </row>
    <row r="224" spans="6:74">
      <c r="F224" s="164">
        <f t="shared" ca="1" si="273"/>
        <v>0</v>
      </c>
      <c r="G224" s="164" t="str">
        <f t="array" aca="1" ref="G224" ca="1">IF(TRIM(INDIRECT("Columns!D2"))="","",TRIM(INDIRECT("Columns!D2")))</f>
        <v/>
      </c>
      <c r="S224" t="str">
        <f t="shared" si="248"/>
        <v/>
      </c>
      <c r="V224" t="str">
        <f t="shared" si="249"/>
        <v/>
      </c>
      <c r="Y224" t="str">
        <f t="shared" ca="1" si="250"/>
        <v/>
      </c>
      <c r="Z224" t="str">
        <f t="shared" ca="1"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ca="1" si="259"/>
        <v/>
      </c>
      <c r="BC224" t="str">
        <f t="shared" si="268"/>
        <v/>
      </c>
      <c r="BF224" t="str">
        <f t="shared" si="260"/>
        <v/>
      </c>
      <c r="BG224" t="str">
        <f t="shared" si="261"/>
        <v/>
      </c>
      <c r="BH224" s="285" t="str">
        <f t="shared" ca="1" si="269"/>
        <v/>
      </c>
      <c r="BJ224" t="str">
        <f t="shared" si="262"/>
        <v/>
      </c>
      <c r="BM224" t="str">
        <f t="shared" si="270"/>
        <v/>
      </c>
      <c r="BN224" t="str">
        <f t="shared" si="271"/>
        <v/>
      </c>
      <c r="BO224" t="str">
        <f t="shared" ca="1" si="263"/>
        <v/>
      </c>
      <c r="BR224" t="str">
        <f t="shared" si="264"/>
        <v/>
      </c>
      <c r="BS224" t="str">
        <f t="shared" ca="1" si="265"/>
        <v/>
      </c>
      <c r="BT224" t="str">
        <f t="shared" si="272"/>
        <v/>
      </c>
      <c r="BU224" t="str">
        <f t="shared" si="266"/>
        <v/>
      </c>
      <c r="BV224">
        <f t="shared" si="267"/>
        <v>0</v>
      </c>
    </row>
    <row r="225" spans="6:74">
      <c r="F225" s="164">
        <f t="shared" ca="1" si="273"/>
        <v>0</v>
      </c>
      <c r="G225" s="164" t="str">
        <f t="array" aca="1" ref="G225" ca="1">IF(TRIM(INDIRECT("Columns!D2"))="","",TRIM(INDIRECT("Columns!D2")))</f>
        <v/>
      </c>
      <c r="S225" t="str">
        <f t="shared" si="248"/>
        <v/>
      </c>
      <c r="V225" t="str">
        <f t="shared" si="249"/>
        <v/>
      </c>
      <c r="Y225" t="str">
        <f t="shared" ca="1" si="250"/>
        <v/>
      </c>
      <c r="Z225" t="str">
        <f t="shared" ca="1"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ca="1" si="259"/>
        <v/>
      </c>
      <c r="BC225" t="str">
        <f t="shared" si="268"/>
        <v/>
      </c>
      <c r="BF225" t="str">
        <f t="shared" si="260"/>
        <v/>
      </c>
      <c r="BG225" t="str">
        <f t="shared" si="261"/>
        <v/>
      </c>
      <c r="BH225" s="285" t="str">
        <f t="shared" ca="1" si="269"/>
        <v/>
      </c>
      <c r="BJ225" t="str">
        <f t="shared" si="262"/>
        <v/>
      </c>
      <c r="BM225" t="str">
        <f t="shared" si="270"/>
        <v/>
      </c>
      <c r="BN225" t="str">
        <f t="shared" si="271"/>
        <v/>
      </c>
      <c r="BO225" t="str">
        <f t="shared" ca="1" si="263"/>
        <v/>
      </c>
      <c r="BR225" t="str">
        <f t="shared" si="264"/>
        <v/>
      </c>
      <c r="BS225" t="str">
        <f t="shared" ca="1" si="265"/>
        <v/>
      </c>
      <c r="BT225" t="str">
        <f t="shared" si="272"/>
        <v/>
      </c>
      <c r="BU225" t="str">
        <f t="shared" si="266"/>
        <v/>
      </c>
      <c r="BV225">
        <f t="shared" si="267"/>
        <v>0</v>
      </c>
    </row>
    <row r="226" spans="6:74">
      <c r="F226" s="164">
        <f t="shared" ca="1" si="273"/>
        <v>0</v>
      </c>
      <c r="G226" s="164" t="str">
        <f t="array" aca="1" ref="G226" ca="1">IF(TRIM(INDIRECT("Columns!D2"))="","",TRIM(INDIRECT("Columns!D2")))</f>
        <v/>
      </c>
      <c r="S226" t="str">
        <f t="shared" si="248"/>
        <v/>
      </c>
      <c r="V226" t="str">
        <f t="shared" si="249"/>
        <v/>
      </c>
      <c r="Y226" t="str">
        <f t="shared" ca="1" si="250"/>
        <v/>
      </c>
      <c r="Z226" t="str">
        <f t="shared" ca="1"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ca="1" si="259"/>
        <v/>
      </c>
      <c r="BC226" t="str">
        <f t="shared" si="268"/>
        <v/>
      </c>
      <c r="BF226" t="str">
        <f t="shared" si="260"/>
        <v/>
      </c>
      <c r="BG226" t="str">
        <f t="shared" si="261"/>
        <v/>
      </c>
      <c r="BH226" s="285" t="str">
        <f t="shared" ca="1" si="269"/>
        <v/>
      </c>
      <c r="BJ226" t="str">
        <f t="shared" si="262"/>
        <v/>
      </c>
      <c r="BM226" t="str">
        <f t="shared" si="270"/>
        <v/>
      </c>
      <c r="BN226" t="str">
        <f t="shared" si="271"/>
        <v/>
      </c>
      <c r="BO226" t="str">
        <f t="shared" ca="1" si="263"/>
        <v/>
      </c>
      <c r="BR226" t="str">
        <f t="shared" si="264"/>
        <v/>
      </c>
      <c r="BS226" t="str">
        <f t="shared" ca="1" si="265"/>
        <v/>
      </c>
      <c r="BT226" t="str">
        <f t="shared" si="272"/>
        <v/>
      </c>
      <c r="BU226" t="str">
        <f t="shared" si="266"/>
        <v/>
      </c>
      <c r="BV226">
        <f t="shared" si="267"/>
        <v>0</v>
      </c>
    </row>
    <row r="227" spans="6:74">
      <c r="F227" s="164">
        <f t="shared" ca="1" si="273"/>
        <v>0</v>
      </c>
      <c r="G227" s="164" t="str">
        <f t="array" aca="1" ref="G227" ca="1">IF(TRIM(INDIRECT("Columns!D2"))="","",TRIM(INDIRECT("Columns!D2")))</f>
        <v/>
      </c>
      <c r="S227" t="str">
        <f t="shared" si="248"/>
        <v/>
      </c>
      <c r="V227" t="str">
        <f t="shared" si="249"/>
        <v/>
      </c>
      <c r="Y227" t="str">
        <f t="shared" ca="1" si="250"/>
        <v/>
      </c>
      <c r="Z227" t="str">
        <f t="shared" ca="1"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ca="1" si="259"/>
        <v/>
      </c>
      <c r="BC227" t="str">
        <f t="shared" si="268"/>
        <v/>
      </c>
      <c r="BF227" t="str">
        <f t="shared" si="260"/>
        <v/>
      </c>
      <c r="BG227" t="str">
        <f t="shared" si="261"/>
        <v/>
      </c>
      <c r="BH227" s="285" t="str">
        <f t="shared" ca="1" si="269"/>
        <v/>
      </c>
      <c r="BJ227" t="str">
        <f t="shared" si="262"/>
        <v/>
      </c>
      <c r="BM227" t="str">
        <f t="shared" si="270"/>
        <v/>
      </c>
      <c r="BN227" t="str">
        <f t="shared" si="271"/>
        <v/>
      </c>
      <c r="BO227" t="str">
        <f t="shared" ca="1" si="263"/>
        <v/>
      </c>
      <c r="BR227" t="str">
        <f t="shared" si="264"/>
        <v/>
      </c>
      <c r="BS227" t="str">
        <f t="shared" ca="1" si="265"/>
        <v/>
      </c>
      <c r="BT227" t="str">
        <f t="shared" si="272"/>
        <v/>
      </c>
      <c r="BU227" t="str">
        <f t="shared" si="266"/>
        <v/>
      </c>
      <c r="BV227">
        <f t="shared" si="267"/>
        <v>0</v>
      </c>
    </row>
    <row r="228" spans="6:74">
      <c r="F228" s="164">
        <f t="shared" ca="1" si="273"/>
        <v>0</v>
      </c>
      <c r="G228" s="164" t="str">
        <f t="array" aca="1" ref="G228" ca="1">IF(TRIM(INDIRECT("Columns!D2"))="","",TRIM(INDIRECT("Columns!D2")))</f>
        <v/>
      </c>
      <c r="S228" t="str">
        <f t="shared" si="248"/>
        <v/>
      </c>
      <c r="V228" t="str">
        <f t="shared" si="249"/>
        <v/>
      </c>
      <c r="Y228" t="str">
        <f t="shared" ca="1" si="250"/>
        <v/>
      </c>
      <c r="Z228" t="str">
        <f t="shared" ca="1"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ca="1" si="259"/>
        <v/>
      </c>
      <c r="BC228" t="str">
        <f t="shared" si="268"/>
        <v/>
      </c>
      <c r="BF228" t="str">
        <f t="shared" si="260"/>
        <v/>
      </c>
      <c r="BG228" t="str">
        <f t="shared" si="261"/>
        <v/>
      </c>
      <c r="BH228" s="285" t="str">
        <f t="shared" ca="1" si="269"/>
        <v/>
      </c>
      <c r="BJ228" t="str">
        <f t="shared" si="262"/>
        <v/>
      </c>
      <c r="BM228" t="str">
        <f t="shared" si="270"/>
        <v/>
      </c>
      <c r="BN228" t="str">
        <f t="shared" si="271"/>
        <v/>
      </c>
      <c r="BO228" t="str">
        <f t="shared" ca="1" si="263"/>
        <v/>
      </c>
      <c r="BR228" t="str">
        <f t="shared" si="264"/>
        <v/>
      </c>
      <c r="BS228" t="str">
        <f t="shared" ca="1" si="265"/>
        <v/>
      </c>
      <c r="BT228" t="str">
        <f t="shared" si="272"/>
        <v/>
      </c>
      <c r="BU228" t="str">
        <f t="shared" si="266"/>
        <v/>
      </c>
      <c r="BV228">
        <f t="shared" si="267"/>
        <v>0</v>
      </c>
    </row>
    <row r="229" spans="6:74">
      <c r="F229" s="164">
        <f t="shared" ca="1" si="273"/>
        <v>0</v>
      </c>
      <c r="G229" s="164" t="str">
        <f t="array" aca="1" ref="G229" ca="1">IF(TRIM(INDIRECT("Columns!D2"))="","",TRIM(INDIRECT("Columns!D2")))</f>
        <v/>
      </c>
      <c r="S229" t="str">
        <f t="shared" si="248"/>
        <v/>
      </c>
      <c r="V229" t="str">
        <f t="shared" si="249"/>
        <v/>
      </c>
      <c r="Y229" t="str">
        <f t="shared" ca="1" si="250"/>
        <v/>
      </c>
      <c r="Z229" t="str">
        <f t="shared" ca="1"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ca="1" si="259"/>
        <v/>
      </c>
      <c r="BC229" t="str">
        <f t="shared" si="268"/>
        <v/>
      </c>
      <c r="BF229" t="str">
        <f t="shared" si="260"/>
        <v/>
      </c>
      <c r="BG229" t="str">
        <f t="shared" si="261"/>
        <v/>
      </c>
      <c r="BH229" s="285" t="str">
        <f t="shared" ca="1" si="269"/>
        <v/>
      </c>
      <c r="BJ229" t="str">
        <f t="shared" si="262"/>
        <v/>
      </c>
      <c r="BM229" t="str">
        <f t="shared" si="270"/>
        <v/>
      </c>
      <c r="BN229" t="str">
        <f t="shared" si="271"/>
        <v/>
      </c>
      <c r="BO229" t="str">
        <f t="shared" ca="1" si="263"/>
        <v/>
      </c>
      <c r="BR229" t="str">
        <f t="shared" si="264"/>
        <v/>
      </c>
      <c r="BS229" t="str">
        <f t="shared" ca="1" si="265"/>
        <v/>
      </c>
      <c r="BT229" t="str">
        <f t="shared" si="272"/>
        <v/>
      </c>
      <c r="BU229" t="str">
        <f t="shared" si="266"/>
        <v/>
      </c>
      <c r="BV229">
        <f t="shared" si="267"/>
        <v>0</v>
      </c>
    </row>
    <row r="230" spans="6:74">
      <c r="F230" s="164">
        <f t="shared" ca="1" si="273"/>
        <v>0</v>
      </c>
      <c r="G230" s="164" t="str">
        <f t="array" aca="1" ref="G230" ca="1">IF(TRIM(INDIRECT("Columns!D2"))="","",TRIM(INDIRECT("Columns!D2")))</f>
        <v/>
      </c>
      <c r="S230" t="str">
        <f t="shared" si="248"/>
        <v/>
      </c>
      <c r="V230" t="str">
        <f t="shared" si="249"/>
        <v/>
      </c>
      <c r="Y230" t="str">
        <f t="shared" ca="1" si="250"/>
        <v/>
      </c>
      <c r="Z230" t="str">
        <f t="shared" ca="1"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ca="1" si="259"/>
        <v/>
      </c>
      <c r="BC230" t="str">
        <f t="shared" si="268"/>
        <v/>
      </c>
      <c r="BF230" t="str">
        <f t="shared" si="260"/>
        <v/>
      </c>
      <c r="BG230" t="str">
        <f t="shared" si="261"/>
        <v/>
      </c>
      <c r="BH230" s="285" t="str">
        <f t="shared" ca="1" si="269"/>
        <v/>
      </c>
      <c r="BJ230" t="str">
        <f t="shared" si="262"/>
        <v/>
      </c>
      <c r="BM230" t="str">
        <f t="shared" si="270"/>
        <v/>
      </c>
      <c r="BN230" t="str">
        <f t="shared" si="271"/>
        <v/>
      </c>
      <c r="BO230" t="str">
        <f t="shared" ca="1" si="263"/>
        <v/>
      </c>
      <c r="BR230" t="str">
        <f t="shared" si="264"/>
        <v/>
      </c>
      <c r="BS230" t="str">
        <f t="shared" ca="1" si="265"/>
        <v/>
      </c>
      <c r="BT230" t="str">
        <f t="shared" si="272"/>
        <v/>
      </c>
      <c r="BU230" t="str">
        <f t="shared" si="266"/>
        <v/>
      </c>
      <c r="BV230">
        <f t="shared" si="267"/>
        <v>0</v>
      </c>
    </row>
    <row r="231" spans="6:74">
      <c r="F231" s="164">
        <f t="shared" ca="1" si="273"/>
        <v>0</v>
      </c>
      <c r="G231" s="164" t="str">
        <f t="array" aca="1" ref="G231" ca="1">IF(TRIM(INDIRECT("Columns!D2"))="","",TRIM(INDIRECT("Columns!D2")))</f>
        <v/>
      </c>
      <c r="S231" t="str">
        <f t="shared" ref="S231:S262" si="274">IF(A231="","",A231 &amp; " " &amp; IF(C231="array&lt;varchar&gt;","array&lt;string&gt;",C231))</f>
        <v/>
      </c>
      <c r="V231" t="str">
        <f t="shared" ref="V231:V262" si="275">IF(A231="","",IF(F231&lt;&gt;"1",S231,""))</f>
        <v/>
      </c>
      <c r="Y231" t="str">
        <f t="shared" ref="Y231:Y262" ca="1" si="276">IF(F231="1",A231 &amp; " " &amp; C231,"" )</f>
        <v/>
      </c>
      <c r="Z231" t="str">
        <f t="shared" ref="Z231:Z262" ca="1" si="277">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8">IF(H231="1",A231,"")</f>
        <v/>
      </c>
      <c r="AF231" t="str">
        <f>IF(AE231&lt;&gt;"", HELPER!$B$93 &amp;  "." &amp; AE231,"")</f>
        <v/>
      </c>
      <c r="AG231" t="str">
        <f>IF(AE231&lt;&gt;"", HELPER!$B$94 &amp; "." &amp; AE231,"")</f>
        <v/>
      </c>
      <c r="AH231" t="str">
        <f t="shared" ref="AH231:AH262" si="279">IF(AE231&lt;&gt;"",AF231&amp;" = "&amp;AU231,"")</f>
        <v/>
      </c>
      <c r="AN231" t="str">
        <f t="shared" ref="AN231:AN262" si="280">IF(A231="","", IF(OR(F231="1",H231="1",I231="1"),"", A231))</f>
        <v/>
      </c>
      <c r="AO231" t="str">
        <f>IF(A231&lt;&gt;"", IF(OR(F231="1",H231="1",I231="1"),""," "&amp; HELPER!$B$94 &amp; "." &amp; A231),"")</f>
        <v/>
      </c>
      <c r="AP231" t="str">
        <f t="shared" ref="AP231:AP262" si="281">IF(A231="","", IF(AN231="","",AN231 &amp; " = " &amp; AO231))</f>
        <v/>
      </c>
      <c r="AS231" t="str">
        <f>IF(A231="","",  HELPER!$B$94 &amp;  "." &amp; A231)</f>
        <v/>
      </c>
      <c r="AT231" t="str">
        <f t="shared" ref="AT231:AT262" si="282">IF(I231="1",A231,"")</f>
        <v/>
      </c>
      <c r="AU231" t="str">
        <f t="shared" ref="AU231:AU262" si="283">IF(C231="string","COALESCE(" &amp; AS231 &amp; ",'')",AS231)</f>
        <v/>
      </c>
      <c r="AX231" t="str">
        <f>IF(COLUMNS!J182="","","LEFT JOIN "&amp; Options!$B$23 &amp; "." &amp;  COLUMNS!J182 &amp; " ON ")</f>
        <v/>
      </c>
      <c r="AY231" t="str">
        <f t="shared" ref="AY231:AY262" si="284">IF(A231="","",IF(I231="1","", IF(B231="",A231, B231) &amp;" AS "&amp;A231))</f>
        <v/>
      </c>
      <c r="BA231" t="str">
        <f>IF(AZ231="","", "CAST(" &amp; AZ231 &amp; " AS varchar(" &amp; Options!$B$49 &amp; "))")</f>
        <v/>
      </c>
      <c r="BB231" t="str">
        <f t="shared" ref="BB231:BB262" ca="1" si="285">IF(F231="1",IF(B231="",A231,B231),"")</f>
        <v/>
      </c>
      <c r="BC231" t="str">
        <f>IF(AZ231="","","COALESCE(" &amp;  AZ231 &amp; "," &amp; IF(C231="string","''",0  ) &amp; ") AS " &amp; A231)</f>
        <v/>
      </c>
      <c r="BF231" t="str">
        <f t="shared" ref="BF231:BF262" si="286">IF(A231="","",IF(I231="1","",B231&amp;" AS "&amp;A231))</f>
        <v/>
      </c>
      <c r="BG231" t="str">
        <f t="shared" ref="BG231:BG267" si="287">IF(AT231="","",AT231 &amp; "=-1")</f>
        <v/>
      </c>
      <c r="BH231" s="285" t="str">
        <f ca="1">IF(G231="",   IF(B231="","","COALESCE(" &amp;  B231 &amp; "," &amp; IF(C231="string","''",0  ) &amp; ") AS " &amp; A231),G231 &amp; " AS " &amp;A231 )</f>
        <v/>
      </c>
      <c r="BJ231" t="str">
        <f t="shared" ref="BJ231:BJ262" si="288">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9">IF(G231="", IF(B231="","","f." &amp; B231),G231)</f>
        <v/>
      </c>
      <c r="BR231" t="str">
        <f t="shared" ref="BR231:BR262" si="290">IF(M231&lt;&gt;"",A231 &amp; M231,"")</f>
        <v/>
      </c>
      <c r="BS231" t="str">
        <f t="shared" ref="BS231:BS262" ca="1" si="291">IF(F231="1",SUBSTITUTE(BR231,"'",""),"")</f>
        <v/>
      </c>
      <c r="BT231" t="str">
        <f>IF(N231="","", SUBSTITUTE(BR231,"[:date_yyyy_mm_dd]",  N231))</f>
        <v/>
      </c>
      <c r="BU231" t="str">
        <f t="shared" ref="BU231:BU262" si="292">IF(N231="","",SUBSTITUTE(BS231,"[:date_yyyy_mm_dd]",SUBSTITUTE(N231,"'","")))</f>
        <v/>
      </c>
      <c r="BV231">
        <f t="shared" ref="BV231:BV262" si="293">IF(A230="",0,1)</f>
        <v>0</v>
      </c>
    </row>
    <row r="232" spans="6:74">
      <c r="F232" s="164">
        <f t="shared" ca="1" si="273"/>
        <v>0</v>
      </c>
      <c r="G232" s="164" t="str">
        <f t="array" aca="1" ref="G232" ca="1">IF(TRIM(INDIRECT("Columns!D2"))="","",TRIM(INDIRECT("Columns!D2")))</f>
        <v/>
      </c>
      <c r="S232" t="str">
        <f t="shared" si="274"/>
        <v/>
      </c>
      <c r="V232" t="str">
        <f t="shared" si="275"/>
        <v/>
      </c>
      <c r="Y232" t="str">
        <f t="shared" ca="1" si="276"/>
        <v/>
      </c>
      <c r="Z232" t="str">
        <f t="shared" ca="1" si="277"/>
        <v/>
      </c>
      <c r="AA232" t="str">
        <f>IF( A232="","",IF(OR(F232="1",H232="1",I232="1"),"","COALESCE (CAST("&amp;A232&amp;" as varchar(" &amp; Options!$B$49&amp; ")),'')"))</f>
        <v/>
      </c>
      <c r="AB232" t="str">
        <f>IF(C232="string",  IF( A232="","",IF(OR(F232="1",H232="1",I232="1"),"","COALESCE (CAST(lower("&amp;A232&amp;") as varchar(" &amp;Options!$B$49 &amp; ")),'')")),AA232)</f>
        <v/>
      </c>
      <c r="AE232" t="str">
        <f t="shared" si="278"/>
        <v/>
      </c>
      <c r="AF232" t="str">
        <f>IF(AE232&lt;&gt;"", HELPER!$B$93 &amp;  "." &amp; AE232,"")</f>
        <v/>
      </c>
      <c r="AG232" t="str">
        <f>IF(AE232&lt;&gt;"", HELPER!$B$94 &amp; "." &amp; AE232,"")</f>
        <v/>
      </c>
      <c r="AH232" t="str">
        <f t="shared" si="279"/>
        <v/>
      </c>
      <c r="AN232" t="str">
        <f t="shared" si="280"/>
        <v/>
      </c>
      <c r="AO232" t="str">
        <f>IF(A232&lt;&gt;"", IF(OR(F232="1",H232="1",I232="1"),""," "&amp; HELPER!$B$94 &amp; "." &amp; A232),"")</f>
        <v/>
      </c>
      <c r="AP232" t="str">
        <f t="shared" si="281"/>
        <v/>
      </c>
      <c r="AS232" t="str">
        <f>IF(A232="","",  HELPER!$B$94 &amp;  "." &amp; A232)</f>
        <v/>
      </c>
      <c r="AT232" t="str">
        <f t="shared" si="282"/>
        <v/>
      </c>
      <c r="AU232" t="str">
        <f t="shared" si="283"/>
        <v/>
      </c>
      <c r="AX232" t="str">
        <f>IF(COLUMNS!J183="","","LEFT JOIN "&amp; Options!$B$23 &amp; "." &amp;  COLUMNS!J183 &amp; " ON ")</f>
        <v/>
      </c>
      <c r="AY232" t="str">
        <f t="shared" si="284"/>
        <v/>
      </c>
      <c r="BA232" t="str">
        <f>IF(AZ232="","", "CAST(" &amp; AZ232 &amp; " AS varchar(" &amp; Options!$B$49 &amp; "))")</f>
        <v/>
      </c>
      <c r="BB232" t="str">
        <f t="shared" ca="1" si="285"/>
        <v/>
      </c>
      <c r="BC232" t="str">
        <f t="shared" ref="BC232:BC262" si="294">IF(AZ232="","","COALESCE(" &amp; AZ232 &amp; "," &amp; IF(C232="string","''",0 ) &amp; ") AS " &amp; A232)</f>
        <v/>
      </c>
      <c r="BF232" t="str">
        <f t="shared" si="286"/>
        <v/>
      </c>
      <c r="BG232" t="str">
        <f t="shared" si="287"/>
        <v/>
      </c>
      <c r="BH232" s="285" t="str">
        <f t="shared" ref="BH232:BH263" ca="1" si="295">IF(G232="", IF(B232="","","COALESCE(" &amp; B232 &amp; "," &amp; IF(C232="string","''",0 ) &amp; ") AS " &amp; A232),G232 &amp; " AS " &amp;A232 )</f>
        <v/>
      </c>
      <c r="BJ232" t="str">
        <f t="shared" si="288"/>
        <v/>
      </c>
      <c r="BM232" t="str">
        <f t="shared" ref="BM232:BM262" si="296">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7">IF(A232="","",IF(I232="1","",IF(C232&lt;&gt;D232, IF(AND(D232="string",C232="timestamp"),"cast(from_iso8601_timestamp(" &amp; BO232 &amp; ") as timestamp) AS " &amp; A232, IF(AND(D232="string",C232="date"),"cast( from_iso8601_timestamp(" &amp; BO232 &amp;") as date) AS " &amp; A232,"")),BO232 &amp; " AS " &amp; A232)))</f>
        <v/>
      </c>
      <c r="BO232" t="str">
        <f t="shared" ca="1" si="289"/>
        <v/>
      </c>
      <c r="BR232" t="str">
        <f t="shared" si="290"/>
        <v/>
      </c>
      <c r="BS232" t="str">
        <f t="shared" ca="1" si="291"/>
        <v/>
      </c>
      <c r="BT232" t="str">
        <f t="shared" ref="BT232:BT262" si="298">IF(N232="","", SUBSTITUTE(BR232,"[:date_yyyy_mm_dd]", N232))</f>
        <v/>
      </c>
      <c r="BU232" t="str">
        <f t="shared" si="292"/>
        <v/>
      </c>
      <c r="BV232">
        <f t="shared" si="293"/>
        <v>0</v>
      </c>
    </row>
    <row r="233" spans="6:74">
      <c r="F233" s="164">
        <f t="shared" ca="1" si="273"/>
        <v>0</v>
      </c>
      <c r="G233" s="164" t="str">
        <f t="array" aca="1" ref="G233" ca="1">IF(TRIM(INDIRECT("Columns!D2"))="","",TRIM(INDIRECT("Columns!D2")))</f>
        <v/>
      </c>
      <c r="S233" t="str">
        <f t="shared" si="274"/>
        <v/>
      </c>
      <c r="V233" t="str">
        <f t="shared" si="275"/>
        <v/>
      </c>
      <c r="Y233" t="str">
        <f t="shared" ca="1" si="276"/>
        <v/>
      </c>
      <c r="Z233" t="str">
        <f t="shared" ca="1" si="277"/>
        <v/>
      </c>
      <c r="AA233" t="str">
        <f>IF( A233="","",IF(OR(F233="1",H233="1",I233="1"),"","COALESCE (CAST("&amp;A233&amp;" as varchar(" &amp; Options!$B$49&amp; ")),'')"))</f>
        <v/>
      </c>
      <c r="AB233" t="str">
        <f>IF(C233="string",  IF( A233="","",IF(OR(F233="1",H233="1",I233="1"),"","COALESCE (CAST(lower("&amp;A233&amp;") as varchar(" &amp;Options!$B$49 &amp; ")),'')")),AA233)</f>
        <v/>
      </c>
      <c r="AE233" t="str">
        <f t="shared" si="278"/>
        <v/>
      </c>
      <c r="AF233" t="str">
        <f>IF(AE233&lt;&gt;"", HELPER!$B$93 &amp;  "." &amp; AE233,"")</f>
        <v/>
      </c>
      <c r="AG233" t="str">
        <f>IF(AE233&lt;&gt;"", HELPER!$B$94 &amp; "." &amp; AE233,"")</f>
        <v/>
      </c>
      <c r="AH233" t="str">
        <f t="shared" si="279"/>
        <v/>
      </c>
      <c r="AN233" t="str">
        <f t="shared" si="280"/>
        <v/>
      </c>
      <c r="AO233" t="str">
        <f>IF(A233&lt;&gt;"", IF(OR(F233="1",H233="1",I233="1"),""," "&amp; HELPER!$B$94 &amp; "." &amp; A233),"")</f>
        <v/>
      </c>
      <c r="AP233" t="str">
        <f t="shared" si="281"/>
        <v/>
      </c>
      <c r="AS233" t="str">
        <f>IF(A233="","",  HELPER!$B$94 &amp;  "." &amp; A233)</f>
        <v/>
      </c>
      <c r="AT233" t="str">
        <f t="shared" si="282"/>
        <v/>
      </c>
      <c r="AU233" t="str">
        <f t="shared" si="283"/>
        <v/>
      </c>
      <c r="AX233" t="str">
        <f>IF(COLUMNS!J184="","","LEFT JOIN "&amp; Options!$B$23 &amp; "." &amp;  COLUMNS!J184 &amp; " ON ")</f>
        <v/>
      </c>
      <c r="AY233" t="str">
        <f t="shared" si="284"/>
        <v/>
      </c>
      <c r="BA233" t="str">
        <f>IF(AZ233="","", "CAST(" &amp; AZ233 &amp; " AS varchar(" &amp; Options!$B$49 &amp; "))")</f>
        <v/>
      </c>
      <c r="BB233" t="str">
        <f t="shared" ca="1" si="285"/>
        <v/>
      </c>
      <c r="BC233" t="str">
        <f t="shared" si="294"/>
        <v/>
      </c>
      <c r="BF233" t="str">
        <f t="shared" si="286"/>
        <v/>
      </c>
      <c r="BG233" t="str">
        <f t="shared" si="287"/>
        <v/>
      </c>
      <c r="BH233" s="285" t="str">
        <f t="shared" ca="1" si="295"/>
        <v/>
      </c>
      <c r="BJ233" t="str">
        <f t="shared" si="288"/>
        <v/>
      </c>
      <c r="BM233" t="str">
        <f t="shared" si="296"/>
        <v/>
      </c>
      <c r="BN233" t="str">
        <f t="shared" si="297"/>
        <v/>
      </c>
      <c r="BO233" t="str">
        <f t="shared" ca="1" si="289"/>
        <v/>
      </c>
      <c r="BR233" t="str">
        <f t="shared" si="290"/>
        <v/>
      </c>
      <c r="BS233" t="str">
        <f t="shared" ca="1" si="291"/>
        <v/>
      </c>
      <c r="BT233" t="str">
        <f t="shared" si="298"/>
        <v/>
      </c>
      <c r="BU233" t="str">
        <f t="shared" si="292"/>
        <v/>
      </c>
      <c r="BV233">
        <f t="shared" si="293"/>
        <v>0</v>
      </c>
    </row>
    <row r="234" spans="6:74">
      <c r="F234" s="164">
        <f t="shared" ca="1" si="273"/>
        <v>0</v>
      </c>
      <c r="G234" s="164" t="str">
        <f t="array" aca="1" ref="G234" ca="1">IF(TRIM(INDIRECT("Columns!D2"))="","",TRIM(INDIRECT("Columns!D2")))</f>
        <v/>
      </c>
      <c r="S234" t="str">
        <f t="shared" si="274"/>
        <v/>
      </c>
      <c r="V234" t="str">
        <f t="shared" si="275"/>
        <v/>
      </c>
      <c r="Y234" t="str">
        <f t="shared" ca="1" si="276"/>
        <v/>
      </c>
      <c r="Z234" t="str">
        <f t="shared" ca="1" si="277"/>
        <v/>
      </c>
      <c r="AA234" t="str">
        <f>IF( A234="","",IF(OR(F234="1",H234="1",I234="1"),"","COALESCE (CAST("&amp;A234&amp;" as varchar(" &amp; Options!$B$49&amp; ")),'')"))</f>
        <v/>
      </c>
      <c r="AB234" t="str">
        <f>IF(C234="string",  IF( A234="","",IF(OR(F234="1",H234="1",I234="1"),"","COALESCE (CAST(lower("&amp;A234&amp;") as varchar(" &amp;Options!$B$49 &amp; ")),'')")),AA234)</f>
        <v/>
      </c>
      <c r="AE234" t="str">
        <f t="shared" si="278"/>
        <v/>
      </c>
      <c r="AF234" t="str">
        <f>IF(AE234&lt;&gt;"", HELPER!$B$93 &amp;  "." &amp; AE234,"")</f>
        <v/>
      </c>
      <c r="AG234" t="str">
        <f>IF(AE234&lt;&gt;"", HELPER!$B$94 &amp; "." &amp; AE234,"")</f>
        <v/>
      </c>
      <c r="AH234" t="str">
        <f t="shared" si="279"/>
        <v/>
      </c>
      <c r="AN234" t="str">
        <f t="shared" si="280"/>
        <v/>
      </c>
      <c r="AO234" t="str">
        <f>IF(A234&lt;&gt;"", IF(OR(F234="1",H234="1",I234="1"),""," "&amp; HELPER!$B$94 &amp; "." &amp; A234),"")</f>
        <v/>
      </c>
      <c r="AP234" t="str">
        <f t="shared" si="281"/>
        <v/>
      </c>
      <c r="AS234" t="str">
        <f>IF(A234="","",  HELPER!$B$94 &amp;  "." &amp; A234)</f>
        <v/>
      </c>
      <c r="AT234" t="str">
        <f t="shared" si="282"/>
        <v/>
      </c>
      <c r="AU234" t="str">
        <f t="shared" si="283"/>
        <v/>
      </c>
      <c r="AX234" t="str">
        <f>IF(COLUMNS!J185="","","LEFT JOIN "&amp; Options!$B$23 &amp; "." &amp;  COLUMNS!J185 &amp; " ON ")</f>
        <v/>
      </c>
      <c r="AY234" t="str">
        <f t="shared" si="284"/>
        <v/>
      </c>
      <c r="BA234" t="str">
        <f>IF(AZ234="","", "CAST(" &amp; AZ234 &amp; " AS varchar(" &amp; Options!$B$49 &amp; "))")</f>
        <v/>
      </c>
      <c r="BB234" t="str">
        <f t="shared" ca="1" si="285"/>
        <v/>
      </c>
      <c r="BC234" t="str">
        <f t="shared" si="294"/>
        <v/>
      </c>
      <c r="BF234" t="str">
        <f t="shared" si="286"/>
        <v/>
      </c>
      <c r="BG234" t="str">
        <f t="shared" si="287"/>
        <v/>
      </c>
      <c r="BH234" s="285" t="str">
        <f t="shared" ca="1" si="295"/>
        <v/>
      </c>
      <c r="BJ234" t="str">
        <f t="shared" si="288"/>
        <v/>
      </c>
      <c r="BM234" t="str">
        <f t="shared" si="296"/>
        <v/>
      </c>
      <c r="BN234" t="str">
        <f t="shared" si="297"/>
        <v/>
      </c>
      <c r="BO234" t="str">
        <f t="shared" ca="1" si="289"/>
        <v/>
      </c>
      <c r="BR234" t="str">
        <f t="shared" si="290"/>
        <v/>
      </c>
      <c r="BS234" t="str">
        <f t="shared" ca="1" si="291"/>
        <v/>
      </c>
      <c r="BT234" t="str">
        <f t="shared" si="298"/>
        <v/>
      </c>
      <c r="BU234" t="str">
        <f t="shared" si="292"/>
        <v/>
      </c>
      <c r="BV234">
        <f t="shared" si="293"/>
        <v>0</v>
      </c>
    </row>
    <row r="235" spans="6:74">
      <c r="F235" s="164">
        <f t="shared" ca="1" si="273"/>
        <v>0</v>
      </c>
      <c r="G235" s="164" t="str">
        <f t="array" aca="1" ref="G235" ca="1">IF(TRIM(INDIRECT("Columns!D2"))="","",TRIM(INDIRECT("Columns!D2")))</f>
        <v/>
      </c>
      <c r="S235" t="str">
        <f t="shared" si="274"/>
        <v/>
      </c>
      <c r="V235" t="str">
        <f t="shared" si="275"/>
        <v/>
      </c>
      <c r="Y235" t="str">
        <f t="shared" ca="1" si="276"/>
        <v/>
      </c>
      <c r="Z235" t="str">
        <f t="shared" ca="1" si="277"/>
        <v/>
      </c>
      <c r="AA235" t="str">
        <f>IF( A235="","",IF(OR(F235="1",H235="1",I235="1"),"","COALESCE (CAST("&amp;A235&amp;" as varchar(" &amp; Options!$B$49&amp; ")),'')"))</f>
        <v/>
      </c>
      <c r="AB235" t="str">
        <f>IF(C235="string",  IF( A235="","",IF(OR(F235="1",H235="1",I235="1"),"","COALESCE (CAST(lower("&amp;A235&amp;") as varchar(" &amp;Options!$B$49 &amp; ")),'')")),AA235)</f>
        <v/>
      </c>
      <c r="AE235" t="str">
        <f t="shared" si="278"/>
        <v/>
      </c>
      <c r="AF235" t="str">
        <f>IF(AE235&lt;&gt;"", HELPER!$B$93 &amp;  "." &amp; AE235,"")</f>
        <v/>
      </c>
      <c r="AG235" t="str">
        <f>IF(AE235&lt;&gt;"", HELPER!$B$94 &amp; "." &amp; AE235,"")</f>
        <v/>
      </c>
      <c r="AH235" t="str">
        <f t="shared" si="279"/>
        <v/>
      </c>
      <c r="AN235" t="str">
        <f t="shared" si="280"/>
        <v/>
      </c>
      <c r="AO235" t="str">
        <f>IF(A235&lt;&gt;"", IF(OR(F235="1",H235="1",I235="1"),""," "&amp; HELPER!$B$94 &amp; "." &amp; A235),"")</f>
        <v/>
      </c>
      <c r="AP235" t="str">
        <f t="shared" si="281"/>
        <v/>
      </c>
      <c r="AS235" t="str">
        <f>IF(A235="","",  HELPER!$B$94 &amp;  "." &amp; A235)</f>
        <v/>
      </c>
      <c r="AT235" t="str">
        <f t="shared" si="282"/>
        <v/>
      </c>
      <c r="AU235" t="str">
        <f t="shared" si="283"/>
        <v/>
      </c>
      <c r="AX235" t="str">
        <f>IF(COLUMNS!J186="","","LEFT JOIN "&amp; Options!$B$23 &amp; "." &amp;  COLUMNS!J186 &amp; " ON ")</f>
        <v/>
      </c>
      <c r="AY235" t="str">
        <f t="shared" si="284"/>
        <v/>
      </c>
      <c r="BA235" t="str">
        <f>IF(AZ235="","", "CAST(" &amp; AZ235 &amp; " AS varchar(" &amp; Options!$B$49 &amp; "))")</f>
        <v/>
      </c>
      <c r="BB235" t="str">
        <f t="shared" ca="1" si="285"/>
        <v/>
      </c>
      <c r="BC235" t="str">
        <f t="shared" si="294"/>
        <v/>
      </c>
      <c r="BF235" t="str">
        <f t="shared" si="286"/>
        <v/>
      </c>
      <c r="BG235" t="str">
        <f t="shared" si="287"/>
        <v/>
      </c>
      <c r="BH235" s="285" t="str">
        <f t="shared" ca="1" si="295"/>
        <v/>
      </c>
      <c r="BJ235" t="str">
        <f t="shared" si="288"/>
        <v/>
      </c>
      <c r="BM235" t="str">
        <f t="shared" si="296"/>
        <v/>
      </c>
      <c r="BN235" t="str">
        <f t="shared" si="297"/>
        <v/>
      </c>
      <c r="BO235" t="str">
        <f t="shared" ca="1" si="289"/>
        <v/>
      </c>
      <c r="BR235" t="str">
        <f t="shared" si="290"/>
        <v/>
      </c>
      <c r="BS235" t="str">
        <f t="shared" ca="1" si="291"/>
        <v/>
      </c>
      <c r="BT235" t="str">
        <f t="shared" si="298"/>
        <v/>
      </c>
      <c r="BU235" t="str">
        <f t="shared" si="292"/>
        <v/>
      </c>
      <c r="BV235">
        <f t="shared" si="293"/>
        <v>0</v>
      </c>
    </row>
    <row r="236" spans="6:74">
      <c r="F236" s="164">
        <f t="shared" ca="1" si="273"/>
        <v>0</v>
      </c>
      <c r="G236" s="164" t="str">
        <f t="array" aca="1" ref="G236" ca="1">IF(TRIM(INDIRECT("Columns!D2"))="","",TRIM(INDIRECT("Columns!D2")))</f>
        <v/>
      </c>
      <c r="S236" t="str">
        <f t="shared" si="274"/>
        <v/>
      </c>
      <c r="V236" t="str">
        <f t="shared" si="275"/>
        <v/>
      </c>
      <c r="Y236" t="str">
        <f t="shared" ca="1" si="276"/>
        <v/>
      </c>
      <c r="Z236" t="str">
        <f t="shared" ca="1" si="277"/>
        <v/>
      </c>
      <c r="AA236" t="str">
        <f>IF( A236="","",IF(OR(F236="1",H236="1",I236="1"),"","COALESCE (CAST("&amp;A236&amp;" as varchar(" &amp; Options!$B$49&amp; ")),'')"))</f>
        <v/>
      </c>
      <c r="AB236" t="str">
        <f>IF(C236="string",  IF( A236="","",IF(OR(F236="1",H236="1",I236="1"),"","COALESCE (CAST(lower("&amp;A236&amp;") as varchar(" &amp;Options!$B$49 &amp; ")),'')")),AA236)</f>
        <v/>
      </c>
      <c r="AE236" t="str">
        <f t="shared" si="278"/>
        <v/>
      </c>
      <c r="AF236" t="str">
        <f>IF(AE236&lt;&gt;"", HELPER!$B$93 &amp;  "." &amp; AE236,"")</f>
        <v/>
      </c>
      <c r="AG236" t="str">
        <f>IF(AE236&lt;&gt;"", HELPER!$B$94 &amp; "." &amp; AE236,"")</f>
        <v/>
      </c>
      <c r="AH236" t="str">
        <f t="shared" si="279"/>
        <v/>
      </c>
      <c r="AN236" t="str">
        <f t="shared" si="280"/>
        <v/>
      </c>
      <c r="AO236" t="str">
        <f>IF(A236&lt;&gt;"", IF(OR(F236="1",H236="1",I236="1"),""," "&amp; HELPER!$B$94 &amp; "." &amp; A236),"")</f>
        <v/>
      </c>
      <c r="AP236" t="str">
        <f t="shared" si="281"/>
        <v/>
      </c>
      <c r="AS236" t="str">
        <f>IF(A236="","",  HELPER!$B$94 &amp;  "." &amp; A236)</f>
        <v/>
      </c>
      <c r="AT236" t="str">
        <f t="shared" si="282"/>
        <v/>
      </c>
      <c r="AU236" t="str">
        <f t="shared" si="283"/>
        <v/>
      </c>
      <c r="AX236" t="str">
        <f>IF(COLUMNS!J187="","","LEFT JOIN "&amp; Options!$B$23 &amp; "." &amp;  COLUMNS!J187 &amp; " ON ")</f>
        <v/>
      </c>
      <c r="AY236" t="str">
        <f t="shared" si="284"/>
        <v/>
      </c>
      <c r="BA236" t="str">
        <f>IF(AZ236="","", "CAST(" &amp; AZ236 &amp; " AS varchar(" &amp; Options!$B$49 &amp; "))")</f>
        <v/>
      </c>
      <c r="BB236" t="str">
        <f t="shared" ca="1" si="285"/>
        <v/>
      </c>
      <c r="BC236" t="str">
        <f t="shared" si="294"/>
        <v/>
      </c>
      <c r="BF236" t="str">
        <f t="shared" si="286"/>
        <v/>
      </c>
      <c r="BG236" t="str">
        <f t="shared" si="287"/>
        <v/>
      </c>
      <c r="BH236" s="285" t="str">
        <f t="shared" ca="1" si="295"/>
        <v/>
      </c>
      <c r="BJ236" t="str">
        <f t="shared" si="288"/>
        <v/>
      </c>
      <c r="BM236" t="str">
        <f t="shared" si="296"/>
        <v/>
      </c>
      <c r="BN236" t="str">
        <f t="shared" si="297"/>
        <v/>
      </c>
      <c r="BO236" t="str">
        <f t="shared" ca="1" si="289"/>
        <v/>
      </c>
      <c r="BR236" t="str">
        <f t="shared" si="290"/>
        <v/>
      </c>
      <c r="BS236" t="str">
        <f t="shared" ca="1" si="291"/>
        <v/>
      </c>
      <c r="BT236" t="str">
        <f t="shared" si="298"/>
        <v/>
      </c>
      <c r="BU236" t="str">
        <f t="shared" si="292"/>
        <v/>
      </c>
      <c r="BV236">
        <f t="shared" si="293"/>
        <v>0</v>
      </c>
    </row>
    <row r="237" spans="6:74">
      <c r="F237" s="164">
        <f t="shared" ca="1" si="273"/>
        <v>0</v>
      </c>
      <c r="G237" s="164" t="str">
        <f t="array" aca="1" ref="G237" ca="1">IF(TRIM(INDIRECT("Columns!D2"))="","",TRIM(INDIRECT("Columns!D2")))</f>
        <v/>
      </c>
      <c r="S237" t="str">
        <f t="shared" si="274"/>
        <v/>
      </c>
      <c r="V237" t="str">
        <f t="shared" si="275"/>
        <v/>
      </c>
      <c r="Y237" t="str">
        <f t="shared" ca="1" si="276"/>
        <v/>
      </c>
      <c r="Z237" t="str">
        <f t="shared" ca="1" si="277"/>
        <v/>
      </c>
      <c r="AA237" t="str">
        <f>IF( A237="","",IF(OR(F237="1",H237="1",I237="1"),"","COALESCE (CAST("&amp;A237&amp;" as varchar(" &amp; Options!$B$49&amp; ")),'')"))</f>
        <v/>
      </c>
      <c r="AB237" t="str">
        <f>IF(C237="string",  IF( A237="","",IF(OR(F237="1",H237="1",I237="1"),"","COALESCE (CAST(lower("&amp;A237&amp;") as varchar(" &amp;Options!$B$49 &amp; ")),'')")),AA237)</f>
        <v/>
      </c>
      <c r="AE237" t="str">
        <f t="shared" si="278"/>
        <v/>
      </c>
      <c r="AF237" t="str">
        <f>IF(AE237&lt;&gt;"", HELPER!$B$93 &amp;  "." &amp; AE237,"")</f>
        <v/>
      </c>
      <c r="AG237" t="str">
        <f>IF(AE237&lt;&gt;"", HELPER!$B$94 &amp; "." &amp; AE237,"")</f>
        <v/>
      </c>
      <c r="AH237" t="str">
        <f t="shared" si="279"/>
        <v/>
      </c>
      <c r="AN237" t="str">
        <f t="shared" si="280"/>
        <v/>
      </c>
      <c r="AO237" t="str">
        <f>IF(A237&lt;&gt;"", IF(OR(F237="1",H237="1",I237="1"),""," "&amp; HELPER!$B$94 &amp; "." &amp; A237),"")</f>
        <v/>
      </c>
      <c r="AP237" t="str">
        <f t="shared" si="281"/>
        <v/>
      </c>
      <c r="AS237" t="str">
        <f>IF(A237="","",  HELPER!$B$94 &amp;  "." &amp; A237)</f>
        <v/>
      </c>
      <c r="AT237" t="str">
        <f t="shared" si="282"/>
        <v/>
      </c>
      <c r="AU237" t="str">
        <f t="shared" si="283"/>
        <v/>
      </c>
      <c r="AX237" t="str">
        <f>IF(COLUMNS!J188="","","LEFT JOIN "&amp; Options!$B$23 &amp; "." &amp;  COLUMNS!J188 &amp; " ON ")</f>
        <v/>
      </c>
      <c r="AY237" t="str">
        <f t="shared" si="284"/>
        <v/>
      </c>
      <c r="BA237" t="str">
        <f>IF(AZ237="","", "CAST(" &amp; AZ237 &amp; " AS varchar(" &amp; Options!$B$49 &amp; "))")</f>
        <v/>
      </c>
      <c r="BB237" t="str">
        <f t="shared" ca="1" si="285"/>
        <v/>
      </c>
      <c r="BC237" t="str">
        <f t="shared" si="294"/>
        <v/>
      </c>
      <c r="BF237" t="str">
        <f t="shared" si="286"/>
        <v/>
      </c>
      <c r="BG237" t="str">
        <f t="shared" si="287"/>
        <v/>
      </c>
      <c r="BH237" s="285" t="str">
        <f t="shared" ca="1" si="295"/>
        <v/>
      </c>
      <c r="BJ237" t="str">
        <f t="shared" si="288"/>
        <v/>
      </c>
      <c r="BM237" t="str">
        <f t="shared" si="296"/>
        <v/>
      </c>
      <c r="BN237" t="str">
        <f t="shared" si="297"/>
        <v/>
      </c>
      <c r="BO237" t="str">
        <f t="shared" ca="1" si="289"/>
        <v/>
      </c>
      <c r="BR237" t="str">
        <f t="shared" si="290"/>
        <v/>
      </c>
      <c r="BS237" t="str">
        <f t="shared" ca="1" si="291"/>
        <v/>
      </c>
      <c r="BT237" t="str">
        <f t="shared" si="298"/>
        <v/>
      </c>
      <c r="BU237" t="str">
        <f t="shared" si="292"/>
        <v/>
      </c>
      <c r="BV237">
        <f t="shared" si="293"/>
        <v>0</v>
      </c>
    </row>
    <row r="238" spans="6:74">
      <c r="F238" s="164">
        <f t="shared" ca="1" si="273"/>
        <v>0</v>
      </c>
      <c r="G238" s="164" t="str">
        <f t="array" aca="1" ref="G238" ca="1">IF(TRIM(INDIRECT("Columns!D2"))="","",TRIM(INDIRECT("Columns!D2")))</f>
        <v/>
      </c>
      <c r="S238" t="str">
        <f t="shared" si="274"/>
        <v/>
      </c>
      <c r="V238" t="str">
        <f t="shared" si="275"/>
        <v/>
      </c>
      <c r="Y238" t="str">
        <f t="shared" ca="1" si="276"/>
        <v/>
      </c>
      <c r="Z238" t="str">
        <f t="shared" ca="1" si="277"/>
        <v/>
      </c>
      <c r="AA238" t="str">
        <f>IF( A238="","",IF(OR(F238="1",H238="1",I238="1"),"","COALESCE (CAST("&amp;A238&amp;" as varchar(" &amp; Options!$B$49&amp; ")),'')"))</f>
        <v/>
      </c>
      <c r="AB238" t="str">
        <f>IF(C238="string",  IF( A238="","",IF(OR(F238="1",H238="1",I238="1"),"","COALESCE (CAST(lower("&amp;A238&amp;") as varchar(" &amp;Options!$B$49 &amp; ")),'')")),AA238)</f>
        <v/>
      </c>
      <c r="AE238" t="str">
        <f t="shared" si="278"/>
        <v/>
      </c>
      <c r="AF238" t="str">
        <f>IF(AE238&lt;&gt;"", HELPER!$B$93 &amp;  "." &amp; AE238,"")</f>
        <v/>
      </c>
      <c r="AG238" t="str">
        <f>IF(AE238&lt;&gt;"", HELPER!$B$94 &amp; "." &amp; AE238,"")</f>
        <v/>
      </c>
      <c r="AH238" t="str">
        <f t="shared" si="279"/>
        <v/>
      </c>
      <c r="AN238" t="str">
        <f t="shared" si="280"/>
        <v/>
      </c>
      <c r="AO238" t="str">
        <f>IF(A238&lt;&gt;"", IF(OR(F238="1",H238="1",I238="1"),""," "&amp; HELPER!$B$94 &amp; "." &amp; A238),"")</f>
        <v/>
      </c>
      <c r="AP238" t="str">
        <f t="shared" si="281"/>
        <v/>
      </c>
      <c r="AS238" t="str">
        <f>IF(A238="","",  HELPER!$B$94 &amp;  "." &amp; A238)</f>
        <v/>
      </c>
      <c r="AT238" t="str">
        <f t="shared" si="282"/>
        <v/>
      </c>
      <c r="AU238" t="str">
        <f t="shared" si="283"/>
        <v/>
      </c>
      <c r="AX238" t="str">
        <f>IF(COLUMNS!J189="","","LEFT JOIN "&amp; Options!$B$23 &amp; "." &amp;  COLUMNS!J189 &amp; " ON ")</f>
        <v/>
      </c>
      <c r="AY238" t="str">
        <f t="shared" si="284"/>
        <v/>
      </c>
      <c r="BA238" t="str">
        <f>IF(AZ238="","", "CAST(" &amp; AZ238 &amp; " AS varchar(" &amp; Options!$B$49 &amp; "))")</f>
        <v/>
      </c>
      <c r="BB238" t="str">
        <f t="shared" ca="1" si="285"/>
        <v/>
      </c>
      <c r="BC238" t="str">
        <f t="shared" si="294"/>
        <v/>
      </c>
      <c r="BF238" t="str">
        <f t="shared" si="286"/>
        <v/>
      </c>
      <c r="BG238" t="str">
        <f t="shared" si="287"/>
        <v/>
      </c>
      <c r="BH238" s="285" t="str">
        <f t="shared" ca="1" si="295"/>
        <v/>
      </c>
      <c r="BJ238" t="str">
        <f t="shared" si="288"/>
        <v/>
      </c>
      <c r="BM238" t="str">
        <f t="shared" si="296"/>
        <v/>
      </c>
      <c r="BN238" t="str">
        <f t="shared" si="297"/>
        <v/>
      </c>
      <c r="BO238" t="str">
        <f t="shared" ca="1" si="289"/>
        <v/>
      </c>
      <c r="BR238" t="str">
        <f t="shared" si="290"/>
        <v/>
      </c>
      <c r="BS238" t="str">
        <f t="shared" ca="1" si="291"/>
        <v/>
      </c>
      <c r="BT238" t="str">
        <f t="shared" si="298"/>
        <v/>
      </c>
      <c r="BU238" t="str">
        <f t="shared" si="292"/>
        <v/>
      </c>
      <c r="BV238">
        <f t="shared" si="293"/>
        <v>0</v>
      </c>
    </row>
    <row r="239" spans="6:74">
      <c r="F239" s="164">
        <f t="shared" ca="1" si="273"/>
        <v>0</v>
      </c>
      <c r="G239" s="164" t="str">
        <f t="array" aca="1" ref="G239" ca="1">IF(TRIM(INDIRECT("Columns!D2"))="","",TRIM(INDIRECT("Columns!D2")))</f>
        <v/>
      </c>
      <c r="S239" t="str">
        <f t="shared" si="274"/>
        <v/>
      </c>
      <c r="V239" t="str">
        <f t="shared" si="275"/>
        <v/>
      </c>
      <c r="Y239" t="str">
        <f t="shared" ca="1" si="276"/>
        <v/>
      </c>
      <c r="Z239" t="str">
        <f t="shared" ca="1" si="277"/>
        <v/>
      </c>
      <c r="AA239" t="str">
        <f>IF( A239="","",IF(OR(F239="1",H239="1",I239="1"),"","COALESCE (CAST("&amp;A239&amp;" as varchar(" &amp; Options!$B$49&amp; ")),'')"))</f>
        <v/>
      </c>
      <c r="AB239" t="str">
        <f>IF(C239="string",  IF( A239="","",IF(OR(F239="1",H239="1",I239="1"),"","COALESCE (CAST(lower("&amp;A239&amp;") as varchar(" &amp;Options!$B$49 &amp; ")),'')")),AA239)</f>
        <v/>
      </c>
      <c r="AE239" t="str">
        <f t="shared" si="278"/>
        <v/>
      </c>
      <c r="AF239" t="str">
        <f>IF(AE239&lt;&gt;"", HELPER!$B$93 &amp;  "." &amp; AE239,"")</f>
        <v/>
      </c>
      <c r="AG239" t="str">
        <f>IF(AE239&lt;&gt;"", HELPER!$B$94 &amp; "." &amp; AE239,"")</f>
        <v/>
      </c>
      <c r="AH239" t="str">
        <f t="shared" si="279"/>
        <v/>
      </c>
      <c r="AN239" t="str">
        <f t="shared" si="280"/>
        <v/>
      </c>
      <c r="AO239" t="str">
        <f>IF(A239&lt;&gt;"", IF(OR(F239="1",H239="1",I239="1"),""," "&amp; HELPER!$B$94 &amp; "." &amp; A239),"")</f>
        <v/>
      </c>
      <c r="AP239" t="str">
        <f t="shared" si="281"/>
        <v/>
      </c>
      <c r="AS239" t="str">
        <f>IF(A239="","",  HELPER!$B$94 &amp;  "." &amp; A239)</f>
        <v/>
      </c>
      <c r="AT239" t="str">
        <f t="shared" si="282"/>
        <v/>
      </c>
      <c r="AU239" t="str">
        <f t="shared" si="283"/>
        <v/>
      </c>
      <c r="AX239" t="str">
        <f>IF(COLUMNS!J190="","","LEFT JOIN "&amp; Options!$B$23 &amp; "." &amp;  COLUMNS!J190 &amp; " ON ")</f>
        <v/>
      </c>
      <c r="AY239" t="str">
        <f t="shared" si="284"/>
        <v/>
      </c>
      <c r="BA239" t="str">
        <f>IF(AZ239="","", "CAST(" &amp; AZ239 &amp; " AS varchar(" &amp; Options!$B$49 &amp; "))")</f>
        <v/>
      </c>
      <c r="BB239" t="str">
        <f t="shared" ca="1" si="285"/>
        <v/>
      </c>
      <c r="BC239" t="str">
        <f t="shared" si="294"/>
        <v/>
      </c>
      <c r="BF239" t="str">
        <f t="shared" si="286"/>
        <v/>
      </c>
      <c r="BG239" t="str">
        <f t="shared" si="287"/>
        <v/>
      </c>
      <c r="BH239" s="285" t="str">
        <f t="shared" ca="1" si="295"/>
        <v/>
      </c>
      <c r="BJ239" t="str">
        <f t="shared" si="288"/>
        <v/>
      </c>
      <c r="BM239" t="str">
        <f t="shared" si="296"/>
        <v/>
      </c>
      <c r="BN239" t="str">
        <f t="shared" si="297"/>
        <v/>
      </c>
      <c r="BO239" t="str">
        <f t="shared" ca="1" si="289"/>
        <v/>
      </c>
      <c r="BR239" t="str">
        <f t="shared" si="290"/>
        <v/>
      </c>
      <c r="BS239" t="str">
        <f t="shared" ca="1" si="291"/>
        <v/>
      </c>
      <c r="BT239" t="str">
        <f t="shared" si="298"/>
        <v/>
      </c>
      <c r="BU239" t="str">
        <f t="shared" si="292"/>
        <v/>
      </c>
      <c r="BV239">
        <f t="shared" si="293"/>
        <v>0</v>
      </c>
    </row>
    <row r="240" spans="6:74">
      <c r="F240" s="164">
        <f t="shared" ca="1" si="273"/>
        <v>0</v>
      </c>
      <c r="G240" s="164" t="str">
        <f t="array" aca="1" ref="G240" ca="1">IF(TRIM(INDIRECT("Columns!D2"))="","",TRIM(INDIRECT("Columns!D2")))</f>
        <v/>
      </c>
      <c r="S240" t="str">
        <f t="shared" si="274"/>
        <v/>
      </c>
      <c r="V240" t="str">
        <f t="shared" si="275"/>
        <v/>
      </c>
      <c r="Y240" t="str">
        <f t="shared" ca="1" si="276"/>
        <v/>
      </c>
      <c r="Z240" t="str">
        <f t="shared" ca="1" si="277"/>
        <v/>
      </c>
      <c r="AA240" t="str">
        <f>IF( A240="","",IF(OR(F240="1",H240="1",I240="1"),"","COALESCE (CAST("&amp;A240&amp;" as varchar(" &amp; Options!$B$49&amp; ")),'')"))</f>
        <v/>
      </c>
      <c r="AB240" t="str">
        <f>IF(C240="string",  IF( A240="","",IF(OR(F240="1",H240="1",I240="1"),"","COALESCE (CAST(lower("&amp;A240&amp;") as varchar(" &amp;Options!$B$49 &amp; ")),'')")),AA240)</f>
        <v/>
      </c>
      <c r="AE240" t="str">
        <f t="shared" si="278"/>
        <v/>
      </c>
      <c r="AF240" t="str">
        <f>IF(AE240&lt;&gt;"", HELPER!$B$93 &amp;  "." &amp; AE240,"")</f>
        <v/>
      </c>
      <c r="AG240" t="str">
        <f>IF(AE240&lt;&gt;"", HELPER!$B$94 &amp; "." &amp; AE240,"")</f>
        <v/>
      </c>
      <c r="AH240" t="str">
        <f t="shared" si="279"/>
        <v/>
      </c>
      <c r="AN240" t="str">
        <f t="shared" si="280"/>
        <v/>
      </c>
      <c r="AO240" t="str">
        <f>IF(A240&lt;&gt;"", IF(OR(F240="1",H240="1",I240="1"),""," "&amp; HELPER!$B$94 &amp; "." &amp; A240),"")</f>
        <v/>
      </c>
      <c r="AP240" t="str">
        <f t="shared" si="281"/>
        <v/>
      </c>
      <c r="AS240" t="str">
        <f>IF(A240="","",  HELPER!$B$94 &amp;  "." &amp; A240)</f>
        <v/>
      </c>
      <c r="AT240" t="str">
        <f t="shared" si="282"/>
        <v/>
      </c>
      <c r="AU240" t="str">
        <f t="shared" si="283"/>
        <v/>
      </c>
      <c r="AX240" t="str">
        <f>IF(COLUMNS!J191="","","LEFT JOIN "&amp; Options!$B$23 &amp; "." &amp;  COLUMNS!J191 &amp; " ON ")</f>
        <v/>
      </c>
      <c r="AY240" t="str">
        <f t="shared" si="284"/>
        <v/>
      </c>
      <c r="BA240" t="str">
        <f>IF(AZ240="","", "CAST(" &amp; AZ240 &amp; " AS varchar(" &amp; Options!$B$49 &amp; "))")</f>
        <v/>
      </c>
      <c r="BB240" t="str">
        <f t="shared" ca="1" si="285"/>
        <v/>
      </c>
      <c r="BC240" t="str">
        <f t="shared" si="294"/>
        <v/>
      </c>
      <c r="BF240" t="str">
        <f t="shared" si="286"/>
        <v/>
      </c>
      <c r="BG240" t="str">
        <f t="shared" si="287"/>
        <v/>
      </c>
      <c r="BH240" s="285" t="str">
        <f t="shared" ca="1" si="295"/>
        <v/>
      </c>
      <c r="BJ240" t="str">
        <f t="shared" si="288"/>
        <v/>
      </c>
      <c r="BM240" t="str">
        <f t="shared" si="296"/>
        <v/>
      </c>
      <c r="BN240" t="str">
        <f t="shared" si="297"/>
        <v/>
      </c>
      <c r="BO240" t="str">
        <f t="shared" ca="1" si="289"/>
        <v/>
      </c>
      <c r="BR240" t="str">
        <f t="shared" si="290"/>
        <v/>
      </c>
      <c r="BS240" t="str">
        <f t="shared" ca="1" si="291"/>
        <v/>
      </c>
      <c r="BT240" t="str">
        <f t="shared" si="298"/>
        <v/>
      </c>
      <c r="BU240" t="str">
        <f t="shared" si="292"/>
        <v/>
      </c>
      <c r="BV240">
        <f t="shared" si="293"/>
        <v>0</v>
      </c>
    </row>
    <row r="241" spans="6:74">
      <c r="F241" s="164">
        <f t="shared" ca="1" si="273"/>
        <v>0</v>
      </c>
      <c r="G241" s="164" t="str">
        <f t="array" aca="1" ref="G241" ca="1">IF(TRIM(INDIRECT("Columns!D2"))="","",TRIM(INDIRECT("Columns!D2")))</f>
        <v/>
      </c>
      <c r="S241" t="str">
        <f t="shared" si="274"/>
        <v/>
      </c>
      <c r="V241" t="str">
        <f t="shared" si="275"/>
        <v/>
      </c>
      <c r="Y241" t="str">
        <f t="shared" ca="1" si="276"/>
        <v/>
      </c>
      <c r="Z241" t="str">
        <f t="shared" ca="1" si="277"/>
        <v/>
      </c>
      <c r="AA241" t="str">
        <f>IF( A241="","",IF(OR(F241="1",H241="1",I241="1"),"","COALESCE (CAST("&amp;A241&amp;" as varchar(" &amp; Options!$B$49&amp; ")),'')"))</f>
        <v/>
      </c>
      <c r="AB241" t="str">
        <f>IF(C241="string",  IF( A241="","",IF(OR(F241="1",H241="1",I241="1"),"","COALESCE (CAST(lower("&amp;A241&amp;") as varchar(" &amp;Options!$B$49 &amp; ")),'')")),AA241)</f>
        <v/>
      </c>
      <c r="AE241" t="str">
        <f t="shared" si="278"/>
        <v/>
      </c>
      <c r="AF241" t="str">
        <f>IF(AE241&lt;&gt;"", HELPER!$B$93 &amp;  "." &amp; AE241,"")</f>
        <v/>
      </c>
      <c r="AG241" t="str">
        <f>IF(AE241&lt;&gt;"", HELPER!$B$94 &amp; "." &amp; AE241,"")</f>
        <v/>
      </c>
      <c r="AH241" t="str">
        <f t="shared" si="279"/>
        <v/>
      </c>
      <c r="AN241" t="str">
        <f t="shared" si="280"/>
        <v/>
      </c>
      <c r="AO241" t="str">
        <f>IF(A241&lt;&gt;"", IF(OR(F241="1",H241="1",I241="1"),""," "&amp; HELPER!$B$94 &amp; "." &amp; A241),"")</f>
        <v/>
      </c>
      <c r="AP241" t="str">
        <f t="shared" si="281"/>
        <v/>
      </c>
      <c r="AS241" t="str">
        <f>IF(A241="","",  HELPER!$B$94 &amp;  "." &amp; A241)</f>
        <v/>
      </c>
      <c r="AT241" t="str">
        <f t="shared" si="282"/>
        <v/>
      </c>
      <c r="AU241" t="str">
        <f t="shared" si="283"/>
        <v/>
      </c>
      <c r="AX241" t="str">
        <f>IF(COLUMNS!J192="","","LEFT JOIN "&amp; Options!$B$23 &amp; "." &amp;  COLUMNS!J192 &amp; " ON ")</f>
        <v/>
      </c>
      <c r="AY241" t="str">
        <f t="shared" si="284"/>
        <v/>
      </c>
      <c r="BA241" t="str">
        <f>IF(AZ241="","", "CAST(" &amp; AZ241 &amp; " AS varchar(" &amp; Options!$B$49 &amp; "))")</f>
        <v/>
      </c>
      <c r="BB241" t="str">
        <f t="shared" ca="1" si="285"/>
        <v/>
      </c>
      <c r="BC241" t="str">
        <f t="shared" si="294"/>
        <v/>
      </c>
      <c r="BF241" t="str">
        <f t="shared" si="286"/>
        <v/>
      </c>
      <c r="BG241" t="str">
        <f t="shared" si="287"/>
        <v/>
      </c>
      <c r="BH241" s="285" t="str">
        <f t="shared" ca="1" si="295"/>
        <v/>
      </c>
      <c r="BJ241" t="str">
        <f t="shared" si="288"/>
        <v/>
      </c>
      <c r="BM241" t="str">
        <f t="shared" si="296"/>
        <v/>
      </c>
      <c r="BN241" t="str">
        <f t="shared" si="297"/>
        <v/>
      </c>
      <c r="BO241" t="str">
        <f t="shared" ca="1" si="289"/>
        <v/>
      </c>
      <c r="BR241" t="str">
        <f t="shared" si="290"/>
        <v/>
      </c>
      <c r="BS241" t="str">
        <f t="shared" ca="1" si="291"/>
        <v/>
      </c>
      <c r="BT241" t="str">
        <f t="shared" si="298"/>
        <v/>
      </c>
      <c r="BU241" t="str">
        <f t="shared" si="292"/>
        <v/>
      </c>
      <c r="BV241">
        <f t="shared" si="293"/>
        <v>0</v>
      </c>
    </row>
    <row r="242" spans="6:74">
      <c r="F242" s="164">
        <f t="shared" ca="1" si="273"/>
        <v>0</v>
      </c>
      <c r="G242" s="164" t="str">
        <f t="array" aca="1" ref="G242" ca="1">IF(TRIM(INDIRECT("Columns!D2"))="","",TRIM(INDIRECT("Columns!D2")))</f>
        <v/>
      </c>
      <c r="S242" t="str">
        <f t="shared" si="274"/>
        <v/>
      </c>
      <c r="V242" t="str">
        <f t="shared" si="275"/>
        <v/>
      </c>
      <c r="Y242" t="str">
        <f t="shared" ca="1" si="276"/>
        <v/>
      </c>
      <c r="Z242" t="str">
        <f t="shared" ca="1" si="277"/>
        <v/>
      </c>
      <c r="AA242" t="str">
        <f>IF( A242="","",IF(OR(F242="1",H242="1",I242="1"),"","COALESCE (CAST("&amp;A242&amp;" as varchar(" &amp; Options!$B$49&amp; ")),'')"))</f>
        <v/>
      </c>
      <c r="AB242" t="str">
        <f>IF(C242="string",  IF( A242="","",IF(OR(F242="1",H242="1",I242="1"),"","COALESCE (CAST(lower("&amp;A242&amp;") as varchar(" &amp;Options!$B$49 &amp; ")),'')")),AA242)</f>
        <v/>
      </c>
      <c r="AE242" t="str">
        <f t="shared" si="278"/>
        <v/>
      </c>
      <c r="AF242" t="str">
        <f>IF(AE242&lt;&gt;"", HELPER!$B$93 &amp;  "." &amp; AE242,"")</f>
        <v/>
      </c>
      <c r="AG242" t="str">
        <f>IF(AE242&lt;&gt;"", HELPER!$B$94 &amp; "." &amp; AE242,"")</f>
        <v/>
      </c>
      <c r="AH242" t="str">
        <f t="shared" si="279"/>
        <v/>
      </c>
      <c r="AN242" t="str">
        <f t="shared" si="280"/>
        <v/>
      </c>
      <c r="AO242" t="str">
        <f>IF(A242&lt;&gt;"", IF(OR(F242="1",H242="1",I242="1"),""," "&amp; HELPER!$B$94 &amp; "." &amp; A242),"")</f>
        <v/>
      </c>
      <c r="AP242" t="str">
        <f t="shared" si="281"/>
        <v/>
      </c>
      <c r="AS242" t="str">
        <f>IF(A242="","",  HELPER!$B$94 &amp;  "." &amp; A242)</f>
        <v/>
      </c>
      <c r="AT242" t="str">
        <f t="shared" si="282"/>
        <v/>
      </c>
      <c r="AU242" t="str">
        <f t="shared" si="283"/>
        <v/>
      </c>
      <c r="AX242" t="str">
        <f>IF(COLUMNS!J193="","","LEFT JOIN "&amp; Options!$B$23 &amp; "." &amp;  COLUMNS!J193 &amp; " ON ")</f>
        <v/>
      </c>
      <c r="AY242" t="str">
        <f t="shared" si="284"/>
        <v/>
      </c>
      <c r="BA242" t="str">
        <f>IF(AZ242="","", "CAST(" &amp; AZ242 &amp; " AS varchar(" &amp; Options!$B$49 &amp; "))")</f>
        <v/>
      </c>
      <c r="BB242" t="str">
        <f t="shared" ca="1" si="285"/>
        <v/>
      </c>
      <c r="BC242" t="str">
        <f t="shared" si="294"/>
        <v/>
      </c>
      <c r="BF242" t="str">
        <f t="shared" si="286"/>
        <v/>
      </c>
      <c r="BG242" t="str">
        <f t="shared" si="287"/>
        <v/>
      </c>
      <c r="BH242" s="285" t="str">
        <f t="shared" ca="1" si="295"/>
        <v/>
      </c>
      <c r="BJ242" t="str">
        <f t="shared" si="288"/>
        <v/>
      </c>
      <c r="BM242" t="str">
        <f t="shared" si="296"/>
        <v/>
      </c>
      <c r="BN242" t="str">
        <f t="shared" si="297"/>
        <v/>
      </c>
      <c r="BO242" t="str">
        <f t="shared" ca="1" si="289"/>
        <v/>
      </c>
      <c r="BR242" t="str">
        <f t="shared" si="290"/>
        <v/>
      </c>
      <c r="BS242" t="str">
        <f t="shared" ca="1" si="291"/>
        <v/>
      </c>
      <c r="BT242" t="str">
        <f t="shared" si="298"/>
        <v/>
      </c>
      <c r="BU242" t="str">
        <f t="shared" si="292"/>
        <v/>
      </c>
      <c r="BV242">
        <f t="shared" si="293"/>
        <v>0</v>
      </c>
    </row>
    <row r="243" spans="6:74">
      <c r="F243" s="164">
        <f t="shared" ca="1" si="273"/>
        <v>0</v>
      </c>
      <c r="G243" s="164" t="str">
        <f t="array" aca="1" ref="G243" ca="1">IF(TRIM(INDIRECT("Columns!D2"))="","",TRIM(INDIRECT("Columns!D2")))</f>
        <v/>
      </c>
      <c r="S243" t="str">
        <f t="shared" si="274"/>
        <v/>
      </c>
      <c r="V243" t="str">
        <f t="shared" si="275"/>
        <v/>
      </c>
      <c r="Y243" t="str">
        <f t="shared" ca="1" si="276"/>
        <v/>
      </c>
      <c r="Z243" t="str">
        <f t="shared" ca="1" si="277"/>
        <v/>
      </c>
      <c r="AA243" t="str">
        <f>IF( A243="","",IF(OR(F243="1",H243="1",I243="1"),"","COALESCE (CAST("&amp;A243&amp;" as varchar(" &amp; Options!$B$49&amp; ")),'')"))</f>
        <v/>
      </c>
      <c r="AB243" t="str">
        <f>IF(C243="string",  IF( A243="","",IF(OR(F243="1",H243="1",I243="1"),"","COALESCE (CAST(lower("&amp;A243&amp;") as varchar(" &amp;Options!$B$49 &amp; ")),'')")),AA243)</f>
        <v/>
      </c>
      <c r="AE243" t="str">
        <f t="shared" si="278"/>
        <v/>
      </c>
      <c r="AF243" t="str">
        <f>IF(AE243&lt;&gt;"", HELPER!$B$93 &amp;  "." &amp; AE243,"")</f>
        <v/>
      </c>
      <c r="AG243" t="str">
        <f>IF(AE243&lt;&gt;"", HELPER!$B$94 &amp; "." &amp; AE243,"")</f>
        <v/>
      </c>
      <c r="AH243" t="str">
        <f t="shared" si="279"/>
        <v/>
      </c>
      <c r="AN243" t="str">
        <f t="shared" si="280"/>
        <v/>
      </c>
      <c r="AO243" t="str">
        <f>IF(A243&lt;&gt;"", IF(OR(F243="1",H243="1",I243="1"),""," "&amp; HELPER!$B$94 &amp; "." &amp; A243),"")</f>
        <v/>
      </c>
      <c r="AP243" t="str">
        <f t="shared" si="281"/>
        <v/>
      </c>
      <c r="AS243" t="str">
        <f>IF(A243="","",  HELPER!$B$94 &amp;  "." &amp; A243)</f>
        <v/>
      </c>
      <c r="AT243" t="str">
        <f t="shared" si="282"/>
        <v/>
      </c>
      <c r="AU243" t="str">
        <f t="shared" si="283"/>
        <v/>
      </c>
      <c r="AX243" t="str">
        <f>IF(COLUMNS!J194="","","LEFT JOIN "&amp; Options!$B$23 &amp; "." &amp;  COLUMNS!J194 &amp; " ON ")</f>
        <v/>
      </c>
      <c r="AY243" t="str">
        <f t="shared" si="284"/>
        <v/>
      </c>
      <c r="BA243" t="str">
        <f>IF(AZ243="","", "CAST(" &amp; AZ243 &amp; " AS varchar(" &amp; Options!$B$49 &amp; "))")</f>
        <v/>
      </c>
      <c r="BB243" t="str">
        <f t="shared" ca="1" si="285"/>
        <v/>
      </c>
      <c r="BC243" t="str">
        <f t="shared" si="294"/>
        <v/>
      </c>
      <c r="BF243" t="str">
        <f t="shared" si="286"/>
        <v/>
      </c>
      <c r="BG243" t="str">
        <f t="shared" si="287"/>
        <v/>
      </c>
      <c r="BH243" s="285" t="str">
        <f t="shared" ca="1" si="295"/>
        <v/>
      </c>
      <c r="BJ243" t="str">
        <f t="shared" si="288"/>
        <v/>
      </c>
      <c r="BM243" t="str">
        <f t="shared" si="296"/>
        <v/>
      </c>
      <c r="BN243" t="str">
        <f t="shared" si="297"/>
        <v/>
      </c>
      <c r="BO243" t="str">
        <f t="shared" ca="1" si="289"/>
        <v/>
      </c>
      <c r="BR243" t="str">
        <f t="shared" si="290"/>
        <v/>
      </c>
      <c r="BS243" t="str">
        <f t="shared" ca="1" si="291"/>
        <v/>
      </c>
      <c r="BT243" t="str">
        <f t="shared" si="298"/>
        <v/>
      </c>
      <c r="BU243" t="str">
        <f t="shared" si="292"/>
        <v/>
      </c>
      <c r="BV243">
        <f t="shared" si="293"/>
        <v>0</v>
      </c>
    </row>
    <row r="244" spans="6:74">
      <c r="F244" s="164">
        <f t="shared" ca="1" si="273"/>
        <v>0</v>
      </c>
      <c r="G244" s="164" t="str">
        <f t="array" aca="1" ref="G244" ca="1">IF(TRIM(INDIRECT("Columns!D2"))="","",TRIM(INDIRECT("Columns!D2")))</f>
        <v/>
      </c>
      <c r="S244" t="str">
        <f t="shared" si="274"/>
        <v/>
      </c>
      <c r="V244" t="str">
        <f t="shared" si="275"/>
        <v/>
      </c>
      <c r="Y244" t="str">
        <f t="shared" ca="1" si="276"/>
        <v/>
      </c>
      <c r="Z244" t="str">
        <f t="shared" ca="1" si="277"/>
        <v/>
      </c>
      <c r="AA244" t="str">
        <f>IF( A244="","",IF(OR(F244="1",H244="1",I244="1"),"","COALESCE (CAST("&amp;A244&amp;" as varchar(" &amp; Options!$B$49&amp; ")),'')"))</f>
        <v/>
      </c>
      <c r="AB244" t="str">
        <f>IF(C244="string",  IF( A244="","",IF(OR(F244="1",H244="1",I244="1"),"","COALESCE (CAST(lower("&amp;A244&amp;") as varchar(" &amp;Options!$B$49 &amp; ")),'')")),AA244)</f>
        <v/>
      </c>
      <c r="AE244" t="str">
        <f t="shared" si="278"/>
        <v/>
      </c>
      <c r="AF244" t="str">
        <f>IF(AE244&lt;&gt;"", HELPER!$B$93 &amp;  "." &amp; AE244,"")</f>
        <v/>
      </c>
      <c r="AG244" t="str">
        <f>IF(AE244&lt;&gt;"", HELPER!$B$94 &amp; "." &amp; AE244,"")</f>
        <v/>
      </c>
      <c r="AH244" t="str">
        <f t="shared" si="279"/>
        <v/>
      </c>
      <c r="AN244" t="str">
        <f t="shared" si="280"/>
        <v/>
      </c>
      <c r="AO244" t="str">
        <f>IF(A244&lt;&gt;"", IF(OR(F244="1",H244="1",I244="1"),""," "&amp; HELPER!$B$94 &amp; "." &amp; A244),"")</f>
        <v/>
      </c>
      <c r="AP244" t="str">
        <f t="shared" si="281"/>
        <v/>
      </c>
      <c r="AS244" t="str">
        <f>IF(A244="","",  HELPER!$B$94 &amp;  "." &amp; A244)</f>
        <v/>
      </c>
      <c r="AT244" t="str">
        <f t="shared" si="282"/>
        <v/>
      </c>
      <c r="AU244" t="str">
        <f t="shared" si="283"/>
        <v/>
      </c>
      <c r="AX244" t="str">
        <f>IF(COLUMNS!J195="","","LEFT JOIN "&amp; Options!$B$23 &amp; "." &amp;  COLUMNS!J195 &amp; " ON ")</f>
        <v/>
      </c>
      <c r="AY244" t="str">
        <f t="shared" si="284"/>
        <v/>
      </c>
      <c r="BA244" t="str">
        <f>IF(AZ244="","", "CAST(" &amp; AZ244 &amp; " AS varchar(" &amp; Options!$B$49 &amp; "))")</f>
        <v/>
      </c>
      <c r="BB244" t="str">
        <f t="shared" ca="1" si="285"/>
        <v/>
      </c>
      <c r="BC244" t="str">
        <f t="shared" si="294"/>
        <v/>
      </c>
      <c r="BF244" t="str">
        <f t="shared" si="286"/>
        <v/>
      </c>
      <c r="BG244" t="str">
        <f t="shared" si="287"/>
        <v/>
      </c>
      <c r="BH244" s="285" t="str">
        <f t="shared" ca="1" si="295"/>
        <v/>
      </c>
      <c r="BJ244" t="str">
        <f t="shared" si="288"/>
        <v/>
      </c>
      <c r="BM244" t="str">
        <f t="shared" si="296"/>
        <v/>
      </c>
      <c r="BN244" t="str">
        <f t="shared" si="297"/>
        <v/>
      </c>
      <c r="BO244" t="str">
        <f t="shared" ca="1" si="289"/>
        <v/>
      </c>
      <c r="BR244" t="str">
        <f t="shared" si="290"/>
        <v/>
      </c>
      <c r="BS244" t="str">
        <f t="shared" ca="1" si="291"/>
        <v/>
      </c>
      <c r="BT244" t="str">
        <f t="shared" si="298"/>
        <v/>
      </c>
      <c r="BU244" t="str">
        <f t="shared" si="292"/>
        <v/>
      </c>
      <c r="BV244">
        <f t="shared" si="293"/>
        <v>0</v>
      </c>
    </row>
    <row r="245" spans="6:74">
      <c r="F245" s="164">
        <f t="shared" ca="1" si="273"/>
        <v>0</v>
      </c>
      <c r="G245" s="164" t="str">
        <f t="array" aca="1" ref="G245" ca="1">IF(TRIM(INDIRECT("Columns!D2"))="","",TRIM(INDIRECT("Columns!D2")))</f>
        <v/>
      </c>
      <c r="S245" t="str">
        <f t="shared" si="274"/>
        <v/>
      </c>
      <c r="V245" t="str">
        <f t="shared" si="275"/>
        <v/>
      </c>
      <c r="Y245" t="str">
        <f t="shared" ca="1" si="276"/>
        <v/>
      </c>
      <c r="Z245" t="str">
        <f t="shared" ca="1" si="277"/>
        <v/>
      </c>
      <c r="AA245" t="str">
        <f>IF( A245="","",IF(OR(F245="1",H245="1",I245="1"),"","COALESCE (CAST("&amp;A245&amp;" as varchar(" &amp; Options!$B$49&amp; ")),'')"))</f>
        <v/>
      </c>
      <c r="AB245" t="str">
        <f>IF(C245="string",  IF( A245="","",IF(OR(F245="1",H245="1",I245="1"),"","COALESCE (CAST(lower("&amp;A245&amp;") as varchar(" &amp;Options!$B$49 &amp; ")),'')")),AA245)</f>
        <v/>
      </c>
      <c r="AE245" t="str">
        <f t="shared" si="278"/>
        <v/>
      </c>
      <c r="AF245" t="str">
        <f>IF(AE245&lt;&gt;"", HELPER!$B$93 &amp;  "." &amp; AE245,"")</f>
        <v/>
      </c>
      <c r="AG245" t="str">
        <f>IF(AE245&lt;&gt;"", HELPER!$B$94 &amp; "." &amp; AE245,"")</f>
        <v/>
      </c>
      <c r="AH245" t="str">
        <f t="shared" si="279"/>
        <v/>
      </c>
      <c r="AN245" t="str">
        <f t="shared" si="280"/>
        <v/>
      </c>
      <c r="AO245" t="str">
        <f>IF(A245&lt;&gt;"", IF(OR(F245="1",H245="1",I245="1"),""," "&amp; HELPER!$B$94 &amp; "." &amp; A245),"")</f>
        <v/>
      </c>
      <c r="AP245" t="str">
        <f t="shared" si="281"/>
        <v/>
      </c>
      <c r="AS245" t="str">
        <f>IF(A245="","",  HELPER!$B$94 &amp;  "." &amp; A245)</f>
        <v/>
      </c>
      <c r="AT245" t="str">
        <f t="shared" si="282"/>
        <v/>
      </c>
      <c r="AU245" t="str">
        <f t="shared" si="283"/>
        <v/>
      </c>
      <c r="AX245" t="str">
        <f>IF(COLUMNS!J196="","","LEFT JOIN "&amp; Options!$B$23 &amp; "." &amp;  COLUMNS!J196 &amp; " ON ")</f>
        <v/>
      </c>
      <c r="AY245" t="str">
        <f t="shared" si="284"/>
        <v/>
      </c>
      <c r="BA245" t="str">
        <f>IF(AZ245="","", "CAST(" &amp; AZ245 &amp; " AS varchar(" &amp; Options!$B$49 &amp; "))")</f>
        <v/>
      </c>
      <c r="BB245" t="str">
        <f t="shared" ca="1" si="285"/>
        <v/>
      </c>
      <c r="BC245" t="str">
        <f t="shared" si="294"/>
        <v/>
      </c>
      <c r="BF245" t="str">
        <f t="shared" si="286"/>
        <v/>
      </c>
      <c r="BG245" t="str">
        <f t="shared" si="287"/>
        <v/>
      </c>
      <c r="BH245" s="285" t="str">
        <f t="shared" ca="1" si="295"/>
        <v/>
      </c>
      <c r="BJ245" t="str">
        <f t="shared" si="288"/>
        <v/>
      </c>
      <c r="BM245" t="str">
        <f t="shared" si="296"/>
        <v/>
      </c>
      <c r="BN245" t="str">
        <f t="shared" si="297"/>
        <v/>
      </c>
      <c r="BO245" t="str">
        <f t="shared" ca="1" si="289"/>
        <v/>
      </c>
      <c r="BR245" t="str">
        <f t="shared" si="290"/>
        <v/>
      </c>
      <c r="BS245" t="str">
        <f t="shared" ca="1" si="291"/>
        <v/>
      </c>
      <c r="BT245" t="str">
        <f t="shared" si="298"/>
        <v/>
      </c>
      <c r="BU245" t="str">
        <f t="shared" si="292"/>
        <v/>
      </c>
      <c r="BV245">
        <f t="shared" si="293"/>
        <v>0</v>
      </c>
    </row>
    <row r="246" spans="6:74">
      <c r="F246" s="164">
        <f t="shared" ca="1" si="273"/>
        <v>0</v>
      </c>
      <c r="G246" s="164" t="str">
        <f t="array" aca="1" ref="G246" ca="1">IF(TRIM(INDIRECT("Columns!D2"))="","",TRIM(INDIRECT("Columns!D2")))</f>
        <v/>
      </c>
      <c r="S246" t="str">
        <f t="shared" si="274"/>
        <v/>
      </c>
      <c r="V246" t="str">
        <f t="shared" si="275"/>
        <v/>
      </c>
      <c r="Y246" t="str">
        <f t="shared" ca="1" si="276"/>
        <v/>
      </c>
      <c r="Z246" t="str">
        <f t="shared" ca="1" si="277"/>
        <v/>
      </c>
      <c r="AA246" t="str">
        <f>IF( A246="","",IF(OR(F246="1",H246="1",I246="1"),"","COALESCE (CAST("&amp;A246&amp;" as varchar(" &amp; Options!$B$49&amp; ")),'')"))</f>
        <v/>
      </c>
      <c r="AB246" t="str">
        <f>IF(C246="string",  IF( A246="","",IF(OR(F246="1",H246="1",I246="1"),"","COALESCE (CAST(lower("&amp;A246&amp;") as varchar(" &amp;Options!$B$49 &amp; ")),'')")),AA246)</f>
        <v/>
      </c>
      <c r="AE246" t="str">
        <f t="shared" si="278"/>
        <v/>
      </c>
      <c r="AF246" t="str">
        <f>IF(AE246&lt;&gt;"", HELPER!$B$93 &amp;  "." &amp; AE246,"")</f>
        <v/>
      </c>
      <c r="AG246" t="str">
        <f>IF(AE246&lt;&gt;"", HELPER!$B$94 &amp; "." &amp; AE246,"")</f>
        <v/>
      </c>
      <c r="AH246" t="str">
        <f t="shared" si="279"/>
        <v/>
      </c>
      <c r="AN246" t="str">
        <f t="shared" si="280"/>
        <v/>
      </c>
      <c r="AO246" t="str">
        <f>IF(A246&lt;&gt;"", IF(OR(F246="1",H246="1",I246="1"),""," "&amp; HELPER!$B$94 &amp; "." &amp; A246),"")</f>
        <v/>
      </c>
      <c r="AP246" t="str">
        <f t="shared" si="281"/>
        <v/>
      </c>
      <c r="AS246" t="str">
        <f>IF(A246="","",  HELPER!$B$94 &amp;  "." &amp; A246)</f>
        <v/>
      </c>
      <c r="AT246" t="str">
        <f t="shared" si="282"/>
        <v/>
      </c>
      <c r="AU246" t="str">
        <f t="shared" si="283"/>
        <v/>
      </c>
      <c r="AX246" t="str">
        <f>IF(COLUMNS!J197="","","LEFT JOIN "&amp; Options!$B$23 &amp; "." &amp;  COLUMNS!J197 &amp; " ON ")</f>
        <v/>
      </c>
      <c r="AY246" t="str">
        <f t="shared" si="284"/>
        <v/>
      </c>
      <c r="BA246" t="str">
        <f>IF(AZ246="","", "CAST(" &amp; AZ246 &amp; " AS varchar(" &amp; Options!$B$49 &amp; "))")</f>
        <v/>
      </c>
      <c r="BB246" t="str">
        <f t="shared" ca="1" si="285"/>
        <v/>
      </c>
      <c r="BC246" t="str">
        <f t="shared" si="294"/>
        <v/>
      </c>
      <c r="BF246" t="str">
        <f t="shared" si="286"/>
        <v/>
      </c>
      <c r="BG246" t="str">
        <f t="shared" si="287"/>
        <v/>
      </c>
      <c r="BH246" s="285" t="str">
        <f t="shared" ca="1" si="295"/>
        <v/>
      </c>
      <c r="BJ246" t="str">
        <f t="shared" si="288"/>
        <v/>
      </c>
      <c r="BM246" t="str">
        <f t="shared" si="296"/>
        <v/>
      </c>
      <c r="BN246" t="str">
        <f t="shared" si="297"/>
        <v/>
      </c>
      <c r="BO246" t="str">
        <f t="shared" ca="1" si="289"/>
        <v/>
      </c>
      <c r="BR246" t="str">
        <f t="shared" si="290"/>
        <v/>
      </c>
      <c r="BS246" t="str">
        <f t="shared" ca="1" si="291"/>
        <v/>
      </c>
      <c r="BT246" t="str">
        <f t="shared" si="298"/>
        <v/>
      </c>
      <c r="BU246" t="str">
        <f t="shared" si="292"/>
        <v/>
      </c>
      <c r="BV246">
        <f t="shared" si="293"/>
        <v>0</v>
      </c>
    </row>
    <row r="247" spans="6:74">
      <c r="F247" s="164">
        <f t="shared" ca="1" si="273"/>
        <v>0</v>
      </c>
      <c r="G247" s="164" t="str">
        <f t="array" aca="1" ref="G247" ca="1">IF(TRIM(INDIRECT("Columns!D2"))="","",TRIM(INDIRECT("Columns!D2")))</f>
        <v/>
      </c>
      <c r="S247" t="str">
        <f t="shared" si="274"/>
        <v/>
      </c>
      <c r="V247" t="str">
        <f t="shared" si="275"/>
        <v/>
      </c>
      <c r="Y247" t="str">
        <f t="shared" ca="1" si="276"/>
        <v/>
      </c>
      <c r="Z247" t="str">
        <f t="shared" ca="1" si="277"/>
        <v/>
      </c>
      <c r="AA247" t="str">
        <f>IF( A247="","",IF(OR(F247="1",H247="1",I247="1"),"","COALESCE (CAST("&amp;A247&amp;" as varchar(" &amp; Options!$B$49&amp; ")),'')"))</f>
        <v/>
      </c>
      <c r="AB247" t="str">
        <f>IF(C247="string",  IF( A247="","",IF(OR(F247="1",H247="1",I247="1"),"","COALESCE (CAST(lower("&amp;A247&amp;") as varchar(" &amp;Options!$B$49 &amp; ")),'')")),AA247)</f>
        <v/>
      </c>
      <c r="AE247" t="str">
        <f t="shared" si="278"/>
        <v/>
      </c>
      <c r="AF247" t="str">
        <f>IF(AE247&lt;&gt;"", HELPER!$B$93 &amp;  "." &amp; AE247,"")</f>
        <v/>
      </c>
      <c r="AG247" t="str">
        <f>IF(AE247&lt;&gt;"", HELPER!$B$94 &amp; "." &amp; AE247,"")</f>
        <v/>
      </c>
      <c r="AH247" t="str">
        <f t="shared" si="279"/>
        <v/>
      </c>
      <c r="AN247" t="str">
        <f t="shared" si="280"/>
        <v/>
      </c>
      <c r="AO247" t="str">
        <f>IF(A247&lt;&gt;"", IF(OR(F247="1",H247="1",I247="1"),""," "&amp; HELPER!$B$94 &amp; "." &amp; A247),"")</f>
        <v/>
      </c>
      <c r="AP247" t="str">
        <f t="shared" si="281"/>
        <v/>
      </c>
      <c r="AS247" t="str">
        <f>IF(A247="","",  HELPER!$B$94 &amp;  "." &amp; A247)</f>
        <v/>
      </c>
      <c r="AT247" t="str">
        <f t="shared" si="282"/>
        <v/>
      </c>
      <c r="AU247" t="str">
        <f t="shared" si="283"/>
        <v/>
      </c>
      <c r="AX247" t="str">
        <f>IF(COLUMNS!J198="","","LEFT JOIN "&amp; Options!$B$23 &amp; "." &amp;  COLUMNS!J198 &amp; " ON ")</f>
        <v/>
      </c>
      <c r="AY247" t="str">
        <f t="shared" si="284"/>
        <v/>
      </c>
      <c r="BA247" t="str">
        <f>IF(AZ247="","", "CAST(" &amp; AZ247 &amp; " AS varchar(" &amp; Options!$B$49 &amp; "))")</f>
        <v/>
      </c>
      <c r="BB247" t="str">
        <f t="shared" ca="1" si="285"/>
        <v/>
      </c>
      <c r="BC247" t="str">
        <f t="shared" si="294"/>
        <v/>
      </c>
      <c r="BF247" t="str">
        <f t="shared" si="286"/>
        <v/>
      </c>
      <c r="BG247" t="str">
        <f t="shared" si="287"/>
        <v/>
      </c>
      <c r="BH247" s="285" t="str">
        <f t="shared" ca="1" si="295"/>
        <v/>
      </c>
      <c r="BJ247" t="str">
        <f t="shared" si="288"/>
        <v/>
      </c>
      <c r="BM247" t="str">
        <f t="shared" si="296"/>
        <v/>
      </c>
      <c r="BN247" t="str">
        <f t="shared" si="297"/>
        <v/>
      </c>
      <c r="BO247" t="str">
        <f t="shared" ca="1" si="289"/>
        <v/>
      </c>
      <c r="BR247" t="str">
        <f t="shared" si="290"/>
        <v/>
      </c>
      <c r="BS247" t="str">
        <f t="shared" ca="1" si="291"/>
        <v/>
      </c>
      <c r="BT247" t="str">
        <f t="shared" si="298"/>
        <v/>
      </c>
      <c r="BU247" t="str">
        <f t="shared" si="292"/>
        <v/>
      </c>
      <c r="BV247">
        <f t="shared" si="293"/>
        <v>0</v>
      </c>
    </row>
    <row r="248" spans="6:74">
      <c r="F248" s="164">
        <f t="shared" ca="1" si="273"/>
        <v>0</v>
      </c>
      <c r="G248" s="164" t="str">
        <f t="array" aca="1" ref="G248" ca="1">IF(TRIM(INDIRECT("Columns!D2"))="","",TRIM(INDIRECT("Columns!D2")))</f>
        <v/>
      </c>
      <c r="S248" t="str">
        <f t="shared" si="274"/>
        <v/>
      </c>
      <c r="V248" t="str">
        <f t="shared" si="275"/>
        <v/>
      </c>
      <c r="Y248" t="str">
        <f t="shared" ca="1" si="276"/>
        <v/>
      </c>
      <c r="Z248" t="str">
        <f t="shared" ca="1" si="277"/>
        <v/>
      </c>
      <c r="AA248" t="str">
        <f>IF( A248="","",IF(OR(F248="1",H248="1",I248="1"),"","COALESCE (CAST("&amp;A248&amp;" as varchar(" &amp; Options!$B$49&amp; ")),'')"))</f>
        <v/>
      </c>
      <c r="AB248" t="str">
        <f>IF(C248="string",  IF( A248="","",IF(OR(F248="1",H248="1",I248="1"),"","COALESCE (CAST(lower("&amp;A248&amp;") as varchar(" &amp;Options!$B$49 &amp; ")),'')")),AA248)</f>
        <v/>
      </c>
      <c r="AE248" t="str">
        <f t="shared" si="278"/>
        <v/>
      </c>
      <c r="AF248" t="str">
        <f>IF(AE248&lt;&gt;"", HELPER!$B$93 &amp;  "." &amp; AE248,"")</f>
        <v/>
      </c>
      <c r="AG248" t="str">
        <f>IF(AE248&lt;&gt;"", HELPER!$B$94 &amp; "." &amp; AE248,"")</f>
        <v/>
      </c>
      <c r="AH248" t="str">
        <f t="shared" si="279"/>
        <v/>
      </c>
      <c r="AN248" t="str">
        <f t="shared" si="280"/>
        <v/>
      </c>
      <c r="AO248" t="str">
        <f>IF(A248&lt;&gt;"", IF(OR(F248="1",H248="1",I248="1"),""," "&amp; HELPER!$B$94 &amp; "." &amp; A248),"")</f>
        <v/>
      </c>
      <c r="AP248" t="str">
        <f t="shared" si="281"/>
        <v/>
      </c>
      <c r="AS248" t="str">
        <f>IF(A248="","",  HELPER!$B$94 &amp;  "." &amp; A248)</f>
        <v/>
      </c>
      <c r="AT248" t="str">
        <f t="shared" si="282"/>
        <v/>
      </c>
      <c r="AU248" t="str">
        <f t="shared" si="283"/>
        <v/>
      </c>
      <c r="AX248" t="str">
        <f>IF(COLUMNS!J199="","","LEFT JOIN "&amp; Options!$B$23 &amp; "." &amp;  COLUMNS!J199 &amp; " ON ")</f>
        <v/>
      </c>
      <c r="AY248" t="str">
        <f t="shared" si="284"/>
        <v/>
      </c>
      <c r="BA248" t="str">
        <f>IF(AZ248="","", "CAST(" &amp; AZ248 &amp; " AS varchar(" &amp; Options!$B$49 &amp; "))")</f>
        <v/>
      </c>
      <c r="BB248" t="str">
        <f t="shared" ca="1" si="285"/>
        <v/>
      </c>
      <c r="BC248" t="str">
        <f t="shared" si="294"/>
        <v/>
      </c>
      <c r="BF248" t="str">
        <f t="shared" si="286"/>
        <v/>
      </c>
      <c r="BG248" t="str">
        <f t="shared" si="287"/>
        <v/>
      </c>
      <c r="BH248" s="285" t="str">
        <f t="shared" ca="1" si="295"/>
        <v/>
      </c>
      <c r="BJ248" t="str">
        <f t="shared" si="288"/>
        <v/>
      </c>
      <c r="BM248" t="str">
        <f t="shared" si="296"/>
        <v/>
      </c>
      <c r="BN248" t="str">
        <f t="shared" si="297"/>
        <v/>
      </c>
      <c r="BO248" t="str">
        <f t="shared" ca="1" si="289"/>
        <v/>
      </c>
      <c r="BR248" t="str">
        <f t="shared" si="290"/>
        <v/>
      </c>
      <c r="BS248" t="str">
        <f t="shared" ca="1" si="291"/>
        <v/>
      </c>
      <c r="BT248" t="str">
        <f t="shared" si="298"/>
        <v/>
      </c>
      <c r="BU248" t="str">
        <f t="shared" si="292"/>
        <v/>
      </c>
      <c r="BV248">
        <f t="shared" si="293"/>
        <v>0</v>
      </c>
    </row>
    <row r="249" spans="6:74">
      <c r="F249" s="164">
        <f t="shared" ca="1" si="273"/>
        <v>0</v>
      </c>
      <c r="G249" s="164" t="str">
        <f t="array" aca="1" ref="G249" ca="1">IF(TRIM(INDIRECT("Columns!D2"))="","",TRIM(INDIRECT("Columns!D2")))</f>
        <v/>
      </c>
      <c r="S249" t="str">
        <f t="shared" si="274"/>
        <v/>
      </c>
      <c r="V249" t="str">
        <f t="shared" si="275"/>
        <v/>
      </c>
      <c r="Y249" t="str">
        <f t="shared" ca="1" si="276"/>
        <v/>
      </c>
      <c r="Z249" t="str">
        <f t="shared" ca="1" si="277"/>
        <v/>
      </c>
      <c r="AA249" t="str">
        <f>IF( A249="","",IF(OR(F249="1",H249="1",I249="1"),"","COALESCE (CAST("&amp;A249&amp;" as varchar(" &amp; Options!$B$49&amp; ")),'')"))</f>
        <v/>
      </c>
      <c r="AB249" t="str">
        <f>IF(C249="string",  IF( A249="","",IF(OR(F249="1",H249="1",I249="1"),"","COALESCE (CAST(lower("&amp;A249&amp;") as varchar(" &amp;Options!$B$49 &amp; ")),'')")),AA249)</f>
        <v/>
      </c>
      <c r="AE249" t="str">
        <f t="shared" si="278"/>
        <v/>
      </c>
      <c r="AF249" t="str">
        <f>IF(AE249&lt;&gt;"", HELPER!$B$93 &amp;  "." &amp; AE249,"")</f>
        <v/>
      </c>
      <c r="AG249" t="str">
        <f>IF(AE249&lt;&gt;"", HELPER!$B$94 &amp; "." &amp; AE249,"")</f>
        <v/>
      </c>
      <c r="AH249" t="str">
        <f t="shared" si="279"/>
        <v/>
      </c>
      <c r="AN249" t="str">
        <f t="shared" si="280"/>
        <v/>
      </c>
      <c r="AO249" t="str">
        <f>IF(A249&lt;&gt;"", IF(OR(F249="1",H249="1",I249="1"),""," "&amp; HELPER!$B$94 &amp; "." &amp; A249),"")</f>
        <v/>
      </c>
      <c r="AP249" t="str">
        <f t="shared" si="281"/>
        <v/>
      </c>
      <c r="AS249" t="str">
        <f>IF(A249="","",  HELPER!$B$94 &amp;  "." &amp; A249)</f>
        <v/>
      </c>
      <c r="AT249" t="str">
        <f t="shared" si="282"/>
        <v/>
      </c>
      <c r="AU249" t="str">
        <f t="shared" si="283"/>
        <v/>
      </c>
      <c r="AX249" t="str">
        <f>IF(COLUMNS!J200="","","LEFT JOIN "&amp; Options!$B$23 &amp; "." &amp;  COLUMNS!J200 &amp; " ON ")</f>
        <v/>
      </c>
      <c r="AY249" t="str">
        <f t="shared" si="284"/>
        <v/>
      </c>
      <c r="BA249" t="str">
        <f>IF(AZ249="","", "CAST(" &amp; AZ249 &amp; " AS varchar(" &amp; Options!$B$49 &amp; "))")</f>
        <v/>
      </c>
      <c r="BB249" t="str">
        <f t="shared" ca="1" si="285"/>
        <v/>
      </c>
      <c r="BC249" t="str">
        <f t="shared" si="294"/>
        <v/>
      </c>
      <c r="BF249" t="str">
        <f t="shared" si="286"/>
        <v/>
      </c>
      <c r="BG249" t="str">
        <f t="shared" si="287"/>
        <v/>
      </c>
      <c r="BH249" s="285" t="str">
        <f t="shared" ca="1" si="295"/>
        <v/>
      </c>
      <c r="BJ249" t="str">
        <f t="shared" si="288"/>
        <v/>
      </c>
      <c r="BM249" t="str">
        <f t="shared" si="296"/>
        <v/>
      </c>
      <c r="BN249" t="str">
        <f t="shared" si="297"/>
        <v/>
      </c>
      <c r="BO249" t="str">
        <f t="shared" ca="1" si="289"/>
        <v/>
      </c>
      <c r="BR249" t="str">
        <f t="shared" si="290"/>
        <v/>
      </c>
      <c r="BS249" t="str">
        <f t="shared" ca="1" si="291"/>
        <v/>
      </c>
      <c r="BT249" t="str">
        <f t="shared" si="298"/>
        <v/>
      </c>
      <c r="BU249" t="str">
        <f t="shared" si="292"/>
        <v/>
      </c>
      <c r="BV249">
        <f t="shared" si="293"/>
        <v>0</v>
      </c>
    </row>
    <row r="250" spans="6:74">
      <c r="F250" s="164">
        <f t="shared" ca="1" si="273"/>
        <v>0</v>
      </c>
      <c r="G250" s="164" t="str">
        <f t="array" aca="1" ref="G250" ca="1">IF(TRIM(INDIRECT("Columns!D2"))="","",TRIM(INDIRECT("Columns!D2")))</f>
        <v/>
      </c>
      <c r="S250" t="str">
        <f t="shared" si="274"/>
        <v/>
      </c>
      <c r="V250" t="str">
        <f t="shared" si="275"/>
        <v/>
      </c>
      <c r="Y250" t="str">
        <f t="shared" ca="1" si="276"/>
        <v/>
      </c>
      <c r="Z250" t="str">
        <f t="shared" ca="1" si="277"/>
        <v/>
      </c>
      <c r="AA250" t="str">
        <f>IF( A250="","",IF(OR(F250="1",H250="1",I250="1"),"","COALESCE (CAST("&amp;A250&amp;" as varchar(" &amp; Options!$B$49&amp; ")),'')"))</f>
        <v/>
      </c>
      <c r="AB250" t="str">
        <f>IF(C250="string",  IF( A250="","",IF(OR(F250="1",H250="1",I250="1"),"","COALESCE (CAST(lower("&amp;A250&amp;") as varchar(" &amp;Options!$B$49 &amp; ")),'')")),AA250)</f>
        <v/>
      </c>
      <c r="AE250" t="str">
        <f t="shared" si="278"/>
        <v/>
      </c>
      <c r="AF250" t="str">
        <f>IF(AE250&lt;&gt;"", HELPER!$B$93 &amp;  "." &amp; AE250,"")</f>
        <v/>
      </c>
      <c r="AG250" t="str">
        <f>IF(AE250&lt;&gt;"", HELPER!$B$94 &amp; "." &amp; AE250,"")</f>
        <v/>
      </c>
      <c r="AH250" t="str">
        <f t="shared" si="279"/>
        <v/>
      </c>
      <c r="AN250" t="str">
        <f t="shared" si="280"/>
        <v/>
      </c>
      <c r="AO250" t="str">
        <f>IF(A250&lt;&gt;"", IF(OR(F250="1",H250="1",I250="1"),""," "&amp; HELPER!$B$94 &amp; "." &amp; A250),"")</f>
        <v/>
      </c>
      <c r="AP250" t="str">
        <f t="shared" si="281"/>
        <v/>
      </c>
      <c r="AS250" t="str">
        <f>IF(A250="","",  HELPER!$B$94 &amp;  "." &amp; A250)</f>
        <v/>
      </c>
      <c r="AT250" t="str">
        <f t="shared" si="282"/>
        <v/>
      </c>
      <c r="AU250" t="str">
        <f t="shared" si="283"/>
        <v/>
      </c>
      <c r="AX250" t="str">
        <f>IF(COLUMNS!J201="","","LEFT JOIN "&amp; Options!$B$23 &amp; "." &amp;  COLUMNS!J201 &amp; " ON ")</f>
        <v/>
      </c>
      <c r="AY250" t="str">
        <f t="shared" si="284"/>
        <v/>
      </c>
      <c r="BA250" t="str">
        <f>IF(AZ250="","", "CAST(" &amp; AZ250 &amp; " AS varchar(" &amp; Options!$B$49 &amp; "))")</f>
        <v/>
      </c>
      <c r="BB250" t="str">
        <f t="shared" ca="1" si="285"/>
        <v/>
      </c>
      <c r="BC250" t="str">
        <f t="shared" si="294"/>
        <v/>
      </c>
      <c r="BF250" t="str">
        <f t="shared" si="286"/>
        <v/>
      </c>
      <c r="BG250" t="str">
        <f t="shared" si="287"/>
        <v/>
      </c>
      <c r="BH250" s="285" t="str">
        <f t="shared" ca="1" si="295"/>
        <v/>
      </c>
      <c r="BJ250" t="str">
        <f t="shared" si="288"/>
        <v/>
      </c>
      <c r="BM250" t="str">
        <f t="shared" si="296"/>
        <v/>
      </c>
      <c r="BN250" t="str">
        <f t="shared" si="297"/>
        <v/>
      </c>
      <c r="BO250" t="str">
        <f t="shared" ca="1" si="289"/>
        <v/>
      </c>
      <c r="BR250" t="str">
        <f t="shared" si="290"/>
        <v/>
      </c>
      <c r="BS250" t="str">
        <f t="shared" ca="1" si="291"/>
        <v/>
      </c>
      <c r="BT250" t="str">
        <f t="shared" si="298"/>
        <v/>
      </c>
      <c r="BU250" t="str">
        <f t="shared" si="292"/>
        <v/>
      </c>
      <c r="BV250">
        <f t="shared" si="293"/>
        <v>0</v>
      </c>
    </row>
    <row r="251" spans="6:74">
      <c r="F251" s="164">
        <f t="shared" ca="1" si="273"/>
        <v>0</v>
      </c>
      <c r="G251" s="164" t="str">
        <f t="array" aca="1" ref="G251" ca="1">IF(TRIM(INDIRECT("Columns!D2"))="","",TRIM(INDIRECT("Columns!D2")))</f>
        <v/>
      </c>
      <c r="S251" t="str">
        <f t="shared" si="274"/>
        <v/>
      </c>
      <c r="V251" t="str">
        <f t="shared" si="275"/>
        <v/>
      </c>
      <c r="Y251" t="str">
        <f t="shared" ca="1" si="276"/>
        <v/>
      </c>
      <c r="Z251" t="str">
        <f t="shared" ca="1" si="277"/>
        <v/>
      </c>
      <c r="AA251" t="str">
        <f>IF( A251="","",IF(OR(F251="1",H251="1",I251="1"),"","COALESCE (CAST("&amp;A251&amp;" as varchar(" &amp; Options!$B$49&amp; ")),'')"))</f>
        <v/>
      </c>
      <c r="AB251" t="str">
        <f>IF(C251="string",  IF( A251="","",IF(OR(F251="1",H251="1",I251="1"),"","COALESCE (CAST(lower("&amp;A251&amp;") as varchar(" &amp;Options!$B$49 &amp; ")),'')")),AA251)</f>
        <v/>
      </c>
      <c r="AE251" t="str">
        <f t="shared" si="278"/>
        <v/>
      </c>
      <c r="AF251" t="str">
        <f>IF(AE251&lt;&gt;"", HELPER!$B$93 &amp;  "." &amp; AE251,"")</f>
        <v/>
      </c>
      <c r="AG251" t="str">
        <f>IF(AE251&lt;&gt;"", HELPER!$B$94 &amp; "." &amp; AE251,"")</f>
        <v/>
      </c>
      <c r="AH251" t="str">
        <f t="shared" si="279"/>
        <v/>
      </c>
      <c r="AN251" t="str">
        <f t="shared" si="280"/>
        <v/>
      </c>
      <c r="AO251" t="str">
        <f>IF(A251&lt;&gt;"", IF(OR(F251="1",H251="1",I251="1"),""," "&amp; HELPER!$B$94 &amp; "." &amp; A251),"")</f>
        <v/>
      </c>
      <c r="AP251" t="str">
        <f t="shared" si="281"/>
        <v/>
      </c>
      <c r="AS251" t="str">
        <f>IF(A251="","",  HELPER!$B$94 &amp;  "." &amp; A251)</f>
        <v/>
      </c>
      <c r="AT251" t="str">
        <f t="shared" si="282"/>
        <v/>
      </c>
      <c r="AU251" t="str">
        <f t="shared" si="283"/>
        <v/>
      </c>
      <c r="AX251" t="str">
        <f>IF(COLUMNS!J202="","","LEFT JOIN "&amp; Options!$B$23 &amp; "." &amp;  COLUMNS!J202 &amp; " ON ")</f>
        <v/>
      </c>
      <c r="AY251" t="str">
        <f t="shared" si="284"/>
        <v/>
      </c>
      <c r="BA251" t="str">
        <f>IF(AZ251="","", "CAST(" &amp; AZ251 &amp; " AS varchar(" &amp; Options!$B$49 &amp; "))")</f>
        <v/>
      </c>
      <c r="BB251" t="str">
        <f t="shared" ca="1" si="285"/>
        <v/>
      </c>
      <c r="BC251" t="str">
        <f t="shared" si="294"/>
        <v/>
      </c>
      <c r="BF251" t="str">
        <f t="shared" si="286"/>
        <v/>
      </c>
      <c r="BG251" t="str">
        <f t="shared" si="287"/>
        <v/>
      </c>
      <c r="BH251" s="285" t="str">
        <f t="shared" ca="1" si="295"/>
        <v/>
      </c>
      <c r="BJ251" t="str">
        <f t="shared" si="288"/>
        <v/>
      </c>
      <c r="BM251" t="str">
        <f t="shared" si="296"/>
        <v/>
      </c>
      <c r="BN251" t="str">
        <f t="shared" si="297"/>
        <v/>
      </c>
      <c r="BO251" t="str">
        <f t="shared" ca="1" si="289"/>
        <v/>
      </c>
      <c r="BR251" t="str">
        <f t="shared" si="290"/>
        <v/>
      </c>
      <c r="BS251" t="str">
        <f t="shared" ca="1" si="291"/>
        <v/>
      </c>
      <c r="BT251" t="str">
        <f t="shared" si="298"/>
        <v/>
      </c>
      <c r="BU251" t="str">
        <f t="shared" si="292"/>
        <v/>
      </c>
      <c r="BV251">
        <f t="shared" si="293"/>
        <v>0</v>
      </c>
    </row>
    <row r="252" spans="6:74">
      <c r="F252" s="164">
        <f t="shared" ca="1" si="273"/>
        <v>0</v>
      </c>
      <c r="G252" s="164" t="str">
        <f t="array" aca="1" ref="G252" ca="1">IF(TRIM(INDIRECT("Columns!D2"))="","",TRIM(INDIRECT("Columns!D2")))</f>
        <v/>
      </c>
      <c r="S252" t="str">
        <f t="shared" si="274"/>
        <v/>
      </c>
      <c r="V252" t="str">
        <f t="shared" si="275"/>
        <v/>
      </c>
      <c r="Y252" t="str">
        <f t="shared" ca="1" si="276"/>
        <v/>
      </c>
      <c r="Z252" t="str">
        <f t="shared" ca="1" si="277"/>
        <v/>
      </c>
      <c r="AA252" t="str">
        <f>IF( A252="","",IF(OR(F252="1",H252="1",I252="1"),"","COALESCE (CAST("&amp;A252&amp;" as varchar(" &amp; Options!$B$49&amp; ")),'')"))</f>
        <v/>
      </c>
      <c r="AB252" t="str">
        <f>IF(C252="string",  IF( A252="","",IF(OR(F252="1",H252="1",I252="1"),"","COALESCE (CAST(lower("&amp;A252&amp;") as varchar(" &amp;Options!$B$49 &amp; ")),'')")),AA252)</f>
        <v/>
      </c>
      <c r="AE252" t="str">
        <f t="shared" si="278"/>
        <v/>
      </c>
      <c r="AF252" t="str">
        <f>IF(AE252&lt;&gt;"", HELPER!$B$93 &amp;  "." &amp; AE252,"")</f>
        <v/>
      </c>
      <c r="AG252" t="str">
        <f>IF(AE252&lt;&gt;"", HELPER!$B$94 &amp; "." &amp; AE252,"")</f>
        <v/>
      </c>
      <c r="AH252" t="str">
        <f t="shared" si="279"/>
        <v/>
      </c>
      <c r="AN252" t="str">
        <f t="shared" si="280"/>
        <v/>
      </c>
      <c r="AO252" t="str">
        <f>IF(A252&lt;&gt;"", IF(OR(F252="1",H252="1",I252="1"),""," "&amp; HELPER!$B$94 &amp; "." &amp; A252),"")</f>
        <v/>
      </c>
      <c r="AP252" t="str">
        <f t="shared" si="281"/>
        <v/>
      </c>
      <c r="AS252" t="str">
        <f>IF(A252="","",  HELPER!$B$94 &amp;  "." &amp; A252)</f>
        <v/>
      </c>
      <c r="AT252" t="str">
        <f t="shared" si="282"/>
        <v/>
      </c>
      <c r="AU252" t="str">
        <f t="shared" si="283"/>
        <v/>
      </c>
      <c r="AX252" t="str">
        <f>IF(COLUMNS!J203="","","LEFT JOIN "&amp; Options!$B$23 &amp; "." &amp;  COLUMNS!J203 &amp; " ON ")</f>
        <v/>
      </c>
      <c r="AY252" t="str">
        <f t="shared" si="284"/>
        <v/>
      </c>
      <c r="BA252" t="str">
        <f>IF(AZ252="","", "CAST(" &amp; AZ252 &amp; " AS varchar(" &amp; Options!$B$49 &amp; "))")</f>
        <v/>
      </c>
      <c r="BB252" t="str">
        <f t="shared" ca="1" si="285"/>
        <v/>
      </c>
      <c r="BC252" t="str">
        <f t="shared" si="294"/>
        <v/>
      </c>
      <c r="BF252" t="str">
        <f t="shared" si="286"/>
        <v/>
      </c>
      <c r="BG252" t="str">
        <f t="shared" si="287"/>
        <v/>
      </c>
      <c r="BH252" s="285" t="str">
        <f t="shared" ca="1" si="295"/>
        <v/>
      </c>
      <c r="BJ252" t="str">
        <f t="shared" si="288"/>
        <v/>
      </c>
      <c r="BM252" t="str">
        <f t="shared" si="296"/>
        <v/>
      </c>
      <c r="BN252" t="str">
        <f t="shared" si="297"/>
        <v/>
      </c>
      <c r="BO252" t="str">
        <f t="shared" ca="1" si="289"/>
        <v/>
      </c>
      <c r="BR252" t="str">
        <f t="shared" si="290"/>
        <v/>
      </c>
      <c r="BS252" t="str">
        <f t="shared" ca="1" si="291"/>
        <v/>
      </c>
      <c r="BT252" t="str">
        <f t="shared" si="298"/>
        <v/>
      </c>
      <c r="BU252" t="str">
        <f t="shared" si="292"/>
        <v/>
      </c>
      <c r="BV252">
        <f t="shared" si="293"/>
        <v>0</v>
      </c>
    </row>
    <row r="253" spans="6:74">
      <c r="F253" s="164">
        <f t="shared" ca="1" si="273"/>
        <v>0</v>
      </c>
      <c r="G253" s="164" t="str">
        <f t="array" aca="1" ref="G253" ca="1">IF(TRIM(INDIRECT("Columns!D2"))="","",TRIM(INDIRECT("Columns!D2")))</f>
        <v/>
      </c>
      <c r="S253" t="str">
        <f t="shared" si="274"/>
        <v/>
      </c>
      <c r="V253" t="str">
        <f t="shared" si="275"/>
        <v/>
      </c>
      <c r="Y253" t="str">
        <f t="shared" ca="1" si="276"/>
        <v/>
      </c>
      <c r="Z253" t="str">
        <f t="shared" ca="1" si="277"/>
        <v/>
      </c>
      <c r="AA253" t="str">
        <f>IF( A253="","",IF(OR(F253="1",H253="1",I253="1"),"","COALESCE (CAST("&amp;A253&amp;" as varchar(" &amp; Options!$B$49&amp; ")),'')"))</f>
        <v/>
      </c>
      <c r="AB253" t="str">
        <f>IF(C253="string",  IF( A253="","",IF(OR(F253="1",H253="1",I253="1"),"","COALESCE (CAST(lower("&amp;A253&amp;") as varchar(" &amp;Options!$B$49 &amp; ")),'')")),AA253)</f>
        <v/>
      </c>
      <c r="AE253" t="str">
        <f t="shared" si="278"/>
        <v/>
      </c>
      <c r="AF253" t="str">
        <f>IF(AE253&lt;&gt;"", HELPER!$B$93 &amp;  "." &amp; AE253,"")</f>
        <v/>
      </c>
      <c r="AG253" t="str">
        <f>IF(AE253&lt;&gt;"", HELPER!$B$94 &amp; "." &amp; AE253,"")</f>
        <v/>
      </c>
      <c r="AH253" t="str">
        <f t="shared" si="279"/>
        <v/>
      </c>
      <c r="AN253" t="str">
        <f t="shared" si="280"/>
        <v/>
      </c>
      <c r="AO253" t="str">
        <f>IF(A253&lt;&gt;"", IF(OR(F253="1",H253="1",I253="1"),""," "&amp; HELPER!$B$94 &amp; "." &amp; A253),"")</f>
        <v/>
      </c>
      <c r="AP253" t="str">
        <f t="shared" si="281"/>
        <v/>
      </c>
      <c r="AS253" t="str">
        <f>IF(A253="","",  HELPER!$B$94 &amp;  "." &amp; A253)</f>
        <v/>
      </c>
      <c r="AT253" t="str">
        <f t="shared" si="282"/>
        <v/>
      </c>
      <c r="AU253" t="str">
        <f t="shared" si="283"/>
        <v/>
      </c>
      <c r="AX253" t="str">
        <f>IF(COLUMNS!J204="","","LEFT JOIN "&amp; Options!$B$23 &amp; "." &amp;  COLUMNS!J204 &amp; " ON ")</f>
        <v/>
      </c>
      <c r="AY253" t="str">
        <f t="shared" si="284"/>
        <v/>
      </c>
      <c r="BA253" t="str">
        <f>IF(AZ253="","", "CAST(" &amp; AZ253 &amp; " AS varchar(" &amp; Options!$B$49 &amp; "))")</f>
        <v/>
      </c>
      <c r="BB253" t="str">
        <f t="shared" ca="1" si="285"/>
        <v/>
      </c>
      <c r="BC253" t="str">
        <f t="shared" si="294"/>
        <v/>
      </c>
      <c r="BF253" t="str">
        <f t="shared" si="286"/>
        <v/>
      </c>
      <c r="BG253" t="str">
        <f t="shared" si="287"/>
        <v/>
      </c>
      <c r="BH253" s="285" t="str">
        <f t="shared" ca="1" si="295"/>
        <v/>
      </c>
      <c r="BJ253" t="str">
        <f t="shared" si="288"/>
        <v/>
      </c>
      <c r="BM253" t="str">
        <f t="shared" si="296"/>
        <v/>
      </c>
      <c r="BN253" t="str">
        <f t="shared" si="297"/>
        <v/>
      </c>
      <c r="BO253" t="str">
        <f t="shared" ca="1" si="289"/>
        <v/>
      </c>
      <c r="BR253" t="str">
        <f t="shared" si="290"/>
        <v/>
      </c>
      <c r="BS253" t="str">
        <f t="shared" ca="1" si="291"/>
        <v/>
      </c>
      <c r="BT253" t="str">
        <f t="shared" si="298"/>
        <v/>
      </c>
      <c r="BU253" t="str">
        <f t="shared" si="292"/>
        <v/>
      </c>
      <c r="BV253">
        <f t="shared" si="293"/>
        <v>0</v>
      </c>
    </row>
    <row r="254" spans="6:74">
      <c r="F254" s="164">
        <f t="shared" ca="1" si="273"/>
        <v>0</v>
      </c>
      <c r="G254" s="164" t="str">
        <f t="array" aca="1" ref="G254" ca="1">IF(TRIM(INDIRECT("Columns!D2"))="","",TRIM(INDIRECT("Columns!D2")))</f>
        <v/>
      </c>
      <c r="S254" t="str">
        <f t="shared" si="274"/>
        <v/>
      </c>
      <c r="V254" t="str">
        <f t="shared" si="275"/>
        <v/>
      </c>
      <c r="Y254" t="str">
        <f t="shared" ca="1" si="276"/>
        <v/>
      </c>
      <c r="Z254" t="str">
        <f t="shared" ca="1" si="277"/>
        <v/>
      </c>
      <c r="AA254" t="str">
        <f>IF( A254="","",IF(OR(F254="1",H254="1",I254="1"),"","COALESCE (CAST("&amp;A254&amp;" as varchar(" &amp; Options!$B$49&amp; ")),'')"))</f>
        <v/>
      </c>
      <c r="AB254" t="str">
        <f>IF(C254="string",  IF( A254="","",IF(OR(F254="1",H254="1",I254="1"),"","COALESCE (CAST(lower("&amp;A254&amp;") as varchar(" &amp;Options!$B$49 &amp; ")),'')")),AA254)</f>
        <v/>
      </c>
      <c r="AE254" t="str">
        <f t="shared" si="278"/>
        <v/>
      </c>
      <c r="AF254" t="str">
        <f>IF(AE254&lt;&gt;"", HELPER!$B$93 &amp;  "." &amp; AE254,"")</f>
        <v/>
      </c>
      <c r="AG254" t="str">
        <f>IF(AE254&lt;&gt;"", HELPER!$B$94 &amp; "." &amp; AE254,"")</f>
        <v/>
      </c>
      <c r="AH254" t="str">
        <f t="shared" si="279"/>
        <v/>
      </c>
      <c r="AN254" t="str">
        <f t="shared" si="280"/>
        <v/>
      </c>
      <c r="AO254" t="str">
        <f>IF(A254&lt;&gt;"", IF(OR(F254="1",H254="1",I254="1"),""," "&amp; HELPER!$B$94 &amp; "." &amp; A254),"")</f>
        <v/>
      </c>
      <c r="AP254" t="str">
        <f t="shared" si="281"/>
        <v/>
      </c>
      <c r="AS254" t="str">
        <f>IF(A254="","",  HELPER!$B$94 &amp;  "." &amp; A254)</f>
        <v/>
      </c>
      <c r="AT254" t="str">
        <f t="shared" si="282"/>
        <v/>
      </c>
      <c r="AU254" t="str">
        <f t="shared" si="283"/>
        <v/>
      </c>
      <c r="AX254" t="str">
        <f>IF(COLUMNS!J205="","","LEFT JOIN "&amp; Options!$B$23 &amp; "." &amp;  COLUMNS!J205 &amp; " ON ")</f>
        <v/>
      </c>
      <c r="AY254" t="str">
        <f t="shared" si="284"/>
        <v/>
      </c>
      <c r="BA254" t="str">
        <f>IF(AZ254="","", "CAST(" &amp; AZ254 &amp; " AS varchar(" &amp; Options!$B$49 &amp; "))")</f>
        <v/>
      </c>
      <c r="BB254" t="str">
        <f t="shared" ca="1" si="285"/>
        <v/>
      </c>
      <c r="BC254" t="str">
        <f t="shared" si="294"/>
        <v/>
      </c>
      <c r="BF254" t="str">
        <f t="shared" si="286"/>
        <v/>
      </c>
      <c r="BG254" t="str">
        <f t="shared" si="287"/>
        <v/>
      </c>
      <c r="BH254" s="285" t="str">
        <f t="shared" ca="1" si="295"/>
        <v/>
      </c>
      <c r="BJ254" t="str">
        <f t="shared" si="288"/>
        <v/>
      </c>
      <c r="BM254" t="str">
        <f t="shared" si="296"/>
        <v/>
      </c>
      <c r="BN254" t="str">
        <f t="shared" si="297"/>
        <v/>
      </c>
      <c r="BO254" t="str">
        <f t="shared" ca="1" si="289"/>
        <v/>
      </c>
      <c r="BR254" t="str">
        <f t="shared" si="290"/>
        <v/>
      </c>
      <c r="BS254" t="str">
        <f t="shared" ca="1" si="291"/>
        <v/>
      </c>
      <c r="BT254" t="str">
        <f t="shared" si="298"/>
        <v/>
      </c>
      <c r="BU254" t="str">
        <f t="shared" si="292"/>
        <v/>
      </c>
      <c r="BV254">
        <f t="shared" si="293"/>
        <v>0</v>
      </c>
    </row>
    <row r="255" spans="6:74">
      <c r="F255" s="164">
        <f t="shared" ca="1" si="273"/>
        <v>0</v>
      </c>
      <c r="G255" s="164" t="str">
        <f t="array" aca="1" ref="G255" ca="1">IF(TRIM(INDIRECT("Columns!D2"))="","",TRIM(INDIRECT("Columns!D2")))</f>
        <v/>
      </c>
      <c r="S255" t="str">
        <f t="shared" si="274"/>
        <v/>
      </c>
      <c r="V255" t="str">
        <f t="shared" si="275"/>
        <v/>
      </c>
      <c r="Y255" t="str">
        <f t="shared" ca="1" si="276"/>
        <v/>
      </c>
      <c r="Z255" t="str">
        <f t="shared" ca="1" si="277"/>
        <v/>
      </c>
      <c r="AA255" t="str">
        <f>IF( A255="","",IF(OR(F255="1",H255="1",I255="1"),"","COALESCE (CAST("&amp;A255&amp;" as varchar(" &amp; Options!$B$49&amp; ")),'')"))</f>
        <v/>
      </c>
      <c r="AB255" t="str">
        <f>IF(C255="string",  IF( A255="","",IF(OR(F255="1",H255="1",I255="1"),"","COALESCE (CAST(lower("&amp;A255&amp;") as varchar(" &amp;Options!$B$49 &amp; ")),'')")),AA255)</f>
        <v/>
      </c>
      <c r="AE255" t="str">
        <f t="shared" si="278"/>
        <v/>
      </c>
      <c r="AF255" t="str">
        <f>IF(AE255&lt;&gt;"", HELPER!$B$93 &amp;  "." &amp; AE255,"")</f>
        <v/>
      </c>
      <c r="AG255" t="str">
        <f>IF(AE255&lt;&gt;"", HELPER!$B$94 &amp; "." &amp; AE255,"")</f>
        <v/>
      </c>
      <c r="AH255" t="str">
        <f t="shared" si="279"/>
        <v/>
      </c>
      <c r="AN255" t="str">
        <f t="shared" si="280"/>
        <v/>
      </c>
      <c r="AO255" t="str">
        <f>IF(A255&lt;&gt;"", IF(OR(F255="1",H255="1",I255="1"),""," "&amp; HELPER!$B$94 &amp; "." &amp; A255),"")</f>
        <v/>
      </c>
      <c r="AP255" t="str">
        <f t="shared" si="281"/>
        <v/>
      </c>
      <c r="AS255" t="str">
        <f>IF(A255="","",  HELPER!$B$94 &amp;  "." &amp; A255)</f>
        <v/>
      </c>
      <c r="AT255" t="str">
        <f t="shared" si="282"/>
        <v/>
      </c>
      <c r="AU255" t="str">
        <f t="shared" si="283"/>
        <v/>
      </c>
      <c r="AX255" t="str">
        <f>IF(COLUMNS!J206="","","LEFT JOIN "&amp; Options!$B$23 &amp; "." &amp;  COLUMNS!J206 &amp; " ON ")</f>
        <v/>
      </c>
      <c r="AY255" t="str">
        <f t="shared" si="284"/>
        <v/>
      </c>
      <c r="BA255" t="str">
        <f>IF(AZ255="","", "CAST(" &amp; AZ255 &amp; " AS varchar(" &amp; Options!$B$49 &amp; "))")</f>
        <v/>
      </c>
      <c r="BB255" t="str">
        <f t="shared" ca="1" si="285"/>
        <v/>
      </c>
      <c r="BC255" t="str">
        <f t="shared" si="294"/>
        <v/>
      </c>
      <c r="BF255" t="str">
        <f t="shared" si="286"/>
        <v/>
      </c>
      <c r="BG255" t="str">
        <f t="shared" si="287"/>
        <v/>
      </c>
      <c r="BH255" s="285" t="str">
        <f t="shared" ca="1" si="295"/>
        <v/>
      </c>
      <c r="BJ255" t="str">
        <f t="shared" si="288"/>
        <v/>
      </c>
      <c r="BM255" t="str">
        <f t="shared" si="296"/>
        <v/>
      </c>
      <c r="BN255" t="str">
        <f t="shared" si="297"/>
        <v/>
      </c>
      <c r="BO255" t="str">
        <f t="shared" ca="1" si="289"/>
        <v/>
      </c>
      <c r="BR255" t="str">
        <f t="shared" si="290"/>
        <v/>
      </c>
      <c r="BS255" t="str">
        <f t="shared" ca="1" si="291"/>
        <v/>
      </c>
      <c r="BT255" t="str">
        <f t="shared" si="298"/>
        <v/>
      </c>
      <c r="BU255" t="str">
        <f t="shared" si="292"/>
        <v/>
      </c>
      <c r="BV255">
        <f t="shared" si="293"/>
        <v>0</v>
      </c>
    </row>
    <row r="256" spans="6:74">
      <c r="F256" s="164">
        <f t="shared" ca="1" si="273"/>
        <v>0</v>
      </c>
      <c r="G256" s="164" t="str">
        <f t="array" aca="1" ref="G256" ca="1">IF(TRIM(INDIRECT("Columns!D2"))="","",TRIM(INDIRECT("Columns!D2")))</f>
        <v/>
      </c>
      <c r="S256" t="str">
        <f t="shared" si="274"/>
        <v/>
      </c>
      <c r="V256" t="str">
        <f t="shared" si="275"/>
        <v/>
      </c>
      <c r="Y256" t="str">
        <f t="shared" ca="1" si="276"/>
        <v/>
      </c>
      <c r="Z256" t="str">
        <f t="shared" ca="1" si="277"/>
        <v/>
      </c>
      <c r="AA256" t="str">
        <f>IF( A256="","",IF(OR(F256="1",H256="1",I256="1"),"","COALESCE (CAST("&amp;A256&amp;" as varchar(" &amp; Options!$B$49&amp; ")),'')"))</f>
        <v/>
      </c>
      <c r="AB256" t="str">
        <f>IF(C256="string",  IF( A256="","",IF(OR(F256="1",H256="1",I256="1"),"","COALESCE (CAST(lower("&amp;A256&amp;") as varchar(" &amp;Options!$B$49 &amp; ")),'')")),AA256)</f>
        <v/>
      </c>
      <c r="AE256" t="str">
        <f t="shared" si="278"/>
        <v/>
      </c>
      <c r="AF256" t="str">
        <f>IF(AE256&lt;&gt;"", HELPER!$B$93 &amp;  "." &amp; AE256,"")</f>
        <v/>
      </c>
      <c r="AG256" t="str">
        <f>IF(AE256&lt;&gt;"", HELPER!$B$94 &amp; "." &amp; AE256,"")</f>
        <v/>
      </c>
      <c r="AH256" t="str">
        <f t="shared" si="279"/>
        <v/>
      </c>
      <c r="AN256" t="str">
        <f t="shared" si="280"/>
        <v/>
      </c>
      <c r="AO256" t="str">
        <f>IF(A256&lt;&gt;"", IF(OR(F256="1",H256="1",I256="1"),""," "&amp; HELPER!$B$94 &amp; "." &amp; A256),"")</f>
        <v/>
      </c>
      <c r="AP256" t="str">
        <f t="shared" si="281"/>
        <v/>
      </c>
      <c r="AS256" t="str">
        <f>IF(A256="","",  HELPER!$B$94 &amp;  "." &amp; A256)</f>
        <v/>
      </c>
      <c r="AT256" t="str">
        <f t="shared" si="282"/>
        <v/>
      </c>
      <c r="AU256" t="str">
        <f t="shared" si="283"/>
        <v/>
      </c>
      <c r="AX256" t="str">
        <f>IF(COLUMNS!J207="","","LEFT JOIN "&amp; Options!$B$23 &amp; "." &amp;  COLUMNS!J207 &amp; " ON ")</f>
        <v/>
      </c>
      <c r="AY256" t="str">
        <f t="shared" si="284"/>
        <v/>
      </c>
      <c r="BA256" t="str">
        <f>IF(AZ256="","", "CAST(" &amp; AZ256 &amp; " AS varchar(" &amp; Options!$B$49 &amp; "))")</f>
        <v/>
      </c>
      <c r="BB256" t="str">
        <f t="shared" ca="1" si="285"/>
        <v/>
      </c>
      <c r="BC256" t="str">
        <f t="shared" si="294"/>
        <v/>
      </c>
      <c r="BF256" t="str">
        <f t="shared" si="286"/>
        <v/>
      </c>
      <c r="BG256" t="str">
        <f t="shared" si="287"/>
        <v/>
      </c>
      <c r="BH256" s="285" t="str">
        <f t="shared" ca="1" si="295"/>
        <v/>
      </c>
      <c r="BJ256" t="str">
        <f t="shared" si="288"/>
        <v/>
      </c>
      <c r="BM256" t="str">
        <f t="shared" si="296"/>
        <v/>
      </c>
      <c r="BN256" t="str">
        <f t="shared" si="297"/>
        <v/>
      </c>
      <c r="BO256" t="str">
        <f t="shared" ca="1" si="289"/>
        <v/>
      </c>
      <c r="BR256" t="str">
        <f t="shared" si="290"/>
        <v/>
      </c>
      <c r="BS256" t="str">
        <f t="shared" ca="1" si="291"/>
        <v/>
      </c>
      <c r="BT256" t="str">
        <f t="shared" si="298"/>
        <v/>
      </c>
      <c r="BU256" t="str">
        <f t="shared" si="292"/>
        <v/>
      </c>
      <c r="BV256">
        <f t="shared" si="293"/>
        <v>0</v>
      </c>
    </row>
    <row r="257" spans="6:74">
      <c r="F257" s="164">
        <f t="shared" ca="1" si="273"/>
        <v>0</v>
      </c>
      <c r="G257" s="164" t="str">
        <f t="array" aca="1" ref="G257" ca="1">IF(TRIM(INDIRECT("Columns!D2"))="","",TRIM(INDIRECT("Columns!D2")))</f>
        <v/>
      </c>
      <c r="S257" t="str">
        <f t="shared" si="274"/>
        <v/>
      </c>
      <c r="V257" t="str">
        <f t="shared" si="275"/>
        <v/>
      </c>
      <c r="Y257" t="str">
        <f t="shared" ca="1" si="276"/>
        <v/>
      </c>
      <c r="Z257" t="str">
        <f t="shared" ca="1" si="277"/>
        <v/>
      </c>
      <c r="AA257" t="str">
        <f>IF( A257="","",IF(OR(F257="1",H257="1",I257="1"),"","COALESCE (CAST("&amp;A257&amp;" as varchar(" &amp; Options!$B$49&amp; ")),'')"))</f>
        <v/>
      </c>
      <c r="AB257" t="str">
        <f>IF(C257="string",  IF( A257="","",IF(OR(F257="1",H257="1",I257="1"),"","COALESCE (CAST(lower("&amp;A257&amp;") as varchar(" &amp;Options!$B$49 &amp; ")),'')")),AA257)</f>
        <v/>
      </c>
      <c r="AE257" t="str">
        <f t="shared" si="278"/>
        <v/>
      </c>
      <c r="AF257" t="str">
        <f>IF(AE257&lt;&gt;"", HELPER!$B$93 &amp;  "." &amp; AE257,"")</f>
        <v/>
      </c>
      <c r="AG257" t="str">
        <f>IF(AE257&lt;&gt;"", HELPER!$B$94 &amp; "." &amp; AE257,"")</f>
        <v/>
      </c>
      <c r="AH257" t="str">
        <f t="shared" si="279"/>
        <v/>
      </c>
      <c r="AN257" t="str">
        <f t="shared" si="280"/>
        <v/>
      </c>
      <c r="AO257" t="str">
        <f>IF(A257&lt;&gt;"", IF(OR(F257="1",H257="1",I257="1"),""," "&amp; HELPER!$B$94 &amp; "." &amp; A257),"")</f>
        <v/>
      </c>
      <c r="AP257" t="str">
        <f t="shared" si="281"/>
        <v/>
      </c>
      <c r="AS257" t="str">
        <f>IF(A257="","",  HELPER!$B$94 &amp;  "." &amp; A257)</f>
        <v/>
      </c>
      <c r="AT257" t="str">
        <f t="shared" si="282"/>
        <v/>
      </c>
      <c r="AU257" t="str">
        <f t="shared" si="283"/>
        <v/>
      </c>
      <c r="AX257" t="str">
        <f>IF(COLUMNS!J208="","","LEFT JOIN "&amp; Options!$B$23 &amp; "." &amp;  COLUMNS!J208 &amp; " ON ")</f>
        <v/>
      </c>
      <c r="AY257" t="str">
        <f t="shared" si="284"/>
        <v/>
      </c>
      <c r="BA257" t="str">
        <f>IF(AZ257="","", "CAST(" &amp; AZ257 &amp; " AS varchar(" &amp; Options!$B$49 &amp; "))")</f>
        <v/>
      </c>
      <c r="BB257" t="str">
        <f t="shared" ca="1" si="285"/>
        <v/>
      </c>
      <c r="BC257" t="str">
        <f t="shared" si="294"/>
        <v/>
      </c>
      <c r="BF257" t="str">
        <f t="shared" si="286"/>
        <v/>
      </c>
      <c r="BG257" t="str">
        <f t="shared" si="287"/>
        <v/>
      </c>
      <c r="BH257" s="285" t="str">
        <f t="shared" ca="1" si="295"/>
        <v/>
      </c>
      <c r="BJ257" t="str">
        <f t="shared" si="288"/>
        <v/>
      </c>
      <c r="BM257" t="str">
        <f t="shared" si="296"/>
        <v/>
      </c>
      <c r="BN257" t="str">
        <f t="shared" si="297"/>
        <v/>
      </c>
      <c r="BO257" t="str">
        <f t="shared" ca="1" si="289"/>
        <v/>
      </c>
      <c r="BR257" t="str">
        <f t="shared" si="290"/>
        <v/>
      </c>
      <c r="BS257" t="str">
        <f t="shared" ca="1" si="291"/>
        <v/>
      </c>
      <c r="BT257" t="str">
        <f t="shared" si="298"/>
        <v/>
      </c>
      <c r="BU257" t="str">
        <f t="shared" si="292"/>
        <v/>
      </c>
      <c r="BV257">
        <f t="shared" si="293"/>
        <v>0</v>
      </c>
    </row>
    <row r="258" spans="6:74">
      <c r="F258" s="164">
        <f t="shared" ca="1" si="273"/>
        <v>0</v>
      </c>
      <c r="G258" s="164" t="str">
        <f t="array" aca="1" ref="G258" ca="1">IF(TRIM(INDIRECT("Columns!D2"))="","",TRIM(INDIRECT("Columns!D2")))</f>
        <v/>
      </c>
      <c r="S258" t="str">
        <f t="shared" si="274"/>
        <v/>
      </c>
      <c r="V258" t="str">
        <f t="shared" si="275"/>
        <v/>
      </c>
      <c r="Y258" t="str">
        <f t="shared" ca="1" si="276"/>
        <v/>
      </c>
      <c r="Z258" t="str">
        <f t="shared" ca="1" si="277"/>
        <v/>
      </c>
      <c r="AA258" t="str">
        <f>IF( A258="","",IF(OR(F258="1",H258="1",I258="1"),"","COALESCE (CAST("&amp;A258&amp;" as varchar(" &amp; Options!$B$49&amp; ")),'')"))</f>
        <v/>
      </c>
      <c r="AB258" t="str">
        <f>IF(C258="string",  IF( A258="","",IF(OR(F258="1",H258="1",I258="1"),"","COALESCE (CAST(lower("&amp;A258&amp;") as varchar(" &amp;Options!$B$49 &amp; ")),'')")),AA258)</f>
        <v/>
      </c>
      <c r="AE258" t="str">
        <f t="shared" si="278"/>
        <v/>
      </c>
      <c r="AF258" t="str">
        <f>IF(AE258&lt;&gt;"", HELPER!$B$93 &amp;  "." &amp; AE258,"")</f>
        <v/>
      </c>
      <c r="AG258" t="str">
        <f>IF(AE258&lt;&gt;"", HELPER!$B$94 &amp; "." &amp; AE258,"")</f>
        <v/>
      </c>
      <c r="AH258" t="str">
        <f t="shared" si="279"/>
        <v/>
      </c>
      <c r="AN258" t="str">
        <f t="shared" si="280"/>
        <v/>
      </c>
      <c r="AO258" t="str">
        <f>IF(A258&lt;&gt;"", IF(OR(F258="1",H258="1",I258="1"),""," "&amp; HELPER!$B$94 &amp; "." &amp; A258),"")</f>
        <v/>
      </c>
      <c r="AP258" t="str">
        <f t="shared" si="281"/>
        <v/>
      </c>
      <c r="AS258" t="str">
        <f>IF(A258="","",  HELPER!$B$94 &amp;  "." &amp; A258)</f>
        <v/>
      </c>
      <c r="AT258" t="str">
        <f t="shared" si="282"/>
        <v/>
      </c>
      <c r="AU258" t="str">
        <f t="shared" si="283"/>
        <v/>
      </c>
      <c r="AX258" t="str">
        <f>IF(COLUMNS!J209="","","LEFT JOIN "&amp; Options!$B$23 &amp; "." &amp;  COLUMNS!J209 &amp; " ON ")</f>
        <v/>
      </c>
      <c r="AY258" t="str">
        <f t="shared" si="284"/>
        <v/>
      </c>
      <c r="BA258" t="str">
        <f>IF(AZ258="","", "CAST(" &amp; AZ258 &amp; " AS varchar(" &amp; Options!$B$49 &amp; "))")</f>
        <v/>
      </c>
      <c r="BB258" t="str">
        <f t="shared" ca="1" si="285"/>
        <v/>
      </c>
      <c r="BC258" t="str">
        <f t="shared" si="294"/>
        <v/>
      </c>
      <c r="BF258" t="str">
        <f t="shared" si="286"/>
        <v/>
      </c>
      <c r="BG258" t="str">
        <f t="shared" si="287"/>
        <v/>
      </c>
      <c r="BH258" s="285" t="str">
        <f t="shared" ca="1" si="295"/>
        <v/>
      </c>
      <c r="BJ258" t="str">
        <f t="shared" si="288"/>
        <v/>
      </c>
      <c r="BM258" t="str">
        <f t="shared" si="296"/>
        <v/>
      </c>
      <c r="BN258" t="str">
        <f t="shared" si="297"/>
        <v/>
      </c>
      <c r="BO258" t="str">
        <f t="shared" ca="1" si="289"/>
        <v/>
      </c>
      <c r="BR258" t="str">
        <f t="shared" si="290"/>
        <v/>
      </c>
      <c r="BS258" t="str">
        <f t="shared" ca="1" si="291"/>
        <v/>
      </c>
      <c r="BT258" t="str">
        <f t="shared" si="298"/>
        <v/>
      </c>
      <c r="BU258" t="str">
        <f t="shared" si="292"/>
        <v/>
      </c>
      <c r="BV258">
        <f t="shared" si="293"/>
        <v>0</v>
      </c>
    </row>
    <row r="259" spans="6:74">
      <c r="F259" s="164">
        <f t="shared" ca="1" si="273"/>
        <v>0</v>
      </c>
      <c r="G259" s="164" t="str">
        <f t="array" aca="1" ref="G259" ca="1">IF(TRIM(INDIRECT("Columns!D2"))="","",TRIM(INDIRECT("Columns!D2")))</f>
        <v/>
      </c>
      <c r="S259" t="str">
        <f t="shared" si="274"/>
        <v/>
      </c>
      <c r="V259" t="str">
        <f t="shared" si="275"/>
        <v/>
      </c>
      <c r="Y259" t="str">
        <f t="shared" ca="1" si="276"/>
        <v/>
      </c>
      <c r="Z259" t="str">
        <f t="shared" ca="1" si="277"/>
        <v/>
      </c>
      <c r="AA259" t="str">
        <f>IF( A259="","",IF(OR(F259="1",H259="1",I259="1"),"","COALESCE (CAST("&amp;A259&amp;" as varchar(" &amp; Options!$B$49&amp; ")),'')"))</f>
        <v/>
      </c>
      <c r="AB259" t="str">
        <f>IF(C259="string",  IF( A259="","",IF(OR(F259="1",H259="1",I259="1"),"","COALESCE (CAST(lower("&amp;A259&amp;") as varchar(" &amp;Options!$B$49 &amp; ")),'')")),AA259)</f>
        <v/>
      </c>
      <c r="AE259" t="str">
        <f t="shared" si="278"/>
        <v/>
      </c>
      <c r="AF259" t="str">
        <f>IF(AE259&lt;&gt;"", HELPER!$B$93 &amp;  "." &amp; AE259,"")</f>
        <v/>
      </c>
      <c r="AG259" t="str">
        <f>IF(AE259&lt;&gt;"", HELPER!$B$94 &amp; "." &amp; AE259,"")</f>
        <v/>
      </c>
      <c r="AH259" t="str">
        <f t="shared" si="279"/>
        <v/>
      </c>
      <c r="AN259" t="str">
        <f t="shared" si="280"/>
        <v/>
      </c>
      <c r="AO259" t="str">
        <f>IF(A259&lt;&gt;"", IF(OR(F259="1",H259="1",I259="1"),""," "&amp; HELPER!$B$94 &amp; "." &amp; A259),"")</f>
        <v/>
      </c>
      <c r="AP259" t="str">
        <f t="shared" si="281"/>
        <v/>
      </c>
      <c r="AS259" t="str">
        <f>IF(A259="","",  HELPER!$B$94 &amp;  "." &amp; A259)</f>
        <v/>
      </c>
      <c r="AT259" t="str">
        <f t="shared" si="282"/>
        <v/>
      </c>
      <c r="AU259" t="str">
        <f t="shared" si="283"/>
        <v/>
      </c>
      <c r="AX259" t="str">
        <f>IF(COLUMNS!J210="","","LEFT JOIN "&amp; Options!$B$23 &amp; "." &amp;  COLUMNS!J210 &amp; " ON ")</f>
        <v/>
      </c>
      <c r="AY259" t="str">
        <f t="shared" si="284"/>
        <v/>
      </c>
      <c r="BA259" t="str">
        <f>IF(AZ259="","", "CAST(" &amp; AZ259 &amp; " AS varchar(" &amp; Options!$B$49 &amp; "))")</f>
        <v/>
      </c>
      <c r="BB259" t="str">
        <f t="shared" ca="1" si="285"/>
        <v/>
      </c>
      <c r="BC259" t="str">
        <f t="shared" si="294"/>
        <v/>
      </c>
      <c r="BF259" t="str">
        <f t="shared" si="286"/>
        <v/>
      </c>
      <c r="BG259" t="str">
        <f t="shared" si="287"/>
        <v/>
      </c>
      <c r="BH259" s="285" t="str">
        <f t="shared" ca="1" si="295"/>
        <v/>
      </c>
      <c r="BJ259" t="str">
        <f t="shared" si="288"/>
        <v/>
      </c>
      <c r="BM259" t="str">
        <f t="shared" si="296"/>
        <v/>
      </c>
      <c r="BN259" t="str">
        <f t="shared" si="297"/>
        <v/>
      </c>
      <c r="BO259" t="str">
        <f t="shared" ca="1" si="289"/>
        <v/>
      </c>
      <c r="BR259" t="str">
        <f t="shared" si="290"/>
        <v/>
      </c>
      <c r="BS259" t="str">
        <f t="shared" ca="1" si="291"/>
        <v/>
      </c>
      <c r="BT259" t="str">
        <f t="shared" si="298"/>
        <v/>
      </c>
      <c r="BU259" t="str">
        <f t="shared" si="292"/>
        <v/>
      </c>
      <c r="BV259">
        <f t="shared" si="293"/>
        <v>0</v>
      </c>
    </row>
    <row r="260" spans="6:74">
      <c r="F260" s="164">
        <f t="shared" ca="1" si="273"/>
        <v>0</v>
      </c>
      <c r="G260" s="164" t="str">
        <f t="array" aca="1" ref="G260" ca="1">IF(TRIM(INDIRECT("Columns!D2"))="","",TRIM(INDIRECT("Columns!D2")))</f>
        <v/>
      </c>
      <c r="S260" t="str">
        <f t="shared" si="274"/>
        <v/>
      </c>
      <c r="V260" t="str">
        <f t="shared" si="275"/>
        <v/>
      </c>
      <c r="Y260" t="str">
        <f t="shared" ca="1" si="276"/>
        <v/>
      </c>
      <c r="Z260" t="str">
        <f t="shared" ca="1" si="277"/>
        <v/>
      </c>
      <c r="AA260" t="str">
        <f>IF( A260="","",IF(OR(F260="1",H260="1",I260="1"),"","COALESCE (CAST("&amp;A260&amp;" as varchar(" &amp; Options!$B$49&amp; ")),'')"))</f>
        <v/>
      </c>
      <c r="AB260" t="str">
        <f>IF(C260="string",  IF( A260="","",IF(OR(F260="1",H260="1",I260="1"),"","COALESCE (CAST(lower("&amp;A260&amp;") as varchar(" &amp;Options!$B$49 &amp; ")),'')")),AA260)</f>
        <v/>
      </c>
      <c r="AE260" t="str">
        <f t="shared" si="278"/>
        <v/>
      </c>
      <c r="AF260" t="str">
        <f>IF(AE260&lt;&gt;"", HELPER!$B$93 &amp;  "." &amp; AE260,"")</f>
        <v/>
      </c>
      <c r="AG260" t="str">
        <f>IF(AE260&lt;&gt;"", HELPER!$B$94 &amp; "." &amp; AE260,"")</f>
        <v/>
      </c>
      <c r="AH260" t="str">
        <f t="shared" si="279"/>
        <v/>
      </c>
      <c r="AN260" t="str">
        <f t="shared" si="280"/>
        <v/>
      </c>
      <c r="AO260" t="str">
        <f>IF(A260&lt;&gt;"", IF(OR(F260="1",H260="1",I260="1"),""," "&amp; HELPER!$B$94 &amp; "." &amp; A260),"")</f>
        <v/>
      </c>
      <c r="AP260" t="str">
        <f t="shared" si="281"/>
        <v/>
      </c>
      <c r="AS260" t="str">
        <f>IF(A260="","",  HELPER!$B$94 &amp;  "." &amp; A260)</f>
        <v/>
      </c>
      <c r="AT260" t="str">
        <f t="shared" si="282"/>
        <v/>
      </c>
      <c r="AU260" t="str">
        <f t="shared" si="283"/>
        <v/>
      </c>
      <c r="AX260" t="str">
        <f>IF(COLUMNS!J211="","","LEFT JOIN "&amp; Options!$B$23 &amp; "." &amp;  COLUMNS!J211 &amp; " ON ")</f>
        <v/>
      </c>
      <c r="AY260" t="str">
        <f t="shared" si="284"/>
        <v/>
      </c>
      <c r="BA260" t="str">
        <f>IF(AZ260="","", "CAST(" &amp; AZ260 &amp; " AS varchar(" &amp; Options!$B$49 &amp; "))")</f>
        <v/>
      </c>
      <c r="BB260" t="str">
        <f t="shared" ca="1" si="285"/>
        <v/>
      </c>
      <c r="BC260" t="str">
        <f t="shared" si="294"/>
        <v/>
      </c>
      <c r="BF260" t="str">
        <f t="shared" si="286"/>
        <v/>
      </c>
      <c r="BG260" t="str">
        <f t="shared" si="287"/>
        <v/>
      </c>
      <c r="BH260" s="285" t="str">
        <f t="shared" ca="1" si="295"/>
        <v/>
      </c>
      <c r="BJ260" t="str">
        <f t="shared" si="288"/>
        <v/>
      </c>
      <c r="BM260" t="str">
        <f t="shared" si="296"/>
        <v/>
      </c>
      <c r="BN260" t="str">
        <f t="shared" si="297"/>
        <v/>
      </c>
      <c r="BO260" t="str">
        <f t="shared" ca="1" si="289"/>
        <v/>
      </c>
      <c r="BR260" t="str">
        <f t="shared" si="290"/>
        <v/>
      </c>
      <c r="BS260" t="str">
        <f t="shared" ca="1" si="291"/>
        <v/>
      </c>
      <c r="BT260" t="str">
        <f t="shared" si="298"/>
        <v/>
      </c>
      <c r="BU260" t="str">
        <f t="shared" si="292"/>
        <v/>
      </c>
      <c r="BV260">
        <f t="shared" si="293"/>
        <v>0</v>
      </c>
    </row>
    <row r="261" spans="6:74">
      <c r="F261" s="164">
        <f t="shared" ca="1" si="273"/>
        <v>0</v>
      </c>
      <c r="G261" s="164" t="str">
        <f t="array" aca="1" ref="G261" ca="1">IF(TRIM(INDIRECT("Columns!D2"))="","",TRIM(INDIRECT("Columns!D2")))</f>
        <v/>
      </c>
      <c r="S261" t="str">
        <f t="shared" si="274"/>
        <v/>
      </c>
      <c r="V261" t="str">
        <f t="shared" si="275"/>
        <v/>
      </c>
      <c r="Y261" t="str">
        <f t="shared" ca="1" si="276"/>
        <v/>
      </c>
      <c r="Z261" t="str">
        <f t="shared" ca="1" si="277"/>
        <v/>
      </c>
      <c r="AA261" t="str">
        <f>IF( A261="","",IF(OR(F261="1",H261="1",I261="1"),"","COALESCE (CAST("&amp;A261&amp;" as varchar(" &amp; Options!$B$49&amp; ")),'')"))</f>
        <v/>
      </c>
      <c r="AB261" t="str">
        <f>IF(C261="string",  IF( A261="","",IF(OR(F261="1",H261="1",I261="1"),"","COALESCE (CAST(lower("&amp;A261&amp;") as varchar(" &amp;Options!$B$49 &amp; ")),'')")),AA261)</f>
        <v/>
      </c>
      <c r="AE261" t="str">
        <f t="shared" si="278"/>
        <v/>
      </c>
      <c r="AF261" t="str">
        <f>IF(AE261&lt;&gt;"", HELPER!$B$93 &amp;  "." &amp; AE261,"")</f>
        <v/>
      </c>
      <c r="AG261" t="str">
        <f>IF(AE261&lt;&gt;"", HELPER!$B$94 &amp; "." &amp; AE261,"")</f>
        <v/>
      </c>
      <c r="AH261" t="str">
        <f t="shared" si="279"/>
        <v/>
      </c>
      <c r="AN261" t="str">
        <f t="shared" si="280"/>
        <v/>
      </c>
      <c r="AO261" t="str">
        <f>IF(A261&lt;&gt;"", IF(OR(F261="1",H261="1",I261="1"),""," "&amp; HELPER!$B$94 &amp; "." &amp; A261),"")</f>
        <v/>
      </c>
      <c r="AP261" t="str">
        <f t="shared" si="281"/>
        <v/>
      </c>
      <c r="AS261" t="str">
        <f>IF(A261="","",  HELPER!$B$94 &amp;  "." &amp; A261)</f>
        <v/>
      </c>
      <c r="AT261" t="str">
        <f t="shared" si="282"/>
        <v/>
      </c>
      <c r="AU261" t="str">
        <f t="shared" si="283"/>
        <v/>
      </c>
      <c r="AX261" t="str">
        <f>IF(COLUMNS!J212="","","LEFT JOIN "&amp; Options!$B$23 &amp; "." &amp;  COLUMNS!J212 &amp; " ON ")</f>
        <v/>
      </c>
      <c r="AY261" t="str">
        <f t="shared" si="284"/>
        <v/>
      </c>
      <c r="BA261" t="str">
        <f>IF(AZ261="","", "CAST(" &amp; AZ261 &amp; " AS varchar(" &amp; Options!$B$49 &amp; "))")</f>
        <v/>
      </c>
      <c r="BB261" t="str">
        <f t="shared" ca="1" si="285"/>
        <v/>
      </c>
      <c r="BC261" t="str">
        <f t="shared" si="294"/>
        <v/>
      </c>
      <c r="BF261" t="str">
        <f t="shared" si="286"/>
        <v/>
      </c>
      <c r="BG261" t="str">
        <f t="shared" si="287"/>
        <v/>
      </c>
      <c r="BH261" s="285" t="str">
        <f t="shared" ca="1" si="295"/>
        <v/>
      </c>
      <c r="BJ261" t="str">
        <f t="shared" si="288"/>
        <v/>
      </c>
      <c r="BM261" t="str">
        <f t="shared" si="296"/>
        <v/>
      </c>
      <c r="BN261" t="str">
        <f t="shared" si="297"/>
        <v/>
      </c>
      <c r="BO261" t="str">
        <f t="shared" ca="1" si="289"/>
        <v/>
      </c>
      <c r="BR261" t="str">
        <f t="shared" si="290"/>
        <v/>
      </c>
      <c r="BS261" t="str">
        <f t="shared" ca="1" si="291"/>
        <v/>
      </c>
      <c r="BT261" t="str">
        <f t="shared" si="298"/>
        <v/>
      </c>
      <c r="BU261" t="str">
        <f t="shared" si="292"/>
        <v/>
      </c>
      <c r="BV261">
        <f t="shared" si="293"/>
        <v>0</v>
      </c>
    </row>
    <row r="262" spans="6:74">
      <c r="F262" s="164">
        <f t="shared" ca="1" si="273"/>
        <v>0</v>
      </c>
      <c r="G262" s="164" t="str">
        <f t="array" aca="1" ref="G262" ca="1">IF(TRIM(INDIRECT("Columns!D2"))="","",TRIM(INDIRECT("Columns!D2")))</f>
        <v/>
      </c>
      <c r="S262" t="str">
        <f t="shared" si="274"/>
        <v/>
      </c>
      <c r="V262" t="str">
        <f t="shared" si="275"/>
        <v/>
      </c>
      <c r="Y262" t="str">
        <f t="shared" ca="1" si="276"/>
        <v/>
      </c>
      <c r="Z262" t="str">
        <f t="shared" ca="1" si="277"/>
        <v/>
      </c>
      <c r="AA262" t="str">
        <f>IF( A262="","",IF(OR(F262="1",H262="1",I262="1"),"","COALESCE (CAST("&amp;A262&amp;" as varchar(" &amp; Options!$B$49&amp; ")),'')"))</f>
        <v/>
      </c>
      <c r="AB262" t="str">
        <f>IF(C262="string",  IF( A262="","",IF(OR(F262="1",H262="1",I262="1"),"","COALESCE (CAST(lower("&amp;A262&amp;") as varchar(" &amp;Options!$B$49 &amp; ")),'')")),AA262)</f>
        <v/>
      </c>
      <c r="AE262" t="str">
        <f t="shared" si="278"/>
        <v/>
      </c>
      <c r="AF262" t="str">
        <f>IF(AE262&lt;&gt;"", HELPER!$B$93 &amp;  "." &amp; AE262,"")</f>
        <v/>
      </c>
      <c r="AG262" t="str">
        <f>IF(AE262&lt;&gt;"", HELPER!$B$94 &amp; "." &amp; AE262,"")</f>
        <v/>
      </c>
      <c r="AH262" t="str">
        <f t="shared" si="279"/>
        <v/>
      </c>
      <c r="AN262" t="str">
        <f t="shared" si="280"/>
        <v/>
      </c>
      <c r="AO262" t="str">
        <f>IF(A262&lt;&gt;"", IF(OR(F262="1",H262="1",I262="1"),""," "&amp; HELPER!$B$94 &amp; "." &amp; A262),"")</f>
        <v/>
      </c>
      <c r="AP262" t="str">
        <f t="shared" si="281"/>
        <v/>
      </c>
      <c r="AS262" t="str">
        <f>IF(A262="","",  HELPER!$B$94 &amp;  "." &amp; A262)</f>
        <v/>
      </c>
      <c r="AT262" t="str">
        <f t="shared" si="282"/>
        <v/>
      </c>
      <c r="AU262" t="str">
        <f t="shared" si="283"/>
        <v/>
      </c>
      <c r="AX262" t="str">
        <f>IF(COLUMNS!J213="","","LEFT JOIN "&amp; Options!$B$23 &amp; "." &amp;  COLUMNS!J213 &amp; " ON ")</f>
        <v/>
      </c>
      <c r="AY262" t="str">
        <f t="shared" si="284"/>
        <v/>
      </c>
      <c r="BA262" t="str">
        <f>IF(AZ262="","", "CAST(" &amp; AZ262 &amp; " AS varchar(" &amp; Options!$B$49 &amp; "))")</f>
        <v/>
      </c>
      <c r="BB262" t="str">
        <f t="shared" ca="1" si="285"/>
        <v/>
      </c>
      <c r="BC262" t="str">
        <f t="shared" si="294"/>
        <v/>
      </c>
      <c r="BF262" t="str">
        <f t="shared" si="286"/>
        <v/>
      </c>
      <c r="BG262" t="str">
        <f t="shared" si="287"/>
        <v/>
      </c>
      <c r="BH262" s="285" t="str">
        <f t="shared" ca="1" si="295"/>
        <v/>
      </c>
      <c r="BJ262" t="str">
        <f t="shared" si="288"/>
        <v/>
      </c>
      <c r="BM262" t="str">
        <f t="shared" si="296"/>
        <v/>
      </c>
      <c r="BN262" t="str">
        <f t="shared" si="297"/>
        <v/>
      </c>
      <c r="BO262" t="str">
        <f t="shared" ca="1" si="289"/>
        <v/>
      </c>
      <c r="BR262" t="str">
        <f t="shared" si="290"/>
        <v/>
      </c>
      <c r="BS262" t="str">
        <f t="shared" ca="1" si="291"/>
        <v/>
      </c>
      <c r="BT262" t="str">
        <f t="shared" si="298"/>
        <v/>
      </c>
      <c r="BU262" t="str">
        <f t="shared" si="292"/>
        <v/>
      </c>
      <c r="BV262">
        <f t="shared" si="293"/>
        <v>0</v>
      </c>
    </row>
    <row r="263" spans="6:74">
      <c r="F263" s="164">
        <f t="shared" ca="1" si="273"/>
        <v>0</v>
      </c>
      <c r="G263" s="164" t="str">
        <f t="array" aca="1" ref="G263" ca="1">IF(TRIM(INDIRECT("Columns!D2"))="","",TRIM(INDIRECT("Columns!D2")))</f>
        <v/>
      </c>
      <c r="S263" t="str">
        <f t="shared" ref="S263:S275" si="299">IF(A263="","",A263 &amp; " " &amp; IF(C263="array&lt;varchar&gt;","array&lt;string&gt;",C263))</f>
        <v/>
      </c>
      <c r="V263" t="str">
        <f t="shared" ref="V263:V275" si="300">IF(A263="","",IF(F263&lt;&gt;"1",S263,""))</f>
        <v/>
      </c>
      <c r="Y263" t="str">
        <f t="shared" ref="Y263:Y275" ca="1" si="301">IF(F263="1",A263 &amp; " " &amp; C263,"" )</f>
        <v/>
      </c>
      <c r="Z263" t="str">
        <f t="shared" ref="Z263:Z275" ca="1" si="302">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3">IF(H263="1",A263,"")</f>
        <v/>
      </c>
      <c r="AF263" t="str">
        <f>IF(AE263&lt;&gt;"", HELPER!$B$93 &amp;  "." &amp; AE263,"")</f>
        <v/>
      </c>
      <c r="AG263" t="str">
        <f>IF(AE263&lt;&gt;"", HELPER!$B$94 &amp; "." &amp; AE263,"")</f>
        <v/>
      </c>
      <c r="AH263" t="str">
        <f t="shared" ref="AH263:AH275" si="304">IF(AE263&lt;&gt;"",AF263&amp;" = "&amp;AU263,"")</f>
        <v/>
      </c>
      <c r="AN263" t="str">
        <f t="shared" ref="AN263:AN275" si="305">IF(A263="","", IF(OR(F263="1",H263="1",I263="1"),"", A263))</f>
        <v/>
      </c>
      <c r="AO263" t="str">
        <f>IF(A263&lt;&gt;"", IF(OR(F263="1",H263="1",I263="1"),""," "&amp; HELPER!$B$94 &amp; "." &amp; A263),"")</f>
        <v/>
      </c>
      <c r="AP263" t="str">
        <f t="shared" ref="AP263:AP275" si="306">IF(A263="","", IF(AN263="","",AN263 &amp; " = " &amp; AO263))</f>
        <v/>
      </c>
      <c r="AS263" t="str">
        <f>IF(A263="","",  HELPER!$B$94 &amp;  "." &amp; A263)</f>
        <v/>
      </c>
      <c r="AT263" t="str">
        <f t="shared" ref="AT263:AT275" si="307">IF(I263="1",A263,"")</f>
        <v/>
      </c>
      <c r="AU263" t="str">
        <f t="shared" ref="AU263:AU275" si="308">IF(C263="string","COALESCE(" &amp; AS263 &amp; ",'')",AS263)</f>
        <v/>
      </c>
      <c r="AX263" t="str">
        <f>IF(COLUMNS!J214="","","LEFT JOIN "&amp; Options!$B$23 &amp; "." &amp;  COLUMNS!J214 &amp; " ON ")</f>
        <v/>
      </c>
      <c r="AY263" t="str">
        <f t="shared" ref="AY263:AY269" si="309">IF(A263="","",IF(I263="1","", IF(B263="",A263, B263) &amp;" AS "&amp;A263))</f>
        <v/>
      </c>
      <c r="BA263" t="str">
        <f>IF(AZ263="","", "CAST(" &amp; AZ263 &amp; " AS varchar(" &amp; Options!$B$49 &amp; "))")</f>
        <v/>
      </c>
      <c r="BB263" t="str">
        <f t="shared" ref="BB263:BB275" ca="1" si="310">IF(F263="1",IF(B263="",A263,B263),"")</f>
        <v/>
      </c>
      <c r="BC263" t="str">
        <f>IF(AZ263="","","COALESCE(" &amp;  AZ263 &amp; "," &amp; IF(C263="string","''",0  ) &amp; ") AS " &amp; A263)</f>
        <v/>
      </c>
      <c r="BF263" t="str">
        <f t="shared" ref="BF263:BF275" si="311">IF(A263="","",IF(I263="1","",B263&amp;" AS "&amp;A263))</f>
        <v/>
      </c>
      <c r="BG263" t="str">
        <f t="shared" si="287"/>
        <v/>
      </c>
      <c r="BH263" s="285" t="str">
        <f t="shared" ca="1" si="295"/>
        <v/>
      </c>
      <c r="BJ263" t="str">
        <f t="shared" ref="BJ263:BJ275" si="312">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3">IF(G263="", IF(B263="","","f." &amp; B263),G263)</f>
        <v/>
      </c>
      <c r="BR263" t="str">
        <f t="shared" ref="BR263:BR275" si="314">IF(M263&lt;&gt;"",A263 &amp; M263,"")</f>
        <v/>
      </c>
      <c r="BS263" t="str">
        <f t="shared" ref="BS263:BS275" ca="1" si="315">IF(F263="1",SUBSTITUTE(BR263,"'",""),"")</f>
        <v/>
      </c>
      <c r="BT263" t="str">
        <f>IF(N263="","", SUBSTITUTE(BR263,"[:date_yyyy_mm_dd]",  N263))</f>
        <v/>
      </c>
      <c r="BU263" t="str">
        <f t="shared" ref="BU263:BU275" si="316">IF(N263="","",SUBSTITUTE(BS263,"[:date_yyyy_mm_dd]",SUBSTITUTE(N263,"'","")))</f>
        <v/>
      </c>
      <c r="BV263">
        <f t="shared" ref="BV263:BV275" si="317">IF(A262="",0,1)</f>
        <v>0</v>
      </c>
    </row>
    <row r="264" spans="6:74">
      <c r="F264" s="164">
        <f t="shared" ca="1" si="273"/>
        <v>0</v>
      </c>
      <c r="G264" s="164" t="str">
        <f t="array" aca="1" ref="G264" ca="1">IF(TRIM(INDIRECT("Columns!D2"))="","",TRIM(INDIRECT("Columns!D2")))</f>
        <v/>
      </c>
      <c r="S264" t="str">
        <f t="shared" si="299"/>
        <v/>
      </c>
      <c r="V264" t="str">
        <f t="shared" si="300"/>
        <v/>
      </c>
      <c r="Y264" t="str">
        <f t="shared" ca="1" si="301"/>
        <v/>
      </c>
      <c r="Z264" t="str">
        <f t="shared" ca="1" si="302"/>
        <v/>
      </c>
      <c r="AA264" t="str">
        <f>IF( A264="","",IF(OR(F264="1",H264="1",I264="1"),"","COALESCE (CAST("&amp;A264&amp;" as varchar(" &amp; Options!$B$49&amp; ")),'')"))</f>
        <v/>
      </c>
      <c r="AB264" t="str">
        <f>IF(C264="string",  IF( A264="","",IF(OR(F264="1",H264="1",I264="1"),"","COALESCE (CAST(lower("&amp;A264&amp;") as varchar(" &amp;Options!$B$49 &amp; ")),'')")),AA264)</f>
        <v/>
      </c>
      <c r="AE264" t="str">
        <f t="shared" si="303"/>
        <v/>
      </c>
      <c r="AF264" t="str">
        <f>IF(AE264&lt;&gt;"", HELPER!$B$93 &amp;  "." &amp; AE264,"")</f>
        <v/>
      </c>
      <c r="AG264" t="str">
        <f>IF(AE264&lt;&gt;"", HELPER!$B$94 &amp; "." &amp; AE264,"")</f>
        <v/>
      </c>
      <c r="AH264" t="str">
        <f t="shared" si="304"/>
        <v/>
      </c>
      <c r="AN264" t="str">
        <f t="shared" si="305"/>
        <v/>
      </c>
      <c r="AO264" t="str">
        <f>IF(A264&lt;&gt;"", IF(OR(F264="1",H264="1",I264="1"),""," "&amp; HELPER!$B$94 &amp; "." &amp; A264),"")</f>
        <v/>
      </c>
      <c r="AP264" t="str">
        <f t="shared" si="306"/>
        <v/>
      </c>
      <c r="AS264" t="str">
        <f>IF(A264="","",  HELPER!$B$94 &amp;  "." &amp; A264)</f>
        <v/>
      </c>
      <c r="AT264" t="str">
        <f t="shared" si="307"/>
        <v/>
      </c>
      <c r="AU264" t="str">
        <f t="shared" si="308"/>
        <v/>
      </c>
      <c r="AX264" t="str">
        <f>IF(COLUMNS!J215="","","LEFT JOIN "&amp; Options!$B$23 &amp; "." &amp;  COLUMNS!J215 &amp; " ON ")</f>
        <v/>
      </c>
      <c r="AY264" t="str">
        <f t="shared" si="309"/>
        <v/>
      </c>
      <c r="BA264" t="str">
        <f>IF(AZ264="","", "CAST(" &amp; AZ264 &amp; " AS varchar(" &amp; Options!$B$49 &amp; "))")</f>
        <v/>
      </c>
      <c r="BB264" t="str">
        <f t="shared" ca="1" si="310"/>
        <v/>
      </c>
      <c r="BC264" t="str">
        <f t="shared" ref="BC264:BC275" si="318">IF(AZ264="","","COALESCE(" &amp; AZ264 &amp; "," &amp; IF(C264="string","''",0 ) &amp; ") AS " &amp; A264)</f>
        <v/>
      </c>
      <c r="BF264" t="str">
        <f t="shared" si="311"/>
        <v/>
      </c>
      <c r="BG264" t="str">
        <f t="shared" si="287"/>
        <v/>
      </c>
      <c r="BH264" s="285" t="str">
        <f ca="1">IF(G264="",   IF(B264="","","COALESCE(" &amp;  B264 &amp; "," &amp; IF(C264="string","''",0  ) &amp; ") AS " &amp; A264),G264 &amp; " AS " &amp;A264 )</f>
        <v/>
      </c>
      <c r="BJ264" t="str">
        <f t="shared" si="312"/>
        <v/>
      </c>
      <c r="BM264" t="str">
        <f t="shared" ref="BM264:BM275" si="319">IF(A264="","",IF(I264="1","",IF(C264&lt;&gt;D264, IF(AND(D264="string",C264="timestamp"),"cast(from_iso8601_timestamp(" &amp; BO264 &amp; ") as timestamp) AS " &amp; A264, IF(AND(D264="string",C264="date"),"cast( from_iso8601_timestamp(" &amp; BO264 &amp;") as date) AS " &amp; A264,"")),BO264 &amp; " AS " &amp; A264)))</f>
        <v/>
      </c>
      <c r="BN264" t="str">
        <f t="shared" ref="BN264:BN275" si="320">IF(A264="","",IF(I264="1","",IF(C264&lt;&gt;D264, IF(AND(D264="string",C264="timestamp"),"cast(from_iso8601_timestamp(" &amp; BO264 &amp; ") as timestamp) AS " &amp; A264, IF(AND(D264="string",C264="date"),"cast( from_iso8601_timestamp(" &amp; BO264 &amp;") as date) AS " &amp; A264,"")),BO264 &amp; " AS " &amp; A264)))</f>
        <v/>
      </c>
      <c r="BO264" t="str">
        <f t="shared" ca="1" si="313"/>
        <v/>
      </c>
      <c r="BR264" t="str">
        <f t="shared" si="314"/>
        <v/>
      </c>
      <c r="BS264" t="str">
        <f t="shared" ca="1" si="315"/>
        <v/>
      </c>
      <c r="BT264" t="str">
        <f t="shared" ref="BT264:BT275" si="321">IF(N264="","", SUBSTITUTE(BR264,"[:date_yyyy_mm_dd]", N264))</f>
        <v/>
      </c>
      <c r="BU264" t="str">
        <f t="shared" si="316"/>
        <v/>
      </c>
      <c r="BV264">
        <f t="shared" si="317"/>
        <v>0</v>
      </c>
    </row>
    <row r="265" spans="6:74">
      <c r="F265" s="164">
        <f t="shared" ca="1" si="273"/>
        <v>0</v>
      </c>
      <c r="G265" s="164" t="str">
        <f t="array" aca="1" ref="G265" ca="1">IF(TRIM(INDIRECT("Columns!D2"))="","",TRIM(INDIRECT("Columns!D2")))</f>
        <v/>
      </c>
      <c r="S265" t="str">
        <f t="shared" si="299"/>
        <v/>
      </c>
      <c r="V265" t="str">
        <f t="shared" si="300"/>
        <v/>
      </c>
      <c r="Y265" t="str">
        <f t="shared" ca="1" si="301"/>
        <v/>
      </c>
      <c r="Z265" t="str">
        <f t="shared" ca="1" si="302"/>
        <v/>
      </c>
      <c r="AA265" t="str">
        <f>IF( A265="","",IF(OR(F265="1",H265="1",I265="1"),"","COALESCE (CAST("&amp;A265&amp;" as varchar(" &amp; Options!$B$49&amp; ")),'')"))</f>
        <v/>
      </c>
      <c r="AB265" t="str">
        <f>IF(C265="string",  IF( A265="","",IF(OR(F265="1",H265="1",I265="1"),"","COALESCE (CAST(lower("&amp;A265&amp;") as varchar(" &amp;Options!$B$49 &amp; ")),'')")),AA265)</f>
        <v/>
      </c>
      <c r="AE265" t="str">
        <f t="shared" si="303"/>
        <v/>
      </c>
      <c r="AF265" t="str">
        <f>IF(AE265&lt;&gt;"", HELPER!$B$93 &amp;  "." &amp; AE265,"")</f>
        <v/>
      </c>
      <c r="AG265" t="str">
        <f>IF(AE265&lt;&gt;"", HELPER!$B$94 &amp; "." &amp; AE265,"")</f>
        <v/>
      </c>
      <c r="AH265" t="str">
        <f t="shared" si="304"/>
        <v/>
      </c>
      <c r="AN265" t="str">
        <f t="shared" si="305"/>
        <v/>
      </c>
      <c r="AO265" t="str">
        <f>IF(A265&lt;&gt;"", IF(OR(F265="1",H265="1",I265="1"),""," "&amp; HELPER!$B$94 &amp; "." &amp; A265),"")</f>
        <v/>
      </c>
      <c r="AP265" t="str">
        <f t="shared" si="306"/>
        <v/>
      </c>
      <c r="AS265" t="str">
        <f>IF(A265="","",  HELPER!$B$94 &amp;  "." &amp; A265)</f>
        <v/>
      </c>
      <c r="AT265" t="str">
        <f t="shared" si="307"/>
        <v/>
      </c>
      <c r="AU265" t="str">
        <f t="shared" si="308"/>
        <v/>
      </c>
      <c r="AX265" t="str">
        <f>IF(COLUMNS!J216="","","LEFT JOIN "&amp; Options!$B$23 &amp; "." &amp;  COLUMNS!J216 &amp; " ON ")</f>
        <v/>
      </c>
      <c r="AY265" t="str">
        <f t="shared" si="309"/>
        <v/>
      </c>
      <c r="BA265" t="str">
        <f>IF(AZ265="","", "CAST(" &amp; AZ265 &amp; " AS varchar(" &amp; Options!$B$49 &amp; "))")</f>
        <v/>
      </c>
      <c r="BB265" t="str">
        <f t="shared" ca="1" si="310"/>
        <v/>
      </c>
      <c r="BC265" t="str">
        <f t="shared" si="318"/>
        <v/>
      </c>
      <c r="BF265" t="str">
        <f t="shared" si="311"/>
        <v/>
      </c>
      <c r="BG265" t="str">
        <f t="shared" si="287"/>
        <v/>
      </c>
      <c r="BH265" s="285" t="str">
        <f t="shared" ref="BH265:BH275" ca="1" si="322">IF(G265="", IF(B265="","","COALESCE(" &amp; B265 &amp; "," &amp; IF(C265="string","''",0 ) &amp; ") AS " &amp; A265),G265 &amp; " AS " &amp;A265 )</f>
        <v/>
      </c>
      <c r="BJ265" t="str">
        <f t="shared" si="312"/>
        <v/>
      </c>
      <c r="BM265" t="str">
        <f t="shared" si="319"/>
        <v/>
      </c>
      <c r="BN265" t="str">
        <f t="shared" si="320"/>
        <v/>
      </c>
      <c r="BO265" t="str">
        <f t="shared" ca="1" si="313"/>
        <v/>
      </c>
      <c r="BR265" t="str">
        <f t="shared" si="314"/>
        <v/>
      </c>
      <c r="BS265" t="str">
        <f t="shared" ca="1" si="315"/>
        <v/>
      </c>
      <c r="BT265" t="str">
        <f t="shared" si="321"/>
        <v/>
      </c>
      <c r="BU265" t="str">
        <f t="shared" si="316"/>
        <v/>
      </c>
      <c r="BV265">
        <f t="shared" si="317"/>
        <v>0</v>
      </c>
    </row>
    <row r="266" spans="6:74">
      <c r="F266" s="164">
        <f t="shared" ca="1" si="273"/>
        <v>0</v>
      </c>
      <c r="G266" s="164" t="str">
        <f t="array" aca="1" ref="G266" ca="1">IF(TRIM(INDIRECT("Columns!D2"))="","",TRIM(INDIRECT("Columns!D2")))</f>
        <v/>
      </c>
      <c r="S266" t="str">
        <f t="shared" si="299"/>
        <v/>
      </c>
      <c r="V266" t="str">
        <f t="shared" si="300"/>
        <v/>
      </c>
      <c r="Y266" t="str">
        <f t="shared" ca="1" si="301"/>
        <v/>
      </c>
      <c r="Z266" t="str">
        <f t="shared" ca="1" si="302"/>
        <v/>
      </c>
      <c r="AA266" t="str">
        <f>IF( A266="","",IF(OR(F266="1",H266="1",I266="1"),"","COALESCE (CAST("&amp;A266&amp;" as varchar(" &amp; Options!$B$49&amp; ")),'')"))</f>
        <v/>
      </c>
      <c r="AB266" t="str">
        <f>IF(C266="string",  IF( A266="","",IF(OR(F266="1",H266="1",I266="1"),"","COALESCE (CAST(lower("&amp;A266&amp;") as varchar(" &amp;Options!$B$49 &amp; ")),'')")),AA266)</f>
        <v/>
      </c>
      <c r="AE266" t="str">
        <f t="shared" si="303"/>
        <v/>
      </c>
      <c r="AF266" t="str">
        <f>IF(AE266&lt;&gt;"", HELPER!$B$93 &amp;  "." &amp; AE266,"")</f>
        <v/>
      </c>
      <c r="AG266" t="str">
        <f>IF(AE266&lt;&gt;"", HELPER!$B$94 &amp; "." &amp; AE266,"")</f>
        <v/>
      </c>
      <c r="AH266" t="str">
        <f t="shared" si="304"/>
        <v/>
      </c>
      <c r="AN266" t="str">
        <f t="shared" si="305"/>
        <v/>
      </c>
      <c r="AO266" t="str">
        <f>IF(A266&lt;&gt;"", IF(OR(F266="1",H266="1",I266="1"),""," "&amp; HELPER!$B$94 &amp; "." &amp; A266),"")</f>
        <v/>
      </c>
      <c r="AP266" t="str">
        <f t="shared" si="306"/>
        <v/>
      </c>
      <c r="AS266" t="str">
        <f>IF(A266="","",  HELPER!$B$94 &amp;  "." &amp; A266)</f>
        <v/>
      </c>
      <c r="AT266" t="str">
        <f t="shared" si="307"/>
        <v/>
      </c>
      <c r="AU266" t="str">
        <f t="shared" si="308"/>
        <v/>
      </c>
      <c r="AX266" t="str">
        <f>IF(COLUMNS!J217="","","LEFT JOIN "&amp; Options!$B$23 &amp; "." &amp;  COLUMNS!J217 &amp; " ON ")</f>
        <v/>
      </c>
      <c r="AY266" t="str">
        <f t="shared" si="309"/>
        <v/>
      </c>
      <c r="BA266" t="str">
        <f>IF(AZ266="","", "CAST(" &amp; AZ266 &amp; " AS varchar(" &amp; Options!$B$49 &amp; "))")</f>
        <v/>
      </c>
      <c r="BB266" t="str">
        <f t="shared" ca="1" si="310"/>
        <v/>
      </c>
      <c r="BC266" t="str">
        <f t="shared" si="318"/>
        <v/>
      </c>
      <c r="BF266" t="str">
        <f t="shared" si="311"/>
        <v/>
      </c>
      <c r="BG266" t="str">
        <f t="shared" si="287"/>
        <v/>
      </c>
      <c r="BH266" s="285" t="str">
        <f t="shared" ca="1" si="322"/>
        <v/>
      </c>
      <c r="BJ266" t="str">
        <f t="shared" si="312"/>
        <v/>
      </c>
      <c r="BM266" t="str">
        <f t="shared" si="319"/>
        <v/>
      </c>
      <c r="BN266" t="str">
        <f t="shared" si="320"/>
        <v/>
      </c>
      <c r="BO266" t="str">
        <f t="shared" ca="1" si="313"/>
        <v/>
      </c>
      <c r="BR266" t="str">
        <f t="shared" si="314"/>
        <v/>
      </c>
      <c r="BS266" t="str">
        <f t="shared" ca="1" si="315"/>
        <v/>
      </c>
      <c r="BT266" t="str">
        <f t="shared" si="321"/>
        <v/>
      </c>
      <c r="BU266" t="str">
        <f t="shared" si="316"/>
        <v/>
      </c>
      <c r="BV266">
        <f t="shared" si="317"/>
        <v>0</v>
      </c>
    </row>
    <row r="267" spans="6:74">
      <c r="F267" s="164">
        <f t="shared" ca="1" si="273"/>
        <v>0</v>
      </c>
      <c r="G267" s="164" t="str">
        <f t="array" aca="1" ref="G267" ca="1">IF(TRIM(INDIRECT("Columns!D2"))="","",TRIM(INDIRECT("Columns!D2")))</f>
        <v/>
      </c>
      <c r="S267" t="str">
        <f t="shared" si="299"/>
        <v/>
      </c>
      <c r="V267" t="str">
        <f t="shared" si="300"/>
        <v/>
      </c>
      <c r="Y267" t="str">
        <f t="shared" ca="1" si="301"/>
        <v/>
      </c>
      <c r="Z267" t="str">
        <f t="shared" ca="1" si="302"/>
        <v/>
      </c>
      <c r="AA267" t="str">
        <f>IF( A267="","",IF(OR(F267="1",H267="1",I267="1"),"","COALESCE (CAST("&amp;A267&amp;" as varchar(" &amp; Options!$B$49&amp; ")),'')"))</f>
        <v/>
      </c>
      <c r="AB267" t="str">
        <f>IF(C267="string",  IF( A267="","",IF(OR(F267="1",H267="1",I267="1"),"","COALESCE (CAST(lower("&amp;A267&amp;") as varchar(" &amp;Options!$B$49 &amp; ")),'')")),AA267)</f>
        <v/>
      </c>
      <c r="AE267" t="str">
        <f t="shared" si="303"/>
        <v/>
      </c>
      <c r="AF267" t="str">
        <f>IF(AE267&lt;&gt;"", HELPER!$B$93 &amp;  "." &amp; AE267,"")</f>
        <v/>
      </c>
      <c r="AG267" t="str">
        <f>IF(AE267&lt;&gt;"", HELPER!$B$94 &amp; "." &amp; AE267,"")</f>
        <v/>
      </c>
      <c r="AH267" t="str">
        <f t="shared" si="304"/>
        <v/>
      </c>
      <c r="AN267" t="str">
        <f t="shared" si="305"/>
        <v/>
      </c>
      <c r="AO267" t="str">
        <f>IF(A267&lt;&gt;"", IF(OR(F267="1",H267="1",I267="1"),""," "&amp; HELPER!$B$94 &amp; "." &amp; A267),"")</f>
        <v/>
      </c>
      <c r="AP267" t="str">
        <f t="shared" si="306"/>
        <v/>
      </c>
      <c r="AS267" t="str">
        <f>IF(A267="","",  HELPER!$B$94 &amp;  "." &amp; A267)</f>
        <v/>
      </c>
      <c r="AT267" t="str">
        <f t="shared" si="307"/>
        <v/>
      </c>
      <c r="AU267" t="str">
        <f t="shared" si="308"/>
        <v/>
      </c>
      <c r="AX267" t="str">
        <f>IF(COLUMNS!J218="","","LEFT JOIN "&amp; Options!$B$23 &amp; "." &amp;  COLUMNS!J218 &amp; " ON ")</f>
        <v/>
      </c>
      <c r="AY267" t="str">
        <f t="shared" si="309"/>
        <v/>
      </c>
      <c r="BA267" t="str">
        <f>IF(AZ267="","", "CAST(" &amp; AZ267 &amp; " AS varchar(" &amp; Options!$B$49 &amp; "))")</f>
        <v/>
      </c>
      <c r="BB267" t="str">
        <f t="shared" ca="1" si="310"/>
        <v/>
      </c>
      <c r="BC267" t="str">
        <f t="shared" si="318"/>
        <v/>
      </c>
      <c r="BF267" t="str">
        <f t="shared" si="311"/>
        <v/>
      </c>
      <c r="BG267" t="str">
        <f t="shared" si="287"/>
        <v/>
      </c>
      <c r="BH267" s="285" t="str">
        <f t="shared" ca="1" si="322"/>
        <v/>
      </c>
      <c r="BJ267" t="str">
        <f t="shared" si="312"/>
        <v/>
      </c>
      <c r="BM267" t="str">
        <f t="shared" si="319"/>
        <v/>
      </c>
      <c r="BN267" t="str">
        <f t="shared" si="320"/>
        <v/>
      </c>
      <c r="BO267" t="str">
        <f t="shared" ca="1" si="313"/>
        <v/>
      </c>
      <c r="BR267" t="str">
        <f t="shared" si="314"/>
        <v/>
      </c>
      <c r="BS267" t="str">
        <f t="shared" ca="1" si="315"/>
        <v/>
      </c>
      <c r="BT267" t="str">
        <f t="shared" si="321"/>
        <v/>
      </c>
      <c r="BU267" t="str">
        <f t="shared" si="316"/>
        <v/>
      </c>
      <c r="BV267">
        <f t="shared" si="317"/>
        <v>0</v>
      </c>
    </row>
    <row r="268" spans="6:74">
      <c r="F268" s="164">
        <f t="shared" ca="1" si="273"/>
        <v>0</v>
      </c>
      <c r="G268" s="164" t="str">
        <f t="array" aca="1" ref="G268" ca="1">IF(TRIM(INDIRECT("Columns!D2"))="","",TRIM(INDIRECT("Columns!D2")))</f>
        <v/>
      </c>
      <c r="S268" t="str">
        <f t="shared" si="299"/>
        <v/>
      </c>
      <c r="V268" t="str">
        <f t="shared" si="300"/>
        <v/>
      </c>
      <c r="Y268" t="str">
        <f t="shared" ca="1" si="301"/>
        <v/>
      </c>
      <c r="Z268" t="str">
        <f t="shared" ca="1" si="302"/>
        <v/>
      </c>
      <c r="AA268" t="str">
        <f>IF( A268="","",IF(OR(F268="1",H268="1",I268="1"),"","COALESCE (CAST("&amp;A268&amp;" as varchar(" &amp; Options!$B$49&amp; ")),'')"))</f>
        <v/>
      </c>
      <c r="AB268" t="str">
        <f>IF(C268="string",  IF( A268="","",IF(OR(F268="1",H268="1",I268="1"),"","COALESCE (CAST(lower("&amp;A268&amp;") as varchar(" &amp;Options!$B$49 &amp; ")),'')")),AA268)</f>
        <v/>
      </c>
      <c r="AE268" t="str">
        <f t="shared" si="303"/>
        <v/>
      </c>
      <c r="AF268" t="str">
        <f>IF(AE268&lt;&gt;"", HELPER!$B$93 &amp;  "." &amp; AE268,"")</f>
        <v/>
      </c>
      <c r="AG268" t="str">
        <f>IF(AE268&lt;&gt;"", HELPER!$B$94 &amp; "." &amp; AE268,"")</f>
        <v/>
      </c>
      <c r="AH268" t="str">
        <f t="shared" si="304"/>
        <v/>
      </c>
      <c r="AN268" t="str">
        <f t="shared" si="305"/>
        <v/>
      </c>
      <c r="AO268" t="str">
        <f>IF(A268&lt;&gt;"", IF(OR(F268="1",H268="1",I268="1"),""," "&amp; HELPER!$B$94 &amp; "." &amp; A268),"")</f>
        <v/>
      </c>
      <c r="AP268" t="str">
        <f t="shared" si="306"/>
        <v/>
      </c>
      <c r="AS268" t="str">
        <f>IF(A268="","",  HELPER!$B$94 &amp;  "." &amp; A268)</f>
        <v/>
      </c>
      <c r="AT268" t="str">
        <f t="shared" si="307"/>
        <v/>
      </c>
      <c r="AU268" t="str">
        <f t="shared" si="308"/>
        <v/>
      </c>
      <c r="AX268" t="str">
        <f>IF(COLUMNS!J219="","","LEFT JOIN "&amp; Options!$B$23 &amp; "." &amp;  COLUMNS!J219 &amp; " ON ")</f>
        <v/>
      </c>
      <c r="AY268" t="str">
        <f t="shared" si="309"/>
        <v/>
      </c>
      <c r="BA268" t="str">
        <f>IF(AZ268="","", "CAST(" &amp; AZ268 &amp; " AS varchar(" &amp; Options!$B$49 &amp; "))")</f>
        <v/>
      </c>
      <c r="BB268" t="str">
        <f t="shared" ca="1" si="310"/>
        <v/>
      </c>
      <c r="BC268" t="str">
        <f t="shared" si="318"/>
        <v/>
      </c>
      <c r="BF268" t="str">
        <f t="shared" si="311"/>
        <v/>
      </c>
      <c r="BH268" s="285" t="str">
        <f t="shared" ca="1" si="322"/>
        <v/>
      </c>
      <c r="BJ268" t="str">
        <f t="shared" si="312"/>
        <v/>
      </c>
      <c r="BM268" t="str">
        <f t="shared" si="319"/>
        <v/>
      </c>
      <c r="BN268" t="str">
        <f t="shared" si="320"/>
        <v/>
      </c>
      <c r="BO268" t="str">
        <f t="shared" ca="1" si="313"/>
        <v/>
      </c>
      <c r="BR268" t="str">
        <f t="shared" si="314"/>
        <v/>
      </c>
      <c r="BS268" t="str">
        <f t="shared" ca="1" si="315"/>
        <v/>
      </c>
      <c r="BT268" t="str">
        <f t="shared" si="321"/>
        <v/>
      </c>
      <c r="BU268" t="str">
        <f t="shared" si="316"/>
        <v/>
      </c>
      <c r="BV268">
        <f t="shared" si="317"/>
        <v>0</v>
      </c>
    </row>
    <row r="269" spans="6:74">
      <c r="F269" s="164">
        <f t="shared" ca="1" si="273"/>
        <v>0</v>
      </c>
      <c r="G269" s="164" t="str">
        <f t="array" aca="1" ref="G269" ca="1">IF(TRIM(INDIRECT("Columns!D2"))="","",TRIM(INDIRECT("Columns!D2")))</f>
        <v/>
      </c>
      <c r="S269" t="str">
        <f t="shared" si="299"/>
        <v/>
      </c>
      <c r="V269" t="str">
        <f t="shared" si="300"/>
        <v/>
      </c>
      <c r="Y269" t="str">
        <f t="shared" ca="1" si="301"/>
        <v/>
      </c>
      <c r="Z269" t="str">
        <f t="shared" ca="1" si="302"/>
        <v/>
      </c>
      <c r="AA269" t="str">
        <f>IF( A269="","",IF(OR(F269="1",H269="1",I269="1"),"","COALESCE (CAST("&amp;A269&amp;" as varchar(" &amp; Options!$B$49&amp; ")),'')"))</f>
        <v/>
      </c>
      <c r="AB269" t="str">
        <f>IF(C269="string",  IF( A269="","",IF(OR(F269="1",H269="1",I269="1"),"","COALESCE (CAST(lower("&amp;A269&amp;") as varchar(" &amp;Options!$B$49 &amp; ")),'')")),AA269)</f>
        <v/>
      </c>
      <c r="AE269" t="str">
        <f t="shared" si="303"/>
        <v/>
      </c>
      <c r="AF269" t="str">
        <f>IF(AE269&lt;&gt;"", HELPER!$B$93 &amp;  "." &amp; AE269,"")</f>
        <v/>
      </c>
      <c r="AG269" t="str">
        <f>IF(AE269&lt;&gt;"", HELPER!$B$94 &amp; "." &amp; AE269,"")</f>
        <v/>
      </c>
      <c r="AH269" t="str">
        <f t="shared" si="304"/>
        <v/>
      </c>
      <c r="AN269" t="str">
        <f t="shared" si="305"/>
        <v/>
      </c>
      <c r="AO269" t="str">
        <f>IF(A269&lt;&gt;"", IF(OR(F269="1",H269="1",I269="1"),""," "&amp; HELPER!$B$94 &amp; "." &amp; A269),"")</f>
        <v/>
      </c>
      <c r="AP269" t="str">
        <f t="shared" si="306"/>
        <v/>
      </c>
      <c r="AS269" t="str">
        <f>IF(A269="","",  HELPER!$B$94 &amp;  "." &amp; A269)</f>
        <v/>
      </c>
      <c r="AT269" t="str">
        <f t="shared" si="307"/>
        <v/>
      </c>
      <c r="AU269" t="str">
        <f t="shared" si="308"/>
        <v/>
      </c>
      <c r="AX269" t="str">
        <f>IF(COLUMNS!J220="","","LEFT JOIN "&amp; Options!$B$23 &amp; "." &amp;  COLUMNS!J220 &amp; " ON ")</f>
        <v/>
      </c>
      <c r="AY269" t="str">
        <f t="shared" si="309"/>
        <v/>
      </c>
      <c r="BA269" t="str">
        <f>IF(AZ269="","", "CAST(" &amp; AZ269 &amp; " AS varchar(" &amp; Options!$B$49 &amp; "))")</f>
        <v/>
      </c>
      <c r="BB269" t="str">
        <f t="shared" ca="1" si="310"/>
        <v/>
      </c>
      <c r="BC269" t="str">
        <f t="shared" si="318"/>
        <v/>
      </c>
      <c r="BF269" t="str">
        <f t="shared" si="311"/>
        <v/>
      </c>
      <c r="BH269" s="285" t="str">
        <f t="shared" ca="1" si="322"/>
        <v/>
      </c>
      <c r="BJ269" t="str">
        <f t="shared" si="312"/>
        <v/>
      </c>
      <c r="BM269" t="str">
        <f t="shared" si="319"/>
        <v/>
      </c>
      <c r="BN269" t="str">
        <f t="shared" si="320"/>
        <v/>
      </c>
      <c r="BO269" t="str">
        <f t="shared" ca="1" si="313"/>
        <v/>
      </c>
      <c r="BR269" t="str">
        <f t="shared" si="314"/>
        <v/>
      </c>
      <c r="BS269" t="str">
        <f t="shared" ca="1" si="315"/>
        <v/>
      </c>
      <c r="BT269" t="str">
        <f t="shared" si="321"/>
        <v/>
      </c>
      <c r="BU269" t="str">
        <f t="shared" si="316"/>
        <v/>
      </c>
      <c r="BV269">
        <f t="shared" si="317"/>
        <v>0</v>
      </c>
    </row>
    <row r="270" spans="6:74">
      <c r="F270" s="164">
        <f t="shared" ca="1" si="273"/>
        <v>0</v>
      </c>
      <c r="G270" s="164" t="str">
        <f t="array" aca="1" ref="G270" ca="1">IF(TRIM(INDIRECT("Columns!D2"))="","",TRIM(INDIRECT("Columns!D2")))</f>
        <v/>
      </c>
      <c r="S270" t="str">
        <f t="shared" si="299"/>
        <v/>
      </c>
      <c r="V270" t="str">
        <f t="shared" si="300"/>
        <v/>
      </c>
      <c r="Y270" t="str">
        <f t="shared" ca="1" si="301"/>
        <v/>
      </c>
      <c r="Z270" t="str">
        <f t="shared" ca="1" si="302"/>
        <v/>
      </c>
      <c r="AA270" t="str">
        <f>IF( A270="","",IF(OR(F270="1",H270="1",I270="1"),"","COALESCE (CAST("&amp;A270&amp;" as varchar(" &amp; Options!$B$49&amp; ")),'')"))</f>
        <v/>
      </c>
      <c r="AB270" t="str">
        <f>IF(C270="string",  IF( A270="","",IF(OR(F270="1",H270="1",I270="1"),"","COALESCE (CAST(lower("&amp;A270&amp;") as varchar(" &amp;Options!$B$49 &amp; ")),'')")),AA270)</f>
        <v/>
      </c>
      <c r="AE270" t="str">
        <f t="shared" si="303"/>
        <v/>
      </c>
      <c r="AF270" t="str">
        <f>IF(AE270&lt;&gt;"", HELPER!$B$93 &amp;  "." &amp; AE270,"")</f>
        <v/>
      </c>
      <c r="AG270" t="str">
        <f>IF(AE270&lt;&gt;"", HELPER!$B$94 &amp; "." &amp; AE270,"")</f>
        <v/>
      </c>
      <c r="AH270" t="str">
        <f t="shared" si="304"/>
        <v/>
      </c>
      <c r="AN270" t="str">
        <f t="shared" si="305"/>
        <v/>
      </c>
      <c r="AO270" t="str">
        <f>IF(A270&lt;&gt;"", IF(OR(F270="1",H270="1",I270="1"),""," "&amp; HELPER!$B$94 &amp; "." &amp; A270),"")</f>
        <v/>
      </c>
      <c r="AP270" t="str">
        <f t="shared" si="306"/>
        <v/>
      </c>
      <c r="AS270" t="str">
        <f>IF(A270="","",  HELPER!$B$94 &amp;  "." &amp; A270)</f>
        <v/>
      </c>
      <c r="AT270" t="str">
        <f t="shared" si="307"/>
        <v/>
      </c>
      <c r="AU270" t="str">
        <f t="shared" si="308"/>
        <v/>
      </c>
      <c r="AX270" t="str">
        <f>IF(COLUMNS!J221="","","LEFT JOIN "&amp; Options!$B$23 &amp; "." &amp;  COLUMNS!J221 &amp; " ON ")</f>
        <v/>
      </c>
      <c r="BA270" t="str">
        <f>IF(AZ270="","", "CAST(" &amp; AZ270 &amp; " AS varchar(" &amp; Options!$B$49 &amp; "))")</f>
        <v/>
      </c>
      <c r="BB270" t="str">
        <f t="shared" ca="1" si="310"/>
        <v/>
      </c>
      <c r="BC270" t="str">
        <f t="shared" si="318"/>
        <v/>
      </c>
      <c r="BF270" t="str">
        <f t="shared" si="311"/>
        <v/>
      </c>
      <c r="BH270" s="285" t="str">
        <f t="shared" ca="1" si="322"/>
        <v/>
      </c>
      <c r="BJ270" t="str">
        <f t="shared" si="312"/>
        <v/>
      </c>
      <c r="BM270" t="str">
        <f t="shared" si="319"/>
        <v/>
      </c>
      <c r="BN270" t="str">
        <f t="shared" si="320"/>
        <v/>
      </c>
      <c r="BO270" t="str">
        <f t="shared" ca="1" si="313"/>
        <v/>
      </c>
      <c r="BR270" t="str">
        <f t="shared" si="314"/>
        <v/>
      </c>
      <c r="BS270" t="str">
        <f t="shared" ca="1" si="315"/>
        <v/>
      </c>
      <c r="BT270" t="str">
        <f t="shared" si="321"/>
        <v/>
      </c>
      <c r="BU270" t="str">
        <f t="shared" si="316"/>
        <v/>
      </c>
      <c r="BV270">
        <f t="shared" si="317"/>
        <v>0</v>
      </c>
    </row>
    <row r="271" spans="6:74">
      <c r="F271" s="164">
        <f t="shared" ca="1" si="273"/>
        <v>0</v>
      </c>
      <c r="G271" s="164" t="str">
        <f t="array" aca="1" ref="G271" ca="1">IF(TRIM(INDIRECT("Columns!D2"))="","",TRIM(INDIRECT("Columns!D2")))</f>
        <v/>
      </c>
      <c r="S271" t="str">
        <f t="shared" si="299"/>
        <v/>
      </c>
      <c r="V271" t="str">
        <f t="shared" si="300"/>
        <v/>
      </c>
      <c r="Y271" t="str">
        <f t="shared" ca="1" si="301"/>
        <v/>
      </c>
      <c r="Z271" t="str">
        <f t="shared" ca="1" si="302"/>
        <v/>
      </c>
      <c r="AA271" t="str">
        <f>IF( A271="","",IF(OR(F271="1",H271="1",I271="1"),"","COALESCE (CAST("&amp;A271&amp;" as varchar(" &amp; Options!$B$49&amp; ")),'')"))</f>
        <v/>
      </c>
      <c r="AB271" t="str">
        <f>IF(C271="string",  IF( A271="","",IF(OR(F271="1",H271="1",I271="1"),"","COALESCE (CAST(lower("&amp;A271&amp;") as varchar(" &amp;Options!$B$49 &amp; ")),'')")),AA271)</f>
        <v/>
      </c>
      <c r="AE271" t="str">
        <f t="shared" si="303"/>
        <v/>
      </c>
      <c r="AF271" t="str">
        <f>IF(AE271&lt;&gt;"", HELPER!$B$93 &amp;  "." &amp; AE271,"")</f>
        <v/>
      </c>
      <c r="AG271" t="str">
        <f>IF(AE271&lt;&gt;"", HELPER!$B$94 &amp; "." &amp; AE271,"")</f>
        <v/>
      </c>
      <c r="AH271" t="str">
        <f t="shared" si="304"/>
        <v/>
      </c>
      <c r="AN271" t="str">
        <f t="shared" si="305"/>
        <v/>
      </c>
      <c r="AO271" t="str">
        <f>IF(A271&lt;&gt;"", IF(OR(F271="1",H271="1",I271="1"),""," "&amp; HELPER!$B$94 &amp; "." &amp; A271),"")</f>
        <v/>
      </c>
      <c r="AP271" t="str">
        <f t="shared" si="306"/>
        <v/>
      </c>
      <c r="AS271" t="str">
        <f>IF(A271="","",  HELPER!$B$94 &amp;  "." &amp; A271)</f>
        <v/>
      </c>
      <c r="AT271" t="str">
        <f t="shared" si="307"/>
        <v/>
      </c>
      <c r="AU271" t="str">
        <f t="shared" si="308"/>
        <v/>
      </c>
      <c r="AX271" t="str">
        <f>IF(COLUMNS!J222="","","LEFT JOIN "&amp; Options!$B$23 &amp; "." &amp;  COLUMNS!J222 &amp; " ON ")</f>
        <v/>
      </c>
      <c r="BA271" t="str">
        <f>IF(AZ271="","", "CAST(" &amp; AZ271 &amp; " AS varchar(" &amp; Options!$B$49 &amp; "))")</f>
        <v/>
      </c>
      <c r="BB271" t="str">
        <f t="shared" ca="1" si="310"/>
        <v/>
      </c>
      <c r="BC271" t="str">
        <f t="shared" si="318"/>
        <v/>
      </c>
      <c r="BF271" t="str">
        <f t="shared" si="311"/>
        <v/>
      </c>
      <c r="BH271" s="285" t="str">
        <f t="shared" ca="1" si="322"/>
        <v/>
      </c>
      <c r="BJ271" t="str">
        <f t="shared" si="312"/>
        <v/>
      </c>
      <c r="BM271" t="str">
        <f t="shared" si="319"/>
        <v/>
      </c>
      <c r="BN271" t="str">
        <f t="shared" si="320"/>
        <v/>
      </c>
      <c r="BO271" t="str">
        <f t="shared" ca="1" si="313"/>
        <v/>
      </c>
      <c r="BR271" t="str">
        <f t="shared" si="314"/>
        <v/>
      </c>
      <c r="BS271" t="str">
        <f t="shared" ca="1" si="315"/>
        <v/>
      </c>
      <c r="BT271" t="str">
        <f t="shared" si="321"/>
        <v/>
      </c>
      <c r="BU271" t="str">
        <f t="shared" si="316"/>
        <v/>
      </c>
      <c r="BV271">
        <f t="shared" si="317"/>
        <v>0</v>
      </c>
    </row>
    <row r="272" spans="6:74">
      <c r="F272" s="164">
        <f t="shared" ca="1" si="273"/>
        <v>0</v>
      </c>
      <c r="S272" t="str">
        <f t="shared" si="299"/>
        <v/>
      </c>
      <c r="V272" t="str">
        <f t="shared" si="300"/>
        <v/>
      </c>
      <c r="Y272" t="str">
        <f t="shared" ca="1" si="301"/>
        <v/>
      </c>
      <c r="Z272" t="str">
        <f t="shared" ca="1" si="302"/>
        <v/>
      </c>
      <c r="AA272" t="str">
        <f>IF( A272="","",IF(OR(F272="1",H272="1",I272="1"),"","COALESCE (CAST("&amp;A272&amp;" as varchar(" &amp; Options!$B$49&amp; ")),'')"))</f>
        <v/>
      </c>
      <c r="AB272" t="str">
        <f>IF(C272="string",  IF( A272="","",IF(OR(F272="1",H272="1",I272="1"),"","COALESCE (CAST(lower("&amp;A272&amp;") as varchar(" &amp;Options!$B$49 &amp; ")),'')")),AA272)</f>
        <v/>
      </c>
      <c r="AE272" t="str">
        <f t="shared" si="303"/>
        <v/>
      </c>
      <c r="AF272" t="str">
        <f>IF(AE272&lt;&gt;"", HELPER!$B$93 &amp;  "." &amp; AE272,"")</f>
        <v/>
      </c>
      <c r="AG272" t="str">
        <f>IF(AE272&lt;&gt;"", HELPER!$B$94 &amp; "." &amp; AE272,"")</f>
        <v/>
      </c>
      <c r="AH272" t="str">
        <f t="shared" si="304"/>
        <v/>
      </c>
      <c r="AN272" t="str">
        <f t="shared" si="305"/>
        <v/>
      </c>
      <c r="AO272" t="str">
        <f>IF(A272&lt;&gt;"", IF(OR(F272="1",H272="1",I272="1"),""," "&amp; HELPER!$B$94 &amp; "." &amp; A272),"")</f>
        <v/>
      </c>
      <c r="AP272" t="str">
        <f t="shared" si="306"/>
        <v/>
      </c>
      <c r="AS272" t="str">
        <f>IF(A272="","",  HELPER!$B$94 &amp;  "." &amp; A272)</f>
        <v/>
      </c>
      <c r="AT272" t="str">
        <f t="shared" si="307"/>
        <v/>
      </c>
      <c r="AU272" t="str">
        <f t="shared" si="308"/>
        <v/>
      </c>
      <c r="AX272" t="str">
        <f>IF(COLUMNS!J223="","","LEFT JOIN "&amp; Options!$B$23 &amp; "." &amp;  COLUMNS!J223 &amp; " ON ")</f>
        <v/>
      </c>
      <c r="BA272" t="str">
        <f>IF(AZ272="","", "CAST(" &amp; AZ272 &amp; " AS varchar(" &amp; Options!$B$49 &amp; "))")</f>
        <v/>
      </c>
      <c r="BB272" t="str">
        <f t="shared" ca="1" si="310"/>
        <v/>
      </c>
      <c r="BC272" t="str">
        <f t="shared" si="318"/>
        <v/>
      </c>
      <c r="BF272" t="str">
        <f t="shared" si="311"/>
        <v/>
      </c>
      <c r="BH272" s="285" t="str">
        <f t="shared" si="322"/>
        <v/>
      </c>
      <c r="BJ272" t="str">
        <f t="shared" si="312"/>
        <v/>
      </c>
      <c r="BM272" t="str">
        <f t="shared" si="319"/>
        <v/>
      </c>
      <c r="BN272" t="str">
        <f t="shared" si="320"/>
        <v/>
      </c>
      <c r="BO272" t="str">
        <f t="shared" si="313"/>
        <v/>
      </c>
      <c r="BR272" t="str">
        <f t="shared" si="314"/>
        <v/>
      </c>
      <c r="BS272" t="str">
        <f t="shared" ca="1" si="315"/>
        <v/>
      </c>
      <c r="BT272" t="str">
        <f t="shared" si="321"/>
        <v/>
      </c>
      <c r="BU272" t="str">
        <f t="shared" si="316"/>
        <v/>
      </c>
      <c r="BV272">
        <f t="shared" si="317"/>
        <v>0</v>
      </c>
    </row>
    <row r="273" spans="6:74">
      <c r="F273" s="164">
        <f t="shared" ca="1" si="273"/>
        <v>0</v>
      </c>
      <c r="S273" t="str">
        <f t="shared" si="299"/>
        <v/>
      </c>
      <c r="V273" t="str">
        <f t="shared" si="300"/>
        <v/>
      </c>
      <c r="Y273" t="str">
        <f t="shared" ca="1" si="301"/>
        <v/>
      </c>
      <c r="Z273" t="str">
        <f t="shared" ca="1" si="302"/>
        <v/>
      </c>
      <c r="AA273" t="str">
        <f>IF( A273="","",IF(OR(F273="1",H273="1",I273="1"),"","COALESCE (CAST("&amp;A273&amp;" as varchar(" &amp; Options!$B$49&amp; ")),'')"))</f>
        <v/>
      </c>
      <c r="AB273" t="str">
        <f>IF(C273="string",  IF( A273="","",IF(OR(F273="1",H273="1",I273="1"),"","COALESCE (CAST(lower("&amp;A273&amp;") as varchar(" &amp;Options!$B$49 &amp; ")),'')")),AA273)</f>
        <v/>
      </c>
      <c r="AE273" t="str">
        <f t="shared" si="303"/>
        <v/>
      </c>
      <c r="AF273" t="str">
        <f>IF(AE273&lt;&gt;"", HELPER!$B$93 &amp;  "." &amp; AE273,"")</f>
        <v/>
      </c>
      <c r="AG273" t="str">
        <f>IF(AE273&lt;&gt;"", HELPER!$B$94 &amp; "." &amp; AE273,"")</f>
        <v/>
      </c>
      <c r="AH273" t="str">
        <f t="shared" si="304"/>
        <v/>
      </c>
      <c r="AN273" t="str">
        <f t="shared" si="305"/>
        <v/>
      </c>
      <c r="AO273" t="str">
        <f>IF(A273&lt;&gt;"", IF(OR(F273="1",H273="1",I273="1"),""," "&amp; HELPER!$B$94 &amp; "." &amp; A273),"")</f>
        <v/>
      </c>
      <c r="AP273" t="str">
        <f t="shared" si="306"/>
        <v/>
      </c>
      <c r="AS273" t="str">
        <f>IF(A273="","",  HELPER!$B$94 &amp;  "." &amp; A273)</f>
        <v/>
      </c>
      <c r="AT273" t="str">
        <f t="shared" si="307"/>
        <v/>
      </c>
      <c r="AU273" t="str">
        <f t="shared" si="308"/>
        <v/>
      </c>
      <c r="AX273" t="str">
        <f>IF(COLUMNS!J224="","","LEFT JOIN "&amp; Options!$B$23 &amp; "." &amp;  COLUMNS!J224 &amp; " ON ")</f>
        <v/>
      </c>
      <c r="BA273" t="str">
        <f>IF(AZ273="","", "CAST(" &amp; AZ273 &amp; " AS varchar(" &amp; Options!$B$49 &amp; "))")</f>
        <v/>
      </c>
      <c r="BB273" t="str">
        <f t="shared" ca="1" si="310"/>
        <v/>
      </c>
      <c r="BC273" t="str">
        <f t="shared" si="318"/>
        <v/>
      </c>
      <c r="BF273" t="str">
        <f t="shared" si="311"/>
        <v/>
      </c>
      <c r="BH273" s="285" t="str">
        <f t="shared" si="322"/>
        <v/>
      </c>
      <c r="BJ273" t="str">
        <f t="shared" si="312"/>
        <v/>
      </c>
      <c r="BM273" t="str">
        <f t="shared" si="319"/>
        <v/>
      </c>
      <c r="BN273" t="str">
        <f t="shared" si="320"/>
        <v/>
      </c>
      <c r="BO273" t="str">
        <f t="shared" si="313"/>
        <v/>
      </c>
      <c r="BR273" t="str">
        <f t="shared" si="314"/>
        <v/>
      </c>
      <c r="BS273" t="str">
        <f t="shared" ca="1" si="315"/>
        <v/>
      </c>
      <c r="BT273" t="str">
        <f t="shared" si="321"/>
        <v/>
      </c>
      <c r="BU273" t="str">
        <f t="shared" si="316"/>
        <v/>
      </c>
      <c r="BV273">
        <f t="shared" si="317"/>
        <v>0</v>
      </c>
    </row>
    <row r="274" spans="6:74">
      <c r="F274" s="164">
        <f t="shared" ca="1" si="273"/>
        <v>0</v>
      </c>
      <c r="S274" t="str">
        <f t="shared" si="299"/>
        <v/>
      </c>
      <c r="V274" t="str">
        <f t="shared" si="300"/>
        <v/>
      </c>
      <c r="Y274" t="str">
        <f t="shared" ca="1" si="301"/>
        <v/>
      </c>
      <c r="Z274" t="str">
        <f t="shared" ca="1" si="302"/>
        <v/>
      </c>
      <c r="AA274" t="str">
        <f>IF( A274="","",IF(OR(F274="1",H274="1",I274="1"),"","COALESCE (CAST("&amp;A274&amp;" as varchar(" &amp; Options!$B$49&amp; ")),'')"))</f>
        <v/>
      </c>
      <c r="AB274" t="str">
        <f>IF(C274="string",  IF( A274="","",IF(OR(F274="1",H274="1",I274="1"),"","COALESCE (CAST(lower("&amp;A274&amp;") as varchar(" &amp;Options!$B$49 &amp; ")),'')")),AA274)</f>
        <v/>
      </c>
      <c r="AE274" t="str">
        <f t="shared" si="303"/>
        <v/>
      </c>
      <c r="AF274" t="str">
        <f>IF(AE274&lt;&gt;"", HELPER!$B$93 &amp;  "." &amp; AE274,"")</f>
        <v/>
      </c>
      <c r="AG274" t="str">
        <f>IF(AE274&lt;&gt;"", HELPER!$B$94 &amp; "." &amp; AE274,"")</f>
        <v/>
      </c>
      <c r="AH274" t="str">
        <f t="shared" si="304"/>
        <v/>
      </c>
      <c r="AN274" t="str">
        <f t="shared" si="305"/>
        <v/>
      </c>
      <c r="AO274" t="str">
        <f>IF(A274&lt;&gt;"", IF(OR(F274="1",H274="1",I274="1"),""," "&amp; HELPER!$B$94 &amp; "." &amp; A274),"")</f>
        <v/>
      </c>
      <c r="AP274" t="str">
        <f t="shared" si="306"/>
        <v/>
      </c>
      <c r="AS274" t="str">
        <f>IF(A274="","",  HELPER!$B$94 &amp;  "." &amp; A274)</f>
        <v/>
      </c>
      <c r="AT274" t="str">
        <f t="shared" si="307"/>
        <v/>
      </c>
      <c r="AU274" t="str">
        <f t="shared" si="308"/>
        <v/>
      </c>
      <c r="AX274" t="str">
        <f>IF(COLUMNS!J225="","","LEFT JOIN "&amp; Options!$B$23 &amp; "." &amp;  COLUMNS!J225 &amp; " ON ")</f>
        <v/>
      </c>
      <c r="BA274" t="str">
        <f>IF(AZ274="","", "CAST(" &amp; AZ274 &amp; " AS varchar(" &amp; Options!$B$49 &amp; "))")</f>
        <v/>
      </c>
      <c r="BB274" t="str">
        <f t="shared" ca="1" si="310"/>
        <v/>
      </c>
      <c r="BC274" t="str">
        <f t="shared" si="318"/>
        <v/>
      </c>
      <c r="BF274" t="str">
        <f t="shared" si="311"/>
        <v/>
      </c>
      <c r="BH274" s="285" t="str">
        <f t="shared" si="322"/>
        <v/>
      </c>
      <c r="BJ274" t="str">
        <f t="shared" si="312"/>
        <v/>
      </c>
      <c r="BM274" t="str">
        <f t="shared" si="319"/>
        <v/>
      </c>
      <c r="BN274" t="str">
        <f t="shared" si="320"/>
        <v/>
      </c>
      <c r="BO274" t="str">
        <f t="shared" si="313"/>
        <v/>
      </c>
      <c r="BR274" t="str">
        <f t="shared" si="314"/>
        <v/>
      </c>
      <c r="BS274" t="str">
        <f t="shared" ca="1" si="315"/>
        <v/>
      </c>
      <c r="BT274" t="str">
        <f t="shared" si="321"/>
        <v/>
      </c>
      <c r="BU274" t="str">
        <f t="shared" si="316"/>
        <v/>
      </c>
      <c r="BV274">
        <f t="shared" si="317"/>
        <v>0</v>
      </c>
    </row>
    <row r="275" spans="6:74">
      <c r="F275" s="164">
        <f t="shared" ca="1" si="273"/>
        <v>0</v>
      </c>
      <c r="S275" t="str">
        <f t="shared" si="299"/>
        <v/>
      </c>
      <c r="V275" t="str">
        <f t="shared" si="300"/>
        <v/>
      </c>
      <c r="Y275" t="str">
        <f t="shared" ca="1" si="301"/>
        <v/>
      </c>
      <c r="Z275" t="str">
        <f t="shared" ca="1" si="302"/>
        <v/>
      </c>
      <c r="AA275" t="str">
        <f>IF( A275="","",IF(OR(F275="1",H275="1",I275="1"),"","COALESCE (CAST("&amp;A275&amp;" as varchar(" &amp; Options!$B$49&amp; ")),'')"))</f>
        <v/>
      </c>
      <c r="AB275" t="str">
        <f>IF(C275="string",  IF( A275="","",IF(OR(F275="1",H275="1",I275="1"),"","COALESCE (CAST(lower("&amp;A275&amp;") as varchar(" &amp;Options!$B$49 &amp; ")),'')")),AA275)</f>
        <v/>
      </c>
      <c r="AE275" t="str">
        <f t="shared" si="303"/>
        <v/>
      </c>
      <c r="AF275" t="str">
        <f>IF(AE275&lt;&gt;"", HELPER!$B$93 &amp;  "." &amp; AE275,"")</f>
        <v/>
      </c>
      <c r="AG275" t="str">
        <f>IF(AE275&lt;&gt;"", HELPER!$B$94 &amp; "." &amp; AE275,"")</f>
        <v/>
      </c>
      <c r="AH275" t="str">
        <f t="shared" si="304"/>
        <v/>
      </c>
      <c r="AN275" t="str">
        <f t="shared" si="305"/>
        <v/>
      </c>
      <c r="AO275" t="str">
        <f>IF(A275&lt;&gt;"", IF(OR(F275="1",H275="1",I275="1"),""," "&amp; HELPER!$B$94 &amp; "." &amp; A275),"")</f>
        <v/>
      </c>
      <c r="AP275" t="str">
        <f t="shared" si="306"/>
        <v/>
      </c>
      <c r="AS275" t="str">
        <f>IF(A275="","",  HELPER!$B$94 &amp;  "." &amp; A275)</f>
        <v/>
      </c>
      <c r="AT275" t="str">
        <f t="shared" si="307"/>
        <v/>
      </c>
      <c r="AU275" t="str">
        <f t="shared" si="308"/>
        <v/>
      </c>
      <c r="AX275" t="str">
        <f>IF(COLUMNS!J226="","","LEFT JOIN "&amp; Options!$B$23 &amp; "." &amp;  COLUMNS!J226 &amp; " ON ")</f>
        <v/>
      </c>
      <c r="BA275" t="str">
        <f>IF(AZ275="","", "CAST(" &amp; AZ275 &amp; " AS varchar(" &amp; Options!$B$49 &amp; "))")</f>
        <v/>
      </c>
      <c r="BB275" t="str">
        <f t="shared" ca="1" si="310"/>
        <v/>
      </c>
      <c r="BC275" t="str">
        <f t="shared" si="318"/>
        <v/>
      </c>
      <c r="BF275" t="str">
        <f t="shared" si="311"/>
        <v/>
      </c>
      <c r="BH275" s="285" t="str">
        <f t="shared" si="322"/>
        <v/>
      </c>
      <c r="BJ275" t="str">
        <f t="shared" si="312"/>
        <v/>
      </c>
      <c r="BM275" t="str">
        <f t="shared" si="319"/>
        <v/>
      </c>
      <c r="BN275" t="str">
        <f t="shared" si="320"/>
        <v/>
      </c>
      <c r="BO275" t="str">
        <f t="shared" si="313"/>
        <v/>
      </c>
      <c r="BR275" t="str">
        <f t="shared" si="314"/>
        <v/>
      </c>
      <c r="BS275" t="str">
        <f t="shared" ca="1" si="315"/>
        <v/>
      </c>
      <c r="BT275" t="str">
        <f t="shared" si="321"/>
        <v/>
      </c>
      <c r="BU275" t="str">
        <f t="shared" si="316"/>
        <v/>
      </c>
      <c r="BV275">
        <f t="shared" si="317"/>
        <v>0</v>
      </c>
    </row>
    <row r="276" spans="6:74">
      <c r="F276" s="164">
        <f t="shared" ca="1" si="273"/>
        <v>0</v>
      </c>
    </row>
    <row r="277" spans="6:74">
      <c r="F277" s="164">
        <f t="shared" ca="1" si="273"/>
        <v>0</v>
      </c>
    </row>
    <row r="278" spans="6:74">
      <c r="F278" s="164">
        <f t="shared" ca="1" si="273"/>
        <v>0</v>
      </c>
    </row>
    <row r="279" spans="6:74">
      <c r="F279" s="164">
        <f t="shared" ca="1" si="273"/>
        <v>0</v>
      </c>
    </row>
    <row r="280" spans="6:74">
      <c r="F280" s="164">
        <f t="shared" ca="1" si="273"/>
        <v>0</v>
      </c>
    </row>
    <row r="281" spans="6:74">
      <c r="F281" s="164">
        <f t="shared" ca="1" si="273"/>
        <v>0</v>
      </c>
    </row>
    <row r="282" spans="6:74">
      <c r="F282" s="164">
        <f t="shared" ref="F282:F345" ca="1" si="323">IF(F131="1",VALUE(F131),0)</f>
        <v>0</v>
      </c>
    </row>
    <row r="283" spans="6:74">
      <c r="F283" s="164">
        <f t="shared" ca="1" si="323"/>
        <v>0</v>
      </c>
    </row>
    <row r="284" spans="6:74">
      <c r="F284" s="164">
        <f t="shared" ca="1" si="323"/>
        <v>0</v>
      </c>
    </row>
    <row r="285" spans="6:74">
      <c r="F285" s="164">
        <f t="shared" ca="1" si="323"/>
        <v>0</v>
      </c>
    </row>
    <row r="286" spans="6:74">
      <c r="F286" s="164">
        <f t="shared" ca="1" si="323"/>
        <v>0</v>
      </c>
    </row>
    <row r="287" spans="6:74">
      <c r="F287" s="164">
        <f t="shared" ca="1" si="323"/>
        <v>0</v>
      </c>
    </row>
    <row r="288" spans="6:74">
      <c r="F288" s="164">
        <f t="shared" ca="1" si="323"/>
        <v>0</v>
      </c>
    </row>
    <row r="289" spans="6:6">
      <c r="F289" s="164">
        <f t="shared" ca="1" si="323"/>
        <v>0</v>
      </c>
    </row>
    <row r="290" spans="6:6">
      <c r="F290" s="164">
        <f t="shared" ca="1" si="323"/>
        <v>0</v>
      </c>
    </row>
    <row r="291" spans="6:6">
      <c r="F291" s="164">
        <f t="shared" ca="1" si="323"/>
        <v>0</v>
      </c>
    </row>
    <row r="292" spans="6:6">
      <c r="F292" s="164">
        <f t="shared" ca="1" si="323"/>
        <v>0</v>
      </c>
    </row>
    <row r="293" spans="6:6">
      <c r="F293" s="164">
        <f t="shared" ca="1" si="323"/>
        <v>0</v>
      </c>
    </row>
    <row r="294" spans="6:6">
      <c r="F294" s="164">
        <f t="shared" ca="1" si="323"/>
        <v>0</v>
      </c>
    </row>
    <row r="295" spans="6:6">
      <c r="F295" s="164">
        <f t="shared" ca="1" si="323"/>
        <v>0</v>
      </c>
    </row>
    <row r="296" spans="6:6">
      <c r="F296" s="164">
        <f t="shared" ca="1" si="323"/>
        <v>0</v>
      </c>
    </row>
    <row r="297" spans="6:6">
      <c r="F297" s="164">
        <f t="shared" ca="1" si="323"/>
        <v>0</v>
      </c>
    </row>
    <row r="298" spans="6:6">
      <c r="F298" s="164">
        <f t="shared" ca="1" si="323"/>
        <v>0</v>
      </c>
    </row>
    <row r="299" spans="6:6">
      <c r="F299" s="164">
        <f t="shared" ca="1" si="323"/>
        <v>0</v>
      </c>
    </row>
    <row r="300" spans="6:6">
      <c r="F300" s="164">
        <f t="shared" ca="1" si="323"/>
        <v>0</v>
      </c>
    </row>
    <row r="301" spans="6:6">
      <c r="F301" s="164">
        <f t="shared" ca="1" si="323"/>
        <v>0</v>
      </c>
    </row>
    <row r="302" spans="6:6">
      <c r="F302" s="164">
        <f t="shared" ca="1" si="323"/>
        <v>0</v>
      </c>
    </row>
    <row r="303" spans="6:6">
      <c r="F303" s="164">
        <f t="shared" ca="1" si="323"/>
        <v>0</v>
      </c>
    </row>
    <row r="304" spans="6:6">
      <c r="F304" s="164">
        <f t="shared" ca="1" si="323"/>
        <v>0</v>
      </c>
    </row>
    <row r="305" spans="6:6">
      <c r="F305" s="164">
        <f t="shared" ca="1" si="323"/>
        <v>0</v>
      </c>
    </row>
    <row r="306" spans="6:6">
      <c r="F306" s="164">
        <f t="shared" ca="1" si="323"/>
        <v>0</v>
      </c>
    </row>
    <row r="307" spans="6:6">
      <c r="F307" s="164">
        <f t="shared" ca="1" si="323"/>
        <v>0</v>
      </c>
    </row>
    <row r="308" spans="6:6">
      <c r="F308" s="164">
        <f t="shared" ca="1" si="323"/>
        <v>0</v>
      </c>
    </row>
    <row r="309" spans="6:6">
      <c r="F309" s="164">
        <f t="shared" ca="1" si="323"/>
        <v>0</v>
      </c>
    </row>
    <row r="310" spans="6:6">
      <c r="F310" s="164">
        <f t="shared" ca="1" si="323"/>
        <v>0</v>
      </c>
    </row>
    <row r="311" spans="6:6">
      <c r="F311" s="164">
        <f t="shared" ca="1" si="323"/>
        <v>0</v>
      </c>
    </row>
    <row r="312" spans="6:6">
      <c r="F312" s="164">
        <f t="shared" ca="1" si="323"/>
        <v>0</v>
      </c>
    </row>
    <row r="313" spans="6:6">
      <c r="F313" s="164">
        <f t="shared" ca="1" si="323"/>
        <v>0</v>
      </c>
    </row>
    <row r="314" spans="6:6">
      <c r="F314" s="164">
        <f t="shared" ca="1" si="323"/>
        <v>0</v>
      </c>
    </row>
    <row r="315" spans="6:6">
      <c r="F315" s="164">
        <f t="shared" ca="1" si="323"/>
        <v>0</v>
      </c>
    </row>
    <row r="316" spans="6:6">
      <c r="F316" s="164">
        <f t="shared" ca="1" si="323"/>
        <v>0</v>
      </c>
    </row>
    <row r="317" spans="6:6">
      <c r="F317" s="164">
        <f t="shared" ca="1" si="323"/>
        <v>0</v>
      </c>
    </row>
    <row r="318" spans="6:6">
      <c r="F318" s="164">
        <f t="shared" ca="1" si="323"/>
        <v>0</v>
      </c>
    </row>
    <row r="319" spans="6:6">
      <c r="F319" s="164">
        <f t="shared" ca="1" si="323"/>
        <v>0</v>
      </c>
    </row>
    <row r="320" spans="6:6">
      <c r="F320" s="164">
        <f t="shared" ca="1" si="323"/>
        <v>0</v>
      </c>
    </row>
    <row r="321" spans="6:6">
      <c r="F321" s="164">
        <f t="shared" ca="1" si="323"/>
        <v>0</v>
      </c>
    </row>
    <row r="322" spans="6:6">
      <c r="F322" s="164">
        <f t="shared" ca="1" si="323"/>
        <v>0</v>
      </c>
    </row>
    <row r="323" spans="6:6">
      <c r="F323" s="164">
        <f t="shared" ca="1" si="323"/>
        <v>0</v>
      </c>
    </row>
    <row r="324" spans="6:6">
      <c r="F324" s="164">
        <f t="shared" ca="1" si="323"/>
        <v>0</v>
      </c>
    </row>
    <row r="325" spans="6:6">
      <c r="F325" s="164">
        <f t="shared" ca="1" si="323"/>
        <v>0</v>
      </c>
    </row>
    <row r="326" spans="6:6">
      <c r="F326" s="164">
        <f t="shared" ca="1" si="323"/>
        <v>0</v>
      </c>
    </row>
    <row r="327" spans="6:6">
      <c r="F327" s="164">
        <f t="shared" ca="1" si="323"/>
        <v>0</v>
      </c>
    </row>
    <row r="328" spans="6:6">
      <c r="F328" s="164">
        <f t="shared" ca="1" si="323"/>
        <v>0</v>
      </c>
    </row>
    <row r="329" spans="6:6">
      <c r="F329" s="164">
        <f t="shared" ca="1" si="323"/>
        <v>0</v>
      </c>
    </row>
    <row r="330" spans="6:6">
      <c r="F330" s="164">
        <f t="shared" ca="1" si="323"/>
        <v>0</v>
      </c>
    </row>
    <row r="331" spans="6:6">
      <c r="F331" s="164">
        <f t="shared" ca="1" si="323"/>
        <v>0</v>
      </c>
    </row>
    <row r="332" spans="6:6">
      <c r="F332" s="164">
        <f t="shared" ca="1" si="323"/>
        <v>0</v>
      </c>
    </row>
    <row r="333" spans="6:6">
      <c r="F333" s="164">
        <f t="shared" ca="1" si="323"/>
        <v>0</v>
      </c>
    </row>
    <row r="334" spans="6:6">
      <c r="F334" s="164">
        <f t="shared" ca="1" si="323"/>
        <v>0</v>
      </c>
    </row>
    <row r="335" spans="6:6">
      <c r="F335" s="164">
        <f t="shared" ca="1" si="323"/>
        <v>0</v>
      </c>
    </row>
    <row r="336" spans="6:6">
      <c r="F336" s="164">
        <f t="shared" ca="1" si="323"/>
        <v>0</v>
      </c>
    </row>
    <row r="337" spans="6:6">
      <c r="F337" s="164">
        <f t="shared" ca="1" si="323"/>
        <v>0</v>
      </c>
    </row>
    <row r="338" spans="6:6">
      <c r="F338" s="164">
        <f t="shared" ca="1" si="323"/>
        <v>0</v>
      </c>
    </row>
    <row r="339" spans="6:6">
      <c r="F339" s="164">
        <f t="shared" ca="1" si="323"/>
        <v>0</v>
      </c>
    </row>
    <row r="340" spans="6:6">
      <c r="F340" s="164">
        <f t="shared" ca="1" si="323"/>
        <v>0</v>
      </c>
    </row>
    <row r="341" spans="6:6">
      <c r="F341" s="164">
        <f t="shared" ca="1" si="323"/>
        <v>0</v>
      </c>
    </row>
    <row r="342" spans="6:6">
      <c r="F342" s="164">
        <f t="shared" ca="1" si="323"/>
        <v>0</v>
      </c>
    </row>
    <row r="343" spans="6:6">
      <c r="F343" s="164">
        <f t="shared" ca="1" si="323"/>
        <v>0</v>
      </c>
    </row>
    <row r="344" spans="6:6">
      <c r="F344" s="164">
        <f t="shared" ca="1" si="323"/>
        <v>0</v>
      </c>
    </row>
    <row r="345" spans="6:6">
      <c r="F345" s="164">
        <f t="shared" ca="1" si="323"/>
        <v>0</v>
      </c>
    </row>
    <row r="346" spans="6:6">
      <c r="F346" s="164">
        <f t="shared" ref="F346:F409" ca="1" si="324">IF(F195="1",VALUE(F195),0)</f>
        <v>0</v>
      </c>
    </row>
    <row r="347" spans="6:6">
      <c r="F347" s="164">
        <f t="shared" ca="1" si="324"/>
        <v>0</v>
      </c>
    </row>
    <row r="348" spans="6:6">
      <c r="F348" s="164">
        <f t="shared" ca="1" si="324"/>
        <v>0</v>
      </c>
    </row>
    <row r="349" spans="6:6">
      <c r="F349" s="164">
        <f t="shared" ca="1" si="324"/>
        <v>0</v>
      </c>
    </row>
    <row r="350" spans="6:6">
      <c r="F350" s="164">
        <f t="shared" ca="1" si="324"/>
        <v>0</v>
      </c>
    </row>
    <row r="351" spans="6:6">
      <c r="F351" s="164">
        <f t="shared" ca="1" si="324"/>
        <v>0</v>
      </c>
    </row>
    <row r="352" spans="6:6">
      <c r="F352" s="164">
        <f t="shared" ca="1" si="324"/>
        <v>0</v>
      </c>
    </row>
    <row r="353" spans="6:6">
      <c r="F353" s="164">
        <f t="shared" ca="1" si="324"/>
        <v>0</v>
      </c>
    </row>
    <row r="354" spans="6:6">
      <c r="F354" s="164">
        <f t="shared" ca="1" si="324"/>
        <v>0</v>
      </c>
    </row>
    <row r="355" spans="6:6">
      <c r="F355" s="164">
        <f t="shared" ca="1" si="324"/>
        <v>0</v>
      </c>
    </row>
    <row r="356" spans="6:6">
      <c r="F356" s="164">
        <f t="shared" ca="1" si="324"/>
        <v>0</v>
      </c>
    </row>
    <row r="357" spans="6:6">
      <c r="F357" s="164">
        <f t="shared" ca="1" si="324"/>
        <v>0</v>
      </c>
    </row>
    <row r="358" spans="6:6">
      <c r="F358" s="164">
        <f t="shared" ca="1" si="324"/>
        <v>0</v>
      </c>
    </row>
    <row r="359" spans="6:6">
      <c r="F359" s="164">
        <f t="shared" ca="1" si="324"/>
        <v>0</v>
      </c>
    </row>
    <row r="360" spans="6:6">
      <c r="F360" s="164">
        <f t="shared" ca="1" si="324"/>
        <v>0</v>
      </c>
    </row>
    <row r="361" spans="6:6">
      <c r="F361" s="164">
        <f t="shared" ca="1" si="324"/>
        <v>0</v>
      </c>
    </row>
    <row r="362" spans="6:6">
      <c r="F362" s="164">
        <f t="shared" ca="1" si="324"/>
        <v>0</v>
      </c>
    </row>
    <row r="363" spans="6:6">
      <c r="F363" s="164">
        <f t="shared" ca="1" si="324"/>
        <v>0</v>
      </c>
    </row>
    <row r="364" spans="6:6">
      <c r="F364" s="164">
        <f t="shared" ca="1" si="324"/>
        <v>0</v>
      </c>
    </row>
    <row r="365" spans="6:6">
      <c r="F365" s="164">
        <f t="shared" ca="1" si="324"/>
        <v>0</v>
      </c>
    </row>
    <row r="366" spans="6:6">
      <c r="F366" s="164">
        <f t="shared" ca="1" si="324"/>
        <v>0</v>
      </c>
    </row>
    <row r="367" spans="6:6">
      <c r="F367" s="164">
        <f t="shared" ca="1" si="324"/>
        <v>0</v>
      </c>
    </row>
    <row r="368" spans="6:6">
      <c r="F368" s="164">
        <f t="shared" ca="1" si="324"/>
        <v>0</v>
      </c>
    </row>
    <row r="369" spans="6:6">
      <c r="F369" s="164">
        <f t="shared" ca="1" si="324"/>
        <v>0</v>
      </c>
    </row>
    <row r="370" spans="6:6">
      <c r="F370" s="164">
        <f t="shared" ca="1" si="324"/>
        <v>0</v>
      </c>
    </row>
    <row r="371" spans="6:6">
      <c r="F371" s="164">
        <f t="shared" ca="1" si="324"/>
        <v>0</v>
      </c>
    </row>
    <row r="372" spans="6:6">
      <c r="F372" s="164">
        <f t="shared" ca="1" si="324"/>
        <v>0</v>
      </c>
    </row>
    <row r="373" spans="6:6">
      <c r="F373" s="164">
        <f t="shared" ca="1" si="324"/>
        <v>0</v>
      </c>
    </row>
    <row r="374" spans="6:6">
      <c r="F374" s="164">
        <f t="shared" ca="1" si="324"/>
        <v>0</v>
      </c>
    </row>
    <row r="375" spans="6:6">
      <c r="F375" s="164">
        <f t="shared" ca="1" si="324"/>
        <v>0</v>
      </c>
    </row>
    <row r="376" spans="6:6">
      <c r="F376" s="164">
        <f t="shared" ca="1" si="324"/>
        <v>0</v>
      </c>
    </row>
    <row r="377" spans="6:6">
      <c r="F377" s="164">
        <f t="shared" ca="1" si="324"/>
        <v>0</v>
      </c>
    </row>
    <row r="378" spans="6:6">
      <c r="F378" s="164">
        <f t="shared" ca="1" si="324"/>
        <v>0</v>
      </c>
    </row>
    <row r="379" spans="6:6">
      <c r="F379" s="164">
        <f t="shared" ca="1" si="324"/>
        <v>0</v>
      </c>
    </row>
    <row r="380" spans="6:6">
      <c r="F380" s="164">
        <f t="shared" ca="1" si="324"/>
        <v>0</v>
      </c>
    </row>
    <row r="381" spans="6:6">
      <c r="F381" s="164">
        <f t="shared" ca="1" si="324"/>
        <v>0</v>
      </c>
    </row>
    <row r="382" spans="6:6">
      <c r="F382" s="164">
        <f t="shared" ca="1" si="324"/>
        <v>0</v>
      </c>
    </row>
    <row r="383" spans="6:6">
      <c r="F383" s="164">
        <f t="shared" ca="1" si="324"/>
        <v>0</v>
      </c>
    </row>
    <row r="384" spans="6:6">
      <c r="F384" s="164">
        <f t="shared" ca="1" si="324"/>
        <v>0</v>
      </c>
    </row>
    <row r="385" spans="6:6">
      <c r="F385" s="164">
        <f t="shared" ca="1" si="324"/>
        <v>0</v>
      </c>
    </row>
    <row r="386" spans="6:6">
      <c r="F386" s="164">
        <f t="shared" ca="1" si="324"/>
        <v>0</v>
      </c>
    </row>
    <row r="387" spans="6:6">
      <c r="F387" s="164">
        <f t="shared" ca="1" si="324"/>
        <v>0</v>
      </c>
    </row>
    <row r="388" spans="6:6">
      <c r="F388" s="164">
        <f t="shared" ca="1" si="324"/>
        <v>0</v>
      </c>
    </row>
    <row r="389" spans="6:6">
      <c r="F389" s="164">
        <f t="shared" ca="1" si="324"/>
        <v>0</v>
      </c>
    </row>
    <row r="390" spans="6:6">
      <c r="F390" s="164">
        <f t="shared" ca="1" si="324"/>
        <v>0</v>
      </c>
    </row>
    <row r="391" spans="6:6">
      <c r="F391" s="164">
        <f t="shared" ca="1" si="324"/>
        <v>0</v>
      </c>
    </row>
    <row r="392" spans="6:6">
      <c r="F392" s="164">
        <f t="shared" ca="1" si="324"/>
        <v>0</v>
      </c>
    </row>
    <row r="393" spans="6:6">
      <c r="F393" s="164">
        <f t="shared" ca="1" si="324"/>
        <v>0</v>
      </c>
    </row>
    <row r="394" spans="6:6">
      <c r="F394" s="164">
        <f t="shared" ca="1" si="324"/>
        <v>0</v>
      </c>
    </row>
    <row r="395" spans="6:6">
      <c r="F395" s="164">
        <f t="shared" ca="1" si="324"/>
        <v>0</v>
      </c>
    </row>
    <row r="396" spans="6:6">
      <c r="F396" s="164">
        <f t="shared" ca="1" si="324"/>
        <v>0</v>
      </c>
    </row>
    <row r="397" spans="6:6">
      <c r="F397" s="164">
        <f t="shared" ca="1" si="324"/>
        <v>0</v>
      </c>
    </row>
    <row r="398" spans="6:6">
      <c r="F398" s="164">
        <f t="shared" ca="1" si="324"/>
        <v>0</v>
      </c>
    </row>
    <row r="399" spans="6:6">
      <c r="F399" s="164">
        <f t="shared" ca="1" si="324"/>
        <v>0</v>
      </c>
    </row>
    <row r="400" spans="6:6">
      <c r="F400" s="164">
        <f t="shared" ca="1" si="324"/>
        <v>0</v>
      </c>
    </row>
    <row r="401" spans="6:6">
      <c r="F401" s="164">
        <f t="shared" ca="1" si="324"/>
        <v>0</v>
      </c>
    </row>
    <row r="402" spans="6:6">
      <c r="F402" s="164">
        <f t="shared" ca="1" si="324"/>
        <v>0</v>
      </c>
    </row>
    <row r="403" spans="6:6">
      <c r="F403" s="164">
        <f t="shared" ca="1" si="324"/>
        <v>0</v>
      </c>
    </row>
    <row r="404" spans="6:6">
      <c r="F404" s="164">
        <f t="shared" ca="1" si="324"/>
        <v>0</v>
      </c>
    </row>
    <row r="405" spans="6:6">
      <c r="F405" s="164">
        <f t="shared" ca="1" si="324"/>
        <v>0</v>
      </c>
    </row>
    <row r="406" spans="6:6">
      <c r="F406" s="164">
        <f t="shared" ca="1" si="324"/>
        <v>0</v>
      </c>
    </row>
    <row r="407" spans="6:6">
      <c r="F407" s="164">
        <f t="shared" ca="1" si="324"/>
        <v>0</v>
      </c>
    </row>
    <row r="408" spans="6:6">
      <c r="F408" s="164">
        <f t="shared" ca="1" si="324"/>
        <v>0</v>
      </c>
    </row>
    <row r="409" spans="6:6">
      <c r="F409" s="164">
        <f t="shared" ca="1" si="324"/>
        <v>0</v>
      </c>
    </row>
    <row r="410" spans="6:6">
      <c r="F410" s="164">
        <f t="shared" ref="F410:F426" ca="1" si="325">IF(F259="1",VALUE(F259),0)</f>
        <v>0</v>
      </c>
    </row>
    <row r="411" spans="6:6">
      <c r="F411" s="164">
        <f t="shared" ca="1" si="325"/>
        <v>0</v>
      </c>
    </row>
    <row r="412" spans="6:6">
      <c r="F412" s="164">
        <f t="shared" ca="1" si="325"/>
        <v>0</v>
      </c>
    </row>
    <row r="413" spans="6:6">
      <c r="F413" s="164">
        <f t="shared" ca="1" si="325"/>
        <v>0</v>
      </c>
    </row>
    <row r="414" spans="6:6">
      <c r="F414" s="164">
        <f t="shared" ca="1" si="325"/>
        <v>0</v>
      </c>
    </row>
    <row r="415" spans="6:6">
      <c r="F415" s="164">
        <f t="shared" ca="1" si="325"/>
        <v>0</v>
      </c>
    </row>
    <row r="416" spans="6:6">
      <c r="F416" s="164">
        <f t="shared" ca="1" si="325"/>
        <v>0</v>
      </c>
    </row>
    <row r="417" spans="6:6">
      <c r="F417" s="164">
        <f t="shared" ca="1" si="325"/>
        <v>0</v>
      </c>
    </row>
    <row r="418" spans="6:6">
      <c r="F418" s="164">
        <f t="shared" ca="1" si="325"/>
        <v>0</v>
      </c>
    </row>
    <row r="419" spans="6:6">
      <c r="F419" s="164">
        <f t="shared" ca="1" si="325"/>
        <v>0</v>
      </c>
    </row>
    <row r="420" spans="6:6">
      <c r="F420" s="164">
        <f t="shared" ca="1" si="325"/>
        <v>0</v>
      </c>
    </row>
    <row r="421" spans="6:6">
      <c r="F421" s="164">
        <f t="shared" ca="1" si="325"/>
        <v>0</v>
      </c>
    </row>
    <row r="422" spans="6:6">
      <c r="F422" s="164">
        <f t="shared" ca="1" si="325"/>
        <v>0</v>
      </c>
    </row>
    <row r="423" spans="6:6">
      <c r="F423" s="164">
        <f t="shared" ca="1" si="325"/>
        <v>0</v>
      </c>
    </row>
    <row r="424" spans="6:6">
      <c r="F424" s="164">
        <f t="shared" ca="1" si="325"/>
        <v>0</v>
      </c>
    </row>
    <row r="425" spans="6:6">
      <c r="F425" s="164">
        <f t="shared" ca="1" si="325"/>
        <v>0</v>
      </c>
    </row>
    <row r="426" spans="6:6">
      <c r="F426" s="164">
        <f t="shared" ca="1" si="325"/>
        <v>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3" customWidth="1"/>
    <col min="2" max="2" width="167.28515625" style="283" customWidth="1"/>
  </cols>
  <sheetData>
    <row r="1" spans="1:2">
      <c r="A1" t="s">
        <v>671</v>
      </c>
      <c r="B1" t="s">
        <v>672</v>
      </c>
    </row>
    <row r="2" spans="1:2">
      <c r="A2" t="s">
        <v>673</v>
      </c>
      <c r="B2" t="str">
        <f>Options!B23</f>
        <v>uc0039</v>
      </c>
    </row>
    <row r="3" spans="1:2">
      <c r="A3" t="s">
        <v>458</v>
      </c>
      <c r="B3" t="str">
        <f>HELPER!B129</f>
        <v xml:space="preserve">uc0039.source_factVCSSLast90_[:date_yyyymmdd]_v </v>
      </c>
    </row>
    <row r="4" spans="1:2">
      <c r="A4" t="s">
        <v>674</v>
      </c>
      <c r="B4" t="str">
        <f>Options!B25 &amp; B1</f>
        <v>factVCSSLast90_history</v>
      </c>
    </row>
    <row r="5" spans="1:2">
      <c r="A5" t="s">
        <v>675</v>
      </c>
      <c r="B5" t="str">
        <f>Options!B23 &amp; "." &amp; B4</f>
        <v>uc0039.factVCSSLast90_history</v>
      </c>
    </row>
    <row r="6" spans="1:2">
      <c r="A6" t="s">
        <v>676</v>
      </c>
      <c r="B6" t="str">
        <f>"wk" &amp; Options!B24 &amp; 'SCD4'!B1</f>
        <v>wkfactVCSSLast90_history</v>
      </c>
    </row>
    <row r="7" spans="1:2">
      <c r="A7" t="s">
        <v>677</v>
      </c>
      <c r="B7" t="str">
        <f>B6 &amp; " bigint"</f>
        <v>wkfactVCSSLast90_history bigint</v>
      </c>
    </row>
    <row r="8" spans="1:2">
      <c r="A8" t="s">
        <v>486</v>
      </c>
      <c r="B8" t="str">
        <f>"s3://"&amp;Options!B28&amp;"/"&amp;Options!B29&amp;"/"&amp;B4</f>
        <v>s3://uc0039-vgcs-odl-prod/db/factVCSSLast90_history</v>
      </c>
    </row>
    <row r="9" spans="1:2" ht="100.5" customHeight="1">
      <c r="A9" t="s">
        <v>678</v>
      </c>
      <c r="B9" s="10" t="str">
        <f ca="1">COLHELPER!W152 &amp; ", " &amp; HELPER!B30</f>
        <v>, hashkey string, load_date  Timestamp, last_modified_timestamp  Timestamp, IsCurrent int</v>
      </c>
    </row>
    <row r="10" spans="1:2" ht="100.5" customHeight="1">
      <c r="A10" t="s">
        <v>679</v>
      </c>
      <c r="B10" s="285" t="str">
        <f ca="1">COLHELPER!X152 &amp;"," &amp; HELPER!B31</f>
        <v>,hashkey, load_date , last_modified_timestamp  , IsCurrent</v>
      </c>
    </row>
    <row r="11" spans="1:2" ht="45.75" customHeight="1">
      <c r="A11" t="s">
        <v>680</v>
      </c>
      <c r="B11" t="str">
        <f ca="1">COLHELPER!AQ152</f>
        <v/>
      </c>
    </row>
    <row r="12" spans="1:2" ht="45.75" customHeight="1"/>
    <row r="13" spans="1:2" ht="139.5" customHeight="1">
      <c r="A13" s="285" t="s">
        <v>681</v>
      </c>
      <c r="B13" s="10" t="str">
        <f ca="1">HELPER!B3 &amp; " " &amp; B5 &amp; " (" &amp; B9 &amp; ") "  &amp; " "  &amp;  HELPER!B47 &amp;  " " &amp; " LOCATION '" &amp; B8 &amp; "' " &amp; HELPER!B72</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16" spans="1:2">
      <c r="A16" t="s">
        <v>682</v>
      </c>
      <c r="B16" t="str">
        <f>Options!B4 &amp; "." &amp; HELPER!B5</f>
        <v>uc0039.stage_factVCSSLast90_v</v>
      </c>
    </row>
    <row r="17" spans="1:2" ht="33" customHeight="1">
      <c r="A17" t="s">
        <v>683</v>
      </c>
      <c r="B17" t="str">
        <f ca="1">HELPER!B39</f>
        <v>lower(to_hex(md5(to_utf8(concat(,'')))))</v>
      </c>
    </row>
    <row r="18" spans="1:2" s="285" customFormat="1" ht="124.5" customHeight="1">
      <c r="A18" s="285" t="s">
        <v>684</v>
      </c>
      <c r="B18" s="285" t="str">
        <f ca="1">"WHEN NOT MATCHED THEN INSERT (" &amp; B10 &amp; ")"</f>
        <v>WHEN NOT MATCHED THEN INSERT (,hashkey, load_date , last_modified_timestamp  , IsCurrent)</v>
      </c>
    </row>
    <row r="19" spans="1:2" s="285" customFormat="1" ht="124.5" customHeight="1">
      <c r="A19" s="285" t="s">
        <v>685</v>
      </c>
      <c r="B19" s="285" t="str">
        <f ca="1">COLHELPER!AJ152</f>
        <v/>
      </c>
    </row>
    <row r="20" spans="1:2" s="285" customFormat="1" ht="20.25" customHeight="1">
      <c r="A20" s="285" t="s">
        <v>686</v>
      </c>
      <c r="B20" s="285" t="str">
        <f>HELPER!B106</f>
        <v>ABS(from_big_endian_64(xxhash64(CAST(cast(uuid() as varchar) as varbinary))))</v>
      </c>
    </row>
    <row r="21" spans="1:2" s="285" customFormat="1" ht="21" customHeight="1">
      <c r="A21" s="285" t="s">
        <v>687</v>
      </c>
      <c r="B21" s="285" t="str">
        <f>HELPER!B106 &amp; " AS " &amp; B6</f>
        <v>ABS(from_big_endian_64(xxhash64(CAST(cast(uuid() as varchar) as varbinary)))) AS wkfactVCSSLast90_history</v>
      </c>
    </row>
    <row r="22" spans="1:2" s="285" customFormat="1" ht="124.5" customHeight="1">
      <c r="A22" s="285" t="s">
        <v>688</v>
      </c>
      <c r="B22" s="285" t="str">
        <f ca="1">"src." &amp; B6 &amp; ", " &amp; COLHELPER!AK152 &amp; ", "   &amp; "src." &amp; Options!B43 &amp;  ", "  &amp; "src." &amp; Options!B44 &amp; ", " &amp; "src." &amp;  USERINPUT_DEFAULT_LAST_MODIFIED_TIMESTAMP_COL_NAME &amp; " , 1 "</f>
        <v xml:space="preserve">src.wkfactVCSSLast90_history, , src.hashkey, src.load_date, src.last_modified_timestamp , 1 </v>
      </c>
    </row>
    <row r="23" spans="1:2" s="285" customFormat="1" ht="124.5" customHeight="1">
      <c r="A23" s="285" t="s">
        <v>689</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wkfactVCSSLast90_history, , lower(to_hex(md5(to_utf8(concat(,''))))) hashkey , max(last_modified_timestamp) last_modified_timestamp, MAX(load_date) as load_date, 1 IsCurrent FROM uc0039.stage_factVCSSLast90_v GROUP BY )</v>
      </c>
    </row>
    <row r="24" spans="1:2" ht="257.25" customHeight="1">
      <c r="A24" s="285" t="s">
        <v>690</v>
      </c>
      <c r="B24" s="10" t="str">
        <f ca="1">"MERGE INTO "&amp;B5&amp;" AS "&amp;HELPER!$B$93&amp;" "&amp;"  USING " &amp; B23 &amp; " as "&amp;HELPER!B94&amp;" ON "&amp; COLHELPER!AM152 &amp;" "&amp;B18&amp;" VALUES ("&amp;B22&amp;")"</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row r="25" spans="1:2">
      <c r="A25" t="s">
        <v>691</v>
      </c>
      <c r="B25" t="str">
        <f>"CAST(current_timestamp as timestamp)"</f>
        <v>CAST(current_timestamp as timestamp)</v>
      </c>
    </row>
    <row r="26" spans="1:2">
      <c r="A26" t="s">
        <v>692</v>
      </c>
      <c r="B26" t="str">
        <f>"UPDATE " &amp; B5 &amp; " SET iscurrent=0"</f>
        <v>UPDATE uc0039.factVCSSLast90_history SET iscurrent=0</v>
      </c>
    </row>
    <row r="27" spans="1:2" ht="112.5" customHeight="1">
      <c r="A27" t="s">
        <v>693</v>
      </c>
      <c r="B27" s="285" t="str">
        <f>'UPDATE ISCURRENT'!B11</f>
        <v/>
      </c>
    </row>
    <row r="28" spans="1:2">
      <c r="A28" t="s">
        <v>694</v>
      </c>
      <c r="B28" t="str">
        <f>"drop table if exists " &amp; B5</f>
        <v>drop table if exists uc0039.factVCSSLast90_history</v>
      </c>
    </row>
    <row r="30" spans="1:2">
      <c r="A30" t="s">
        <v>695</v>
      </c>
      <c r="B30" t="str">
        <f ca="1">_xlfn.TEXTJOIN(",",TRUE,COLHELPER!BK2:BK150) &amp; ",'', " &amp;B25 &amp; "," &amp;B25  &amp; "," &amp;B25 &amp;",1"</f>
        <v>0,'missing','', CAST(current_timestamp as timestamp),CAST(current_timestamp as timestamp),CAST(current_timestamp as timestamp),1</v>
      </c>
    </row>
    <row r="31" spans="1:2">
      <c r="A31" t="s">
        <v>696</v>
      </c>
      <c r="B31" t="str">
        <f ca="1">B10</f>
        <v>,hashkey, load_date , last_modified_timestamp  , IsCurrent</v>
      </c>
    </row>
    <row r="32" spans="1:2" ht="118.5" customHeight="1">
      <c r="B32" s="10" t="str">
        <f ca="1">"INSERT INTO " &amp; B5 &amp; "(" &amp; B31 &amp; ") VALUES (" &amp; B30 &amp; ")"</f>
        <v>INSERT INTO uc0039.factVCSSLast90_history(,hashkey, load_date , last_modified_timestamp  , IsCurrent) VALUES (0,'missing','', CAST(current_timestamp as timestamp),CAST(current_timestamp as timestamp),CAST(current_timestamp as timestamp),1)</v>
      </c>
    </row>
    <row r="33" spans="1:2">
      <c r="A33" s="156" t="s">
        <v>697</v>
      </c>
      <c r="B33" s="30">
        <f>Options!B108</f>
        <v>1</v>
      </c>
    </row>
    <row r="34" spans="1:2">
      <c r="A34" s="130" t="s">
        <v>698</v>
      </c>
      <c r="B34" t="str">
        <f>B2 &amp; "." &amp; 'SCD4'!B35</f>
        <v>uc0039.factfactVCSSLast90factVCSSLast90history</v>
      </c>
    </row>
    <row r="35" spans="1:2">
      <c r="B35" t="str">
        <f>"fact" &amp; Options!B24 &amp; Options!B24 &amp; "history"</f>
        <v>factfactVCSSLast90factVCSSLast90history</v>
      </c>
    </row>
    <row r="36" spans="1:2">
      <c r="A36" t="s">
        <v>699</v>
      </c>
      <c r="B36" t="str">
        <f>"s3://"&amp;Options!B28&amp;"/"&amp;Options!B29&amp;"/"&amp;B35</f>
        <v>s3://uc0039-vgcs-odl-prod/db/factfactVCSSLast90factVCSSLast90history</v>
      </c>
    </row>
    <row r="37" spans="1:2" ht="146.25" customHeight="1">
      <c r="A37" s="285" t="s">
        <v>700</v>
      </c>
      <c r="B37" s="10" t="str">
        <f ca="1">HELPER!B3&amp;" "&amp;Options!B4&amp;"."&amp;'SCD4'!B35&amp;" ("&amp;HELPER!B21&amp;" bigint, "&amp;'SCD4'!B7&amp;", isLatest int, ValidFromDate timestamp, ValidToDate timestamp)" &amp;" LOCATION '"&amp;B36&amp;"' "&amp;HELPER!B72</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row>
    <row r="38" spans="1:2">
      <c r="A38" t="s">
        <v>701</v>
      </c>
      <c r="B38" s="197" t="str">
        <f>"drop table if exists " &amp;B2 &amp; "." &amp; 'SCD4'!B35</f>
        <v>drop table if exists uc0039.factfactVCSSLast90factVCSSLast90history</v>
      </c>
    </row>
    <row r="39" spans="1:2">
      <c r="A39" t="s">
        <v>702</v>
      </c>
      <c r="B39" t="str">
        <f ca="1">HELPER!B21 &amp; ", " &amp; 'SCD4'!B6 &amp; ", islatest, " &amp;  "ValidFromDate, ValidToDate"</f>
        <v>, wkfactVCSSLast90_history, islatest, ValidFromDate, ValidToDate</v>
      </c>
    </row>
    <row r="40" spans="1:2">
      <c r="A40" t="s">
        <v>703</v>
      </c>
      <c r="B40" t="str">
        <f ca="1">"src." &amp; HELPER!B21 &amp; ", src." &amp; B6 &amp; ",0 , src.ValidFromDate"</f>
        <v>src., src.wkfactVCSSLast90_history,0 , src.ValidFromDate</v>
      </c>
    </row>
    <row r="41" spans="1:2" ht="105.75" customHeight="1">
      <c r="B41" s="285" t="str">
        <f ca="1">"SELECT d."&amp;HELPER!B21&amp;", m."&amp;B6&amp; ", 0 isLatest,  d." &amp; USERINPUT_DEFAULT_LAST_MODIFIED_TIMESTAMP_COL_NAME &amp; " ValidFromDate  FROM "&amp;B2&amp;"."&amp;Options!B25&amp;" d INNER JOIN "&amp;'SCD4'!B5&amp;" m on " &amp; COLHELPER!AI152</f>
        <v xml:space="preserve">SELECT d., m.wkfactVCSSLast90_history, 0 isLatest,  d.last_modified_timestamp ValidFromDate  FROM uc0039.factVCSSLast90 d INNER JOIN uc0039.factVCSSLast90_history m on </v>
      </c>
    </row>
    <row r="42" spans="1:2">
      <c r="A42" t="s">
        <v>704</v>
      </c>
      <c r="B42" t="str">
        <f>"drop table if exists " &amp; Options!B2 &amp; "." &amp; B4</f>
        <v>drop table if exists uc0039.factVCSSLast90_history</v>
      </c>
    </row>
    <row r="44" spans="1:2" ht="93" customHeight="1">
      <c r="A44" t="s">
        <v>705</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row>
    <row r="46" spans="1:2">
      <c r="A46" t="s">
        <v>706</v>
      </c>
      <c r="B46" t="str">
        <f ca="1">"INSERT (" &amp; B39 &amp; ") VALUES (" &amp; B40 &amp; ",null" &amp; ")"</f>
        <v>INSERT (, wkfactVCSSLast90_history, islatest, ValidFromDate, ValidToDate) VALUES (src., src.wkfactVCSSLast90_history,0 , src.ValidFromDate,null)</v>
      </c>
    </row>
    <row r="48" spans="1:2" ht="66" customHeight="1">
      <c r="A48" t="s">
        <v>707</v>
      </c>
      <c r="B48" s="285" t="str">
        <f ca="1">"SELECT "&amp;HELPER!B21&amp;",   max(ValidFromDate) as ValidFromDate  FROM " &amp; Options!B4 &amp; "." &amp; 'SCD4'!B35 &amp; " GROUP BY " &amp;HELPER!B21</f>
        <v xml:space="preserve">SELECT ,   max(ValidFromDate) as ValidFromDate  FROM uc0039.factfactVCSSLast90factVCSSLast90history GROUP BY </v>
      </c>
    </row>
    <row r="49" spans="1:2">
      <c r="A49" t="s">
        <v>708</v>
      </c>
      <c r="B49" t="str">
        <f>"UPDATE " &amp;B34 &amp; " SET islatest=0 where isLatest=1"</f>
        <v>UPDATE uc0039.factfactVCSSLast90factVCSSLast90history SET islatest=0 where isLatest=1</v>
      </c>
    </row>
    <row r="50" spans="1:2" ht="87" customHeight="1">
      <c r="A50" s="285" t="s">
        <v>709</v>
      </c>
      <c r="B50" s="10" t="str">
        <f ca="1">"MERGE INTO " &amp;B34  &amp; " as trg USING (" &amp; B48 &amp; ") as src ON trg. " &amp; HELPER!B21 &amp; " =  src." &amp; HELPER!B21 &amp; " AND src.ValidFromDate=trg.ValidFromDate  WHEN MATCHED THEN UPDATE Set IsLatest=1, ValidToDate=null"</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row>
    <row r="51" spans="1:2">
      <c r="A51" t="s">
        <v>710</v>
      </c>
      <c r="B51" t="s">
        <v>711</v>
      </c>
    </row>
    <row r="52" spans="1:2" ht="49.5" customHeight="1">
      <c r="A52" s="285" t="s">
        <v>712</v>
      </c>
    </row>
    <row r="53" spans="1:2">
      <c r="A53" t="s">
        <v>710</v>
      </c>
    </row>
    <row r="55" spans="1:2">
      <c r="A55" s="30" t="s">
        <v>713</v>
      </c>
      <c r="B55" s="30"/>
    </row>
    <row r="56" spans="1:2">
      <c r="A56" s="278" t="s">
        <v>714</v>
      </c>
      <c r="B56" s="278" t="s">
        <v>715</v>
      </c>
    </row>
    <row r="57" spans="1:2">
      <c r="A57" t="s">
        <v>716</v>
      </c>
      <c r="B57" s="278" t="str">
        <f>B34 &amp; "_initialload_v"</f>
        <v>uc0039.factfactVCSSLast90factVCSSLast90history_initialload_v</v>
      </c>
    </row>
    <row r="58" spans="1:2">
      <c r="B58" s="278" t="str">
        <f>"drop table " &amp; B34</f>
        <v>drop table uc0039.factfactVCSSLast90factVCSSLast90history</v>
      </c>
    </row>
    <row r="59" spans="1:2" ht="45.75" customHeight="1">
      <c r="A59" s="278" t="s">
        <v>717</v>
      </c>
      <c r="B59" s="277"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v>
      </c>
    </row>
    <row r="60" spans="1:2" ht="100.5" customHeight="1">
      <c r="A60" s="276" t="s">
        <v>718</v>
      </c>
      <c r="B60" s="275" t="str">
        <f ca="1">"MERGE INTO "&amp;B5&amp;" AS "&amp;HELPER!$B$93&amp;" "&amp;"  USING (" &amp; B59 &amp; ") as "&amp;HELPER!B94&amp;" ON "&amp; COLHELPER!AM152 &amp;" "&amp;B18&amp;" VALUES ("&amp;B22&amp;")"</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row>
    <row r="61" spans="1:2" ht="268.5" customHeight="1">
      <c r="A61" s="276" t="s">
        <v>719</v>
      </c>
      <c r="B61" s="275" t="str">
        <f>"CREATE OR REPLACE VIEW " &amp;B57 &amp; " as " &amp;B62</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5" t="s">
        <v>720</v>
      </c>
      <c r="B62" s="277" t="s">
        <v>721</v>
      </c>
    </row>
    <row r="63" spans="1:2" ht="94.5" customHeight="1">
      <c r="A63" s="274" t="s">
        <v>722</v>
      </c>
      <c r="B63" s="275" t="str">
        <f ca="1">"INSERT INTO " &amp;B34 &amp; "(" &amp;B39 &amp; ") SELECT " &amp; B39 &amp; " FROM " &amp; B57</f>
        <v>INSERT INTO uc0039.factfactVCSSLast90factVCSSLast90history(, wkfactVCSSLast90_history, islatest, ValidFromDate, ValidToDate) SELECT , wkfactVCSSLast90_history, islatest, ValidFromDate, ValidToDate FROM uc0039.factfactVCSSLast90factVCSSLast90history_initialload_v</v>
      </c>
    </row>
    <row r="66" spans="1:2">
      <c r="B66" t="s">
        <v>723</v>
      </c>
    </row>
    <row r="68" spans="1:2">
      <c r="B68" s="2" t="s">
        <v>724</v>
      </c>
    </row>
    <row r="71" spans="1:2">
      <c r="B71" t="str">
        <f>"select * from " &amp; B34 &amp; " WHERE wkVehicle=" &amp; B68</f>
        <v>select * from uc0039.factfactVCSSLast90factVCSSLast90history WHERE wkVehicle=310648B61FBDCF0AAC7830DDD5BE2770</v>
      </c>
    </row>
    <row r="74" spans="1:2" ht="60" customHeight="1">
      <c r="A74" t="s">
        <v>725</v>
      </c>
      <c r="B74" s="144" t="s">
        <v>726</v>
      </c>
    </row>
    <row r="75" spans="1:2">
      <c r="B75" t="s">
        <v>727</v>
      </c>
    </row>
    <row r="77" spans="1:2" ht="90" customHeight="1">
      <c r="B77" s="144" t="s">
        <v>728</v>
      </c>
    </row>
    <row r="80" spans="1:2">
      <c r="B80" t="s">
        <v>729</v>
      </c>
    </row>
    <row r="81" spans="1:2">
      <c r="B81" t="s">
        <v>730</v>
      </c>
    </row>
    <row r="82" spans="1:2">
      <c r="A82" t="s">
        <v>731</v>
      </c>
      <c r="B82" t="s">
        <v>732</v>
      </c>
    </row>
    <row r="83" spans="1:2" ht="60" customHeight="1">
      <c r="B83" s="144" t="s">
        <v>733</v>
      </c>
    </row>
    <row r="86" spans="1:2">
      <c r="B86" t="s">
        <v>734</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G21"/>
  <sheetViews>
    <sheetView workbookViewId="0">
      <selection activeCell="C2" sqref="C2"/>
    </sheetView>
  </sheetViews>
  <sheetFormatPr defaultRowHeight="15"/>
  <cols>
    <col min="1" max="1" width="24" style="283" customWidth="1"/>
    <col min="2" max="2" width="63.42578125" style="283" customWidth="1"/>
    <col min="3" max="3" width="17" style="283" bestFit="1" customWidth="1"/>
    <col min="5" max="5" width="57.7109375" style="283" customWidth="1"/>
    <col min="6" max="6" width="15.42578125" style="283" bestFit="1" customWidth="1"/>
  </cols>
  <sheetData>
    <row r="1" spans="1:7">
      <c r="A1" t="s">
        <v>735</v>
      </c>
      <c r="B1">
        <v>118</v>
      </c>
      <c r="C1" s="99">
        <v>45316</v>
      </c>
    </row>
    <row r="2" spans="1:7">
      <c r="A2" t="s">
        <v>736</v>
      </c>
      <c r="B2" t="s">
        <v>737</v>
      </c>
    </row>
    <row r="3" spans="1:7">
      <c r="A3" t="s">
        <v>738</v>
      </c>
      <c r="B3" s="99"/>
    </row>
    <row r="7" spans="1:7">
      <c r="F7" t="str">
        <f>$B$2</f>
        <v>Skidbladner</v>
      </c>
    </row>
    <row r="10" spans="1:7">
      <c r="A10" t="s">
        <v>739</v>
      </c>
    </row>
    <row r="11" spans="1:7">
      <c r="A11" t="s">
        <v>740</v>
      </c>
      <c r="B11" t="s">
        <v>741</v>
      </c>
    </row>
    <row r="12" spans="1:7">
      <c r="B12" t="s">
        <v>742</v>
      </c>
    </row>
    <row r="13" spans="1:7">
      <c r="B13" t="s">
        <v>743</v>
      </c>
    </row>
    <row r="14" spans="1:7">
      <c r="B14" t="s">
        <v>744</v>
      </c>
      <c r="G14" t="str">
        <f t="array" aca="1" ref="G14" ca="1">INDIRECT("B2")</f>
        <v>Skidbladner</v>
      </c>
    </row>
    <row r="15" spans="1:7">
      <c r="B15" t="s">
        <v>745</v>
      </c>
    </row>
    <row r="16" spans="1:7">
      <c r="B16" t="s">
        <v>746</v>
      </c>
    </row>
    <row r="17" spans="2:2">
      <c r="B17" t="s">
        <v>747</v>
      </c>
    </row>
    <row r="18" spans="2:2">
      <c r="B18" t="s">
        <v>748</v>
      </c>
    </row>
    <row r="20" spans="2:2">
      <c r="B20" t="s">
        <v>749</v>
      </c>
    </row>
    <row r="21" spans="2:2">
      <c r="B21" t="s">
        <v>750</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sheetPr>
  <dimension ref="A1:G11"/>
  <sheetViews>
    <sheetView topLeftCell="C5" workbookViewId="0">
      <selection activeCell="F5" sqref="F5"/>
    </sheetView>
  </sheetViews>
  <sheetFormatPr defaultRowHeight="15"/>
  <cols>
    <col min="1" max="1" width="149" style="283" customWidth="1"/>
    <col min="2" max="2" width="89.28515625" style="283" customWidth="1"/>
    <col min="3" max="3" width="75" style="283" customWidth="1"/>
    <col min="5" max="5" width="47.85546875" style="283" customWidth="1"/>
    <col min="6" max="6" width="65.7109375" style="283" customWidth="1"/>
    <col min="7" max="7" width="48.140625" style="283" customWidth="1"/>
  </cols>
  <sheetData>
    <row r="1" spans="1:7">
      <c r="A1" s="30" t="s">
        <v>751</v>
      </c>
      <c r="B1" s="30"/>
      <c r="C1" s="30"/>
    </row>
    <row r="2" spans="1:7" ht="350.25" customHeight="1">
      <c r="A2" s="195" t="str">
        <f ca="1">IF(Options!B51=1,"MERGE INTO "&amp;HELPER!B133&amp;" as "&amp;HELPER!B93&amp;" USING "&amp; HELPER!B129 &amp;" as "&amp;HELPER!B94&amp;" ON "&amp;HELPER!B53&amp;" WHEN NOT MATCHED THEN INSERT ( "&amp;HELPER!B18&amp;") VALUES ("&amp;HELPER!B80&amp;") WHEN MATCHED THEN UPDATE SET "&amp;HELPER!B82,"")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THEN UPDATE SET has_communicated_last_90_days =  src.has_communicated_last_90_days, load_date= src .load_date</v>
      </c>
      <c r="B2" s="195"/>
      <c r="C2" s="195"/>
      <c r="G2" s="285" t="s">
        <v>752</v>
      </c>
    </row>
    <row r="4" spans="1:7">
      <c r="A4" s="30" t="s">
        <v>753</v>
      </c>
      <c r="B4" s="30" t="s">
        <v>754</v>
      </c>
      <c r="C4" s="30" t="s">
        <v>755</v>
      </c>
      <c r="E4" t="s">
        <v>756</v>
      </c>
      <c r="F4" s="30" t="s">
        <v>757</v>
      </c>
    </row>
    <row r="5" spans="1:7" ht="392.25" customHeight="1">
      <c r="A5" s="195" t="str">
        <f ca="1">IF(Options!B51=1,"MERGE INTO "&amp;HELPER!B133&amp;" as "&amp;HELPER!$B$93&amp;" USING "&amp;HELPER!B129&amp;" as "&amp;HELPER!B94&amp;" ON "&amp;HELPER!$B$54&amp;" "&amp;B5&amp;" "&amp;IF(C5="","",C5)," ")</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B5" s="285" t="str">
        <f ca="1">"WHEN NOT MATCHED THEN INSERT ( "&amp;HELPER!B18&amp;") VALUES ("&amp;HELPER!B80&amp;")"</f>
        <v>WHEN NOT MATCHED THEN INSERT ( wkVehicle, has_communicated_last_90_days, lake_arrival_date,load_date, hashkey) VALUES (src.wkVehicle, src.has_communicated_last_90_days, COALESCE(src.lake_arrival_date,''), src.load_date,src.hashkey)</v>
      </c>
      <c r="C5" s="285" t="str">
        <f ca="1">E5</f>
        <v>WHEN MATCHED  AND trg.last_modified_timestamp &lt;&gt;  src.last_modified_timestamp THEN UPDATE SET has_communicated_last_90_days =  src.has_communicated_last_90_days,last_modified_timestamp = src.last_modified_timestamp</v>
      </c>
      <c r="E5" s="285" t="str">
        <f ca="1">IF(F5="","","WHEN MATCHED " &amp;HELPER!E54 &amp; " THEN UPDATE SET " &amp; F5)</f>
        <v>WHEN MATCHED  AND trg.last_modified_timestamp &lt;&gt;  src.last_modified_timestamp THEN UPDATE SET has_communicated_last_90_days =  src.has_communicated_last_90_days,last_modified_timestamp = src.last_modified_timestamp</v>
      </c>
      <c r="F5" s="10" t="str">
        <f ca="1">IF(MERGE_UPDATE_COLUMN_LIST="","", MERGE_UPDATE_COLUMN_LIST &amp; HELPER!F54)</f>
        <v>has_communicated_last_90_days =  src.has_communicated_last_90_days,last_modified_timestamp = src.last_modified_timestamp</v>
      </c>
      <c r="G5" s="285" t="s">
        <v>758</v>
      </c>
    </row>
    <row r="6" spans="1:7" ht="208.5" customHeight="1">
      <c r="A6" s="285" t="str">
        <f ca="1">IF(Options!B51=1,"MERGE INTO "&amp;HELPER!B133&amp;" as "&amp;HELPER!$B$93&amp;" USING "&amp;HELPER!B130&amp;" as "&amp;HELPER!B94&amp;" ON "&amp;HELPER!$B$54&amp;" WHEN NOT MATCHED THEN INSERT ( "&amp;HELPER!B18&amp;") VALUES ("&amp;HELPER!B80&amp;")","")&amp;IF(C5="","",C5)</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B6" s="285"/>
      <c r="C6" s="285"/>
      <c r="G6" s="285" t="s">
        <v>759</v>
      </c>
    </row>
    <row r="7" spans="1:7">
      <c r="A7" s="30" t="s">
        <v>760</v>
      </c>
      <c r="B7" s="30" t="s">
        <v>358</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20" t="s">
        <v>761</v>
      </c>
    </row>
    <row r="10" spans="1:7">
      <c r="A10" s="30"/>
      <c r="B10" s="30"/>
      <c r="C10" s="30"/>
    </row>
    <row r="11" spans="1:7" ht="349.5" customHeight="1">
      <c r="A11" s="109"/>
      <c r="B11" s="109"/>
      <c r="C11" s="109"/>
      <c r="G11" s="220"/>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A2"/>
  <sheetViews>
    <sheetView workbookViewId="0">
      <selection activeCell="A2" sqref="A2"/>
    </sheetView>
  </sheetViews>
  <sheetFormatPr defaultRowHeight="15"/>
  <cols>
    <col min="1" max="1" width="151" style="283" customWidth="1"/>
  </cols>
  <sheetData>
    <row r="1" spans="1:1">
      <c r="A1" s="30" t="s">
        <v>762</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
  <sheetViews>
    <sheetView workbookViewId="0">
      <selection activeCell="A5" sqref="A5"/>
    </sheetView>
  </sheetViews>
  <sheetFormatPr defaultRowHeight="15"/>
  <cols>
    <col min="1" max="1" width="152.85546875" style="283" customWidth="1"/>
  </cols>
  <sheetData>
    <row r="1" spans="1:1">
      <c r="A1" s="30" t="s">
        <v>763</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C11"/>
  <sheetViews>
    <sheetView topLeftCell="B5" workbookViewId="0">
      <selection activeCell="B11" sqref="B11"/>
    </sheetView>
  </sheetViews>
  <sheetFormatPr defaultRowHeight="15"/>
  <cols>
    <col min="1" max="1" width="9.140625" style="285" customWidth="1"/>
    <col min="2" max="2" width="124.140625" style="285" customWidth="1"/>
    <col min="3" max="3" width="72.28515625" style="285" customWidth="1"/>
    <col min="4" max="8" width="9.140625" style="285" customWidth="1"/>
    <col min="9" max="16384" width="9.140625" style="285"/>
  </cols>
  <sheetData>
    <row r="1" spans="1:3">
      <c r="A1" s="285" t="s">
        <v>764</v>
      </c>
      <c r="B1" s="13" t="str">
        <f>IF(Options!B51=1,IF(Options!B31=1, "UPDATE " &amp; HELPER!B133 &amp; " SET iscurrent=0",""),"")</f>
        <v/>
      </c>
      <c r="C1" s="285" t="s">
        <v>765</v>
      </c>
    </row>
    <row r="3" spans="1:3" ht="21.75" customHeight="1">
      <c r="B3" s="14"/>
    </row>
    <row r="4" spans="1:3">
      <c r="B4" s="14"/>
    </row>
    <row r="5" spans="1:3" ht="45.75" customHeight="1">
      <c r="B5" s="14"/>
    </row>
    <row r="7" spans="1:3" ht="141" customHeight="1">
      <c r="A7" s="285" t="s">
        <v>766</v>
      </c>
      <c r="B7" s="13" t="str">
        <f>IF(Options!B31=1, 'MERGE INTO'!A8,"")</f>
        <v/>
      </c>
      <c r="C7" s="285" t="s">
        <v>767</v>
      </c>
    </row>
    <row r="10" spans="1:3">
      <c r="B10" s="285" t="s">
        <v>768</v>
      </c>
    </row>
    <row r="11" spans="1:3" ht="150" customHeight="1">
      <c r="B11" s="285"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election activeCell="A12" sqref="A12"/>
    </sheetView>
  </sheetViews>
  <sheetFormatPr defaultRowHeight="15"/>
  <cols>
    <col min="1" max="1" width="95.42578125" style="283"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wkVehicle, MAX(load_date) as max_load_date FROM uc0039.factVCSSLast90 GROUP BY wkVehicle) SELECT d.* FROM uc0039.factVCSSLast90 d INNER JOIN t1 ON trg.wkVehicle = src.wkVehicle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3:B34"/>
  <sheetViews>
    <sheetView topLeftCell="B7" workbookViewId="0">
      <selection activeCell="B30" sqref="B30"/>
    </sheetView>
  </sheetViews>
  <sheetFormatPr defaultRowHeight="15"/>
  <cols>
    <col min="2" max="2" width="160.28515625" style="283" customWidth="1"/>
  </cols>
  <sheetData>
    <row r="3" spans="2:2">
      <c r="B3" t="str">
        <f>"SELECT * FROM """&amp;Options!B23&amp;"""."""&amp;Options!B25&amp;"$files"""</f>
        <v>SELECT * FROM "uc0039"."factVCSSLast90$files"</v>
      </c>
    </row>
    <row r="5" spans="2:2">
      <c r="B5" t="str">
        <f>"SELECT * FROM """&amp;Options!B23&amp;"""."""&amp;Options!B25&amp;"$manifests"""</f>
        <v>SELECT * FROM "uc0039"."factVCSSLast90$manifests"</v>
      </c>
    </row>
    <row r="7" spans="2:2">
      <c r="B7" t="str">
        <f>"SELECT * FROM """&amp;Options!B23&amp;"""."""&amp;Options!B25&amp;"$history"""</f>
        <v>SELECT * FROM "uc0039"."factVCSSLast90$history"</v>
      </c>
    </row>
    <row r="8" spans="2:2">
      <c r="B8" s="4" t="s">
        <v>769</v>
      </c>
    </row>
    <row r="9" spans="2:2">
      <c r="B9" t="str">
        <f>"SELECT * FROM """&amp;Options!B23&amp;"""."""&amp;Options!B25&amp;"$partitions"""</f>
        <v>SELECT * FROM "uc0039"."factVCSSLast90$partitions"</v>
      </c>
    </row>
    <row r="10" spans="2:2">
      <c r="B10" s="4" t="s">
        <v>770</v>
      </c>
    </row>
    <row r="11" spans="2:2">
      <c r="B11" t="str">
        <f>"SELECT * FROM """&amp;Options!B23&amp;"""."""&amp;Options!B25&amp;"$snapshots"""</f>
        <v>SELECT * FROM "uc0039"."factVCSSLast90$snapshots"</v>
      </c>
    </row>
    <row r="13" spans="2:2">
      <c r="B13" t="str">
        <f>"SELECT * FROM """&amp;Options!B23&amp;"""."""&amp;Options!B25&amp;"$refs"""</f>
        <v>SELECT * FROM "uc0039"."factVCSSLast90$refs"</v>
      </c>
    </row>
    <row r="15" spans="2:2" ht="20.25" customHeight="1">
      <c r="B15" s="8" t="s">
        <v>771</v>
      </c>
    </row>
    <row r="16" spans="2:2">
      <c r="B16" t="str">
        <f>"OPTIMIZE " &amp; Options!B23 &amp; "." &amp; Options!B25 &amp; " REWRITE DATA USING BIN_PACK "</f>
        <v xml:space="preserve">OPTIMIZE uc0039.factVCSSLast90 REWRITE DATA USING BIN_PACK </v>
      </c>
    </row>
    <row r="19" spans="2:2">
      <c r="B19" s="4" t="s">
        <v>772</v>
      </c>
    </row>
    <row r="20" spans="2:2" ht="46.5" customHeight="1">
      <c r="B20" s="285" t="str">
        <f>"ALTER TABLE " &amp; Options!B23 &amp; "." &amp; Options!B25 &amp; " SET " &amp; HELPER!B72</f>
        <v>ALTER TABLE uc0039.factVCSSLast90 SET TBLPROPERTIES ( 'vacuum_max_snapshot_age_seconds' = '259200', 'optimize_rewrite_delete_file_threshold' = '50', 'write_target_data_file_size_bytes' = '536870912','table_type'='iceberg','format'='parquet')</v>
      </c>
    </row>
    <row r="21" spans="2:2">
      <c r="B21" s="4" t="s">
        <v>773</v>
      </c>
    </row>
    <row r="22" spans="2:2">
      <c r="B22" t="str">
        <f>"VACUUM " &amp;HELPER!B133</f>
        <v>VACUUM uc0039.factVCSSLast90</v>
      </c>
    </row>
    <row r="24" spans="2:2">
      <c r="B24" s="4" t="s">
        <v>774</v>
      </c>
    </row>
    <row r="25" spans="2:2">
      <c r="B25" t="str">
        <f>"drop table " &amp; HELPER!B133</f>
        <v>drop table uc0039.factVCSSLast90</v>
      </c>
    </row>
    <row r="27" spans="2:2">
      <c r="B27" s="4" t="s">
        <v>775</v>
      </c>
    </row>
    <row r="28" spans="2:2">
      <c r="B28" t="str">
        <f>"DESCRIBE FORMATTED " &amp; HELPER!B133</f>
        <v>DESCRIBE FORMATTED uc0039.factVCSSLast90</v>
      </c>
    </row>
    <row r="30" spans="2:2">
      <c r="B30" s="4" t="s">
        <v>776</v>
      </c>
    </row>
    <row r="31" spans="2:2">
      <c r="B31" t="str">
        <f>"SHOW TBLPROPERTIES " &amp; HELPER!B133</f>
        <v>SHOW TBLPROPERTIES uc0039.factVCSSLast90</v>
      </c>
    </row>
    <row r="33" spans="2:2">
      <c r="B33" s="130" t="s">
        <v>777</v>
      </c>
    </row>
    <row r="34" spans="2:2">
      <c r="B34" t="str">
        <f>"SHOW CREATE TABLE " &amp; HELPER!B133</f>
        <v>SHOW CREATE TABLE uc0039.factVCSSLast90</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00000"/>
  </sheetPr>
  <dimension ref="E4:X26"/>
  <sheetViews>
    <sheetView topLeftCell="A7" workbookViewId="0">
      <selection activeCell="E26" sqref="E26"/>
    </sheetView>
  </sheetViews>
  <sheetFormatPr defaultRowHeight="15"/>
  <cols>
    <col min="5" max="5" width="105.42578125" style="283" customWidth="1"/>
    <col min="6" max="6" width="147" style="283" bestFit="1" customWidth="1"/>
    <col min="24" max="24" width="35.28515625" style="283" customWidth="1"/>
  </cols>
  <sheetData>
    <row r="4" spans="5:5">
      <c r="E4" t="str">
        <f>" SELECT distinct " &amp; Options!B44 &amp; " FROM " &amp;  HELPER!B133</f>
        <v xml:space="preserve"> SELECT distinct load_date FROM uc0039.factVCSSLast90</v>
      </c>
    </row>
    <row r="8" spans="5:5">
      <c r="E8" s="130" t="s">
        <v>778</v>
      </c>
    </row>
    <row r="9" spans="5:5">
      <c r="E9" t="str">
        <f>"SELECT * from " &amp;HELPER!B133 &amp; " FOR TIMESTAMP AS OF (current_timestamp - interval '1' hour)"</f>
        <v>SELECT * from uc0039.factVCSSLast90 FOR TIMESTAMP AS OF (current_timestamp - interval '1' hour)</v>
      </c>
    </row>
    <row r="14" spans="5:5">
      <c r="E14" s="130" t="s">
        <v>779</v>
      </c>
    </row>
    <row r="15" spans="5:5">
      <c r="E15" t="str">
        <f>"DELETE FROM " &amp; HELPER!B133 &amp; " WHERE ...."</f>
        <v>DELETE FROM uc0039.factVCSSLast90 WHERE ....</v>
      </c>
    </row>
    <row r="17" spans="5:6">
      <c r="E17" s="4"/>
    </row>
    <row r="20" spans="5:6">
      <c r="E20" t="str">
        <f>"ALTER TABLE " &amp; HELPER!B133 &amp; " ADD COLUMNS (IsCurrent int)"</f>
        <v>ALTER TABLE uc0039.factVCSSLast90 ADD COLUMNS (IsCurrent int)</v>
      </c>
    </row>
    <row r="22" spans="5:6">
      <c r="E22" t="str">
        <f>"OPTIMIZE " &amp; 'SCD4'!B5 &amp; "  REWRITE DATA USING BIN_PACK"</f>
        <v>OPTIMIZE uc0039.factVCSSLast90_history  REWRITE DATA USING BIN_PACK</v>
      </c>
    </row>
    <row r="23" spans="5:6">
      <c r="E23" t="str">
        <f>"OPTIMIZE " &amp; HELPER!B133 &amp; " REWRITE DATA USING BIN_PACK"</f>
        <v>OPTIMIZE uc0039.factVCSSLast90 REWRITE DATA USING BIN_PACK</v>
      </c>
      <c r="F23" t="s">
        <v>780</v>
      </c>
    </row>
    <row r="24" spans="5:6">
      <c r="E24" t="str">
        <f>"VACUUM "&amp;HELPER!B133</f>
        <v>VACUUM uc0039.factVCSSLast90</v>
      </c>
    </row>
    <row r="26" spans="5:6">
      <c r="E26" s="200" t="str">
        <f>"OPTIMIZE " &amp; Options!B4 &amp; "."  &amp; 'SCD4'!B35  &amp; "  REWRITE DATA USING BIN_PACK"</f>
        <v>OPTIMIZE uc0039.factfactVCSSLast90factVCSSLast90history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I1:K18"/>
  <sheetViews>
    <sheetView topLeftCell="G1" zoomScaleNormal="100" workbookViewId="0">
      <selection activeCell="J10" sqref="J10"/>
    </sheetView>
  </sheetViews>
  <sheetFormatPr defaultRowHeight="15"/>
  <cols>
    <col min="1" max="8" width="9.140625" style="285" customWidth="1"/>
    <col min="9" max="9" width="19.85546875" style="285" bestFit="1" customWidth="1"/>
    <col min="10" max="10" width="121.7109375" style="285" customWidth="1"/>
    <col min="11" max="11" width="73" style="285" customWidth="1"/>
    <col min="12" max="16" width="9.140625" style="285" customWidth="1"/>
    <col min="17" max="16384" width="9.140625" style="285"/>
  </cols>
  <sheetData>
    <row r="1" spans="9:11">
      <c r="I1" s="18" t="s">
        <v>781</v>
      </c>
      <c r="J1" s="18" t="s">
        <v>588</v>
      </c>
      <c r="K1" s="18" t="s">
        <v>782</v>
      </c>
    </row>
    <row r="2" spans="9:11" ht="74.25" customHeight="1">
      <c r="I2" s="285" t="s">
        <v>783</v>
      </c>
      <c r="J2" s="285" t="str">
        <f ca="1">"SELECT " &amp;HELPER!B89 &amp; ", count(*) FROM " &amp; HELPER!B98 &amp; IF(Options!B31=1," WHERE IsCurrent=1 ","") &amp; " GROUP BY " &amp; HELPER!B89 &amp; " HAVING COUNT(*)&gt;1"</f>
        <v>SELECT , count(*) FROM uc0039.factVCSSLast90 GROUP BY  HAVING COUNT(*)&gt;1</v>
      </c>
      <c r="K2" s="285" t="s">
        <v>784</v>
      </c>
    </row>
    <row r="3" spans="9:11" ht="114.75" customHeight="1">
      <c r="I3" s="285" t="s">
        <v>785</v>
      </c>
      <c r="J3" s="285" t="str">
        <f ca="1">"SELECT  " &amp; HELPER!B7 &amp; ", COUNT(*) FROM " &amp;HELPER!B98  &amp; IF(Options!B31=1," WHERE IsCurrent=1 ","") &amp;  " GROUP BY " &amp; HELPER!B7 &amp; " HAVING COUNT(*)&gt;1"</f>
        <v>SELECT  wkVehicle, COUNT(*) FROM uc0039.factVCSSLast90 GROUP BY wkVehicle HAVING COUNT(*)&gt;1</v>
      </c>
      <c r="K3" s="285" t="s">
        <v>784</v>
      </c>
    </row>
    <row r="5" spans="9:11" ht="30" customHeight="1">
      <c r="I5" s="285" t="s">
        <v>786</v>
      </c>
      <c r="J5" s="285" t="str">
        <f ca="1">"SELECT  " &amp; HELPER!B7 &amp; ", COUNT(*) FROM " &amp;HELPER!B129  &amp;  " GROUP BY " &amp; HELPER!B7 &amp; " HAVING COUNT(*)&gt;1"</f>
        <v>SELECT  wkVehicle, COUNT(*) FROM uc0039.source_factVCSSLast90_[:date_yyyymmdd]_v  GROUP BY wkVehicle HAVING COUNT(*)&gt;1</v>
      </c>
      <c r="K5" s="285" t="s">
        <v>784</v>
      </c>
    </row>
    <row r="6" spans="9:11">
      <c r="I6" s="285" t="s">
        <v>787</v>
      </c>
      <c r="J6" s="285" t="str">
        <f>IF(Options!B31=1,"SELECT  COUNT(*) FROM "&amp;HELPER!B98&amp;IF(Options!B31=1," WHERE "&amp;HELPER!B89&amp;" is null"," WHERE "),"")</f>
        <v/>
      </c>
    </row>
    <row r="10" spans="9:11" ht="81" customHeight="1">
      <c r="I10" s="285" t="s">
        <v>788</v>
      </c>
      <c r="J10" s="285" t="str">
        <f ca="1">IF(Options!B31=1,"", "SELECT  " &amp; HELPER!B7 &amp; ", COUNT(*) FROM " &amp;HELPER!B98  &amp; " WHERE  " &amp; HELPER!B155  &amp;  " GROUP BY " &amp; HELPER!B7 &amp; " HAVING COUNT(*)&gt;1")</f>
        <v>SELECT  wkVehicle, COUNT(*) FROM uc0039.factVCSSLast90 WHERE   GROUP BY wkVehicle HAVING COUNT(*)&gt;1</v>
      </c>
      <c r="K10" s="285" t="s">
        <v>784</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F24"/>
  <sheetViews>
    <sheetView topLeftCell="A16" zoomScale="85" zoomScaleNormal="85" workbookViewId="0">
      <selection activeCell="B24" sqref="B24"/>
    </sheetView>
  </sheetViews>
  <sheetFormatPr defaultRowHeight="15"/>
  <cols>
    <col min="1" max="1" width="67.5703125" style="220" customWidth="1"/>
    <col min="2" max="2" width="54.85546875" style="283" customWidth="1"/>
    <col min="3" max="3" width="38.85546875" style="283" customWidth="1"/>
  </cols>
  <sheetData>
    <row r="2" spans="1:6" ht="51.75" customHeight="1">
      <c r="A2" s="220" t="s">
        <v>789</v>
      </c>
      <c r="B2" s="285"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0" t="s">
        <v>790</v>
      </c>
      <c r="B3" s="285" t="str">
        <f ca="1">_xlfn.TEXTJOIN("",TRUE,COLHELPER!CB2:CB150)</f>
        <v>&lt;tr&gt;&lt;td&gt;wkVehicle&lt;td&gt;wkVehicle&lt;td&gt;bigint&lt;td&gt;bigint&lt;td&gt;&lt;td&gt;&lt;td&gt;&lt;td&gt;1&lt;td&gt;&lt;td&gt;&lt;td&gt;&lt;/td&gt;&lt;/tr&gt;&lt;tr&gt;&lt;td&gt;has_communicated_last_90_days&lt;td&gt;1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v>
      </c>
    </row>
    <row r="4" spans="1:6">
      <c r="A4" s="220" t="s">
        <v>791</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row>
    <row r="6" spans="1:6">
      <c r="A6" s="15" t="s">
        <v>792</v>
      </c>
      <c r="B6" s="190" t="s">
        <v>793</v>
      </c>
      <c r="C6" s="190" t="s">
        <v>794</v>
      </c>
    </row>
    <row r="7" spans="1:6">
      <c r="A7" s="212" t="s">
        <v>795</v>
      </c>
      <c r="B7" s="278" t="s">
        <v>796</v>
      </c>
      <c r="C7" s="213" t="str">
        <f t="array" aca="1" ref="C7" ca="1">IF(A7="","", INDIRECT("COLUMNS!"&amp; B7 &amp; "1"))</f>
        <v>Target Column Name</v>
      </c>
    </row>
    <row r="8" spans="1:6">
      <c r="A8" s="212" t="s">
        <v>797</v>
      </c>
      <c r="B8" s="278" t="s">
        <v>798</v>
      </c>
      <c r="C8" s="213" t="str">
        <f t="array" aca="1" ref="C8" ca="1">IF(A8="","", INDIRECT("COLUMNS!"&amp; B8 &amp; "1"))</f>
        <v>Target Data Type</v>
      </c>
    </row>
    <row r="9" spans="1:6">
      <c r="A9" s="212" t="s">
        <v>799</v>
      </c>
      <c r="B9" s="278" t="s">
        <v>800</v>
      </c>
      <c r="C9" s="213" t="str">
        <f t="array" aca="1" ref="C9" ca="1">IF(A9="","", INDIRECT("COLUMNS!"&amp; B9 &amp; "1"))</f>
        <v>Is Business Key?</v>
      </c>
    </row>
    <row r="10" spans="1:6">
      <c r="A10" s="212" t="s">
        <v>801</v>
      </c>
      <c r="B10" s="278" t="s">
        <v>802</v>
      </c>
      <c r="C10" s="213" t="str">
        <f t="array" aca="1" ref="C10" ca="1">IF(A10="","", INDIRECT("COLUMNS!"&amp; B10 &amp; "1"))</f>
        <v>SCD-Type No</v>
      </c>
      <c r="F10" t="str">
        <f t="array" ref="F10">_xlfn.TEXTJOIN("; ", TRUE, IF(ISNUMBER(MATCH(COLUMN(A1:D1), MATCH($G$1:$G$2, $A$1:$D$1, 0), 0)), INDEX($A$2:$D$5, , COLUMN(A1:D1)), ""))</f>
        <v/>
      </c>
    </row>
    <row r="11" spans="1:6">
      <c r="A11" s="212" t="s">
        <v>153</v>
      </c>
      <c r="B11" s="278" t="s">
        <v>803</v>
      </c>
      <c r="C11" s="213" t="str">
        <f t="array" aca="1" ref="C11" ca="1">IF(A11="","", INDIRECT("COLUMNS!"&amp; B11 &amp; "1"))</f>
        <v>Comment</v>
      </c>
      <c r="F11" t="str">
        <f t="array" ref="F11">_xlfn.TEXTJOIN("; ", TRUE, IF(ISNUMBER(MATCH(COLUMN(A1:D1), MATCH($G$1:$G$2, $A$1:$D$1, 0), 0)), INDEX($A$2:$D$5, , COLUMN(A1:D1)), ""))</f>
        <v/>
      </c>
    </row>
    <row r="12" spans="1:6">
      <c r="A12" s="212"/>
      <c r="B12" s="278"/>
      <c r="C12" s="213" t="str">
        <f t="array" aca="1" ref="C12" ca="1">IF(A12="","", INDIRECT("COLUMNS!"&amp; B12 &amp; "1"))</f>
        <v/>
      </c>
    </row>
    <row r="13" spans="1:6">
      <c r="A13" s="212"/>
      <c r="B13" s="278"/>
      <c r="C13" s="213" t="str">
        <f t="array" aca="1" ref="C13" ca="1">IF(A13="","", INDIRECT("COLUMNS!"&amp; B13 &amp; "1"))</f>
        <v/>
      </c>
    </row>
    <row r="14" spans="1:6">
      <c r="A14" s="212"/>
      <c r="B14" s="278"/>
      <c r="C14" s="213" t="str">
        <f t="array" aca="1" ref="C14" ca="1">IF(A14="","", INDIRECT("COLUMNS!"&amp; B14 &amp; "1"))</f>
        <v/>
      </c>
    </row>
    <row r="15" spans="1:6">
      <c r="A15" s="212"/>
      <c r="B15" s="278"/>
      <c r="C15" s="213" t="str">
        <f t="array" aca="1" ref="C15" ca="1">IF(A15="","", INDIRECT("COLUMNS!"&amp; B15 &amp; "1"))</f>
        <v/>
      </c>
    </row>
    <row r="16" spans="1:6">
      <c r="A16" s="212"/>
      <c r="B16" s="278"/>
      <c r="C16" s="213" t="str">
        <f t="array" aca="1" ref="C16" ca="1">IF(A16="","", INDIRECT("COLUMNS!"&amp; B16 &amp; "1"))</f>
        <v/>
      </c>
    </row>
    <row r="17" spans="1:3">
      <c r="A17" s="212"/>
      <c r="B17" s="278"/>
      <c r="C17" s="213" t="str">
        <f t="array" aca="1" ref="C17" ca="1">IF(A17="","", INDIRECT("COLUMNS!"&amp; B17 &amp; "1"))</f>
        <v/>
      </c>
    </row>
    <row r="18" spans="1:3">
      <c r="A18" s="212"/>
      <c r="B18" s="278"/>
      <c r="C18" s="213" t="str">
        <f t="array" aca="1" ref="C18" ca="1">IF(A18="","", INDIRECT("COLUMNS!"&amp; B18 &amp; "1"))</f>
        <v/>
      </c>
    </row>
    <row r="19" spans="1:3">
      <c r="A19" s="212"/>
      <c r="B19" s="278"/>
      <c r="C19" s="213" t="str">
        <f t="array" aca="1" ref="C19" ca="1">IF(A19="","", INDIRECT("COLUMNS!"&amp; B19 &amp; "1"))</f>
        <v/>
      </c>
    </row>
    <row r="20" spans="1:3">
      <c r="A20" s="220" t="s">
        <v>804</v>
      </c>
      <c r="B20" s="220" t="str">
        <f>"&lt;th&gt;" &amp; _xlfn.TEXTJOIN("&lt;/th&gt;",TRUE,A7:A19) &amp; "&lt;/th&gt;"</f>
        <v>&lt;th&gt;Column Name&lt;/th&gt;Data Type&lt;/th&gt;Business Key&lt;/th&gt;SCD-2&lt;/th&gt;Comment&lt;/th&gt;</v>
      </c>
    </row>
    <row r="21" spans="1:3">
      <c r="B21" t="str">
        <f t="array" aca="1" ref="B21" ca="1">INDIRECT("COLUMNS!A2")</f>
        <v>wkVehicle</v>
      </c>
    </row>
    <row r="24" spans="1:3">
      <c r="A24" s="220" t="s">
        <v>805</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3" customWidth="1"/>
    <col min="2" max="2" width="136" style="283" customWidth="1"/>
  </cols>
  <sheetData>
    <row r="2" spans="1:2">
      <c r="A2" t="s">
        <v>303</v>
      </c>
      <c r="B2" t="str">
        <f>HELPER_CREATE_VIEW</f>
        <v xml:space="preserve">CREATE OR REPLACE VIEW uc0039.factVCSSLast90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3" bestFit="1" customWidth="1"/>
    <col min="2" max="2" width="255.7109375" style="283" bestFit="1" customWidth="1"/>
  </cols>
  <sheetData>
    <row r="3" spans="1:2">
      <c r="A3" t="s">
        <v>824</v>
      </c>
      <c r="B3"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3" customWidth="1"/>
    <col min="2" max="2" width="194.7109375" style="283" customWidth="1"/>
    <col min="3" max="3" width="145.140625" style="283" customWidth="1"/>
    <col min="4" max="4" width="78" style="283" bestFit="1" customWidth="1"/>
    <col min="5" max="5" width="83.7109375" style="283" customWidth="1"/>
  </cols>
  <sheetData>
    <row r="1" spans="1:5">
      <c r="A1" t="s">
        <v>825</v>
      </c>
      <c r="B1" t="str">
        <f ca="1">SUBSTITUTE(_xlfn.TEXTJOIN(" AND ",TRUE,COLHELPER!BR2:BR150),"$eq"," = ")</f>
        <v>lake_arrival_date='[:date_yyyy_mm_dd]'</v>
      </c>
      <c r="C1">
        <f ca="1">COLHELPER_NUMBER_OF_PARTITION_COLUMNS</f>
        <v>1</v>
      </c>
    </row>
    <row r="2" spans="1:5">
      <c r="A2" t="s">
        <v>826</v>
      </c>
      <c r="B2" t="str">
        <f ca="1">_xlfn.TEXTJOIN(" AND ",TRUE,COLHELPER!BT2:BT150)</f>
        <v>lake_arrival_date='2023-11-01'</v>
      </c>
    </row>
    <row r="3" spans="1:5">
      <c r="A3" t="s">
        <v>827</v>
      </c>
      <c r="B3" t="str">
        <f ca="1">_xlfn.TEXTJOIN(" AND ",TRUE,COLHELPER!BU2:BU150)</f>
        <v>lake_arrival_date=2023-11-01</v>
      </c>
    </row>
    <row r="4" spans="1:5">
      <c r="A4" t="s">
        <v>828</v>
      </c>
      <c r="B4" t="str">
        <f>Options!B28</f>
        <v>uc0039-vgcs-odl-prod</v>
      </c>
    </row>
    <row r="5" spans="1:5">
      <c r="A5" t="s">
        <v>829</v>
      </c>
      <c r="B5" t="str">
        <f>HELPER!B34 &amp; "/"</f>
        <v>s3://uc0039-vgcs-odl-prod/db/factVCSSLast90/</v>
      </c>
    </row>
    <row r="6" spans="1:5">
      <c r="A6" t="s">
        <v>830</v>
      </c>
      <c r="B6" t="str">
        <f ca="1">_xlfn.TEXTJOIN("/",TRUE,COLHELPER!BS2:BS150)</f>
        <v>lake_arrival_date=[:date_yyyy_mm_dd]</v>
      </c>
    </row>
    <row r="7" spans="1:5">
      <c r="A7" t="s">
        <v>831</v>
      </c>
      <c r="B7" t="str">
        <f ca="1">SUBSTITUTE(HELPER!B136,"$eq"," = ")</f>
        <v>db/factVCSSLast90/lake_arrival_date=[:date_yyyy_mm_dd]</v>
      </c>
    </row>
    <row r="8" spans="1:5">
      <c r="A8" t="s">
        <v>832</v>
      </c>
      <c r="C8" t="s">
        <v>833</v>
      </c>
      <c r="D8" s="123" t="s">
        <v>834</v>
      </c>
      <c r="E8" t="s">
        <v>835</v>
      </c>
    </row>
    <row r="9" spans="1:5" ht="409.5" customHeight="1">
      <c r="A9" s="285" t="s">
        <v>836</v>
      </c>
      <c r="B9" s="285" t="str">
        <f ca="1">"UNLOAD(SELECT "&amp;HELPER!B15&amp;" FROM "&amp;HELPER!B129&amp;IF(B1="","","  WHERE "&amp;B1)&amp;") TO  '"&amp;B5&amp;B6&amp;"' WITH (format='parquet'"&amp;")"</f>
        <v>UNLOAD(SELECT wkVehicle, has_communicated_last_90_days, lake_arrival_date FROM uc0039.source_factVCSSLast90_[:date_yyyymmdd]_v   WHERE lake_arrival_date='[:date_yyyy_mm_dd]') TO  's3://uc0039-vgcs-odl-prod/db/factVCSSLast90/lake_arrival_date=[:date_yyyy_mm_dd]' WITH (format='parquet')</v>
      </c>
      <c r="C9" s="10" t="str">
        <f ca="1">"UNLOAD(SELECT "&amp;HELPER!B15&amp;" FROM "&amp;HELPER!C129&amp;IF(B1="","","  WHERE "&amp;B2)&amp;") TO  '"&amp;B5&amp;B3&amp;"' WITH (format='parquet'"&amp;")"</f>
        <v>UNLOAD(SELECT wkVehicle, has_communicated_last_90_days, lake_arrival_date FROM uc0039.source_factVCSSLast90_20231101_v   WHERE lake_arrival_date='2023-11-01') TO  's3://uc0039-vgcs-odl-prod/db/factVCSSLast90/lake_arrival_date=2023-11-01' WITH (format='parquet')</v>
      </c>
    </row>
    <row r="10" spans="1:5">
      <c r="A10" t="s">
        <v>837</v>
      </c>
      <c r="B10" t="str">
        <f>"DROP TABLE IF EXISTS " &amp; HELPER!B133</f>
        <v>DROP TABLE IF EXISTS uc0039.factVCSSLast90</v>
      </c>
    </row>
    <row r="11" spans="1:5" ht="407.25" customHeight="1" thickBot="1">
      <c r="A11" s="220" t="s">
        <v>838</v>
      </c>
      <c r="B11" s="285" t="str">
        <f ca="1">"CREATE EXTERNAL TABLE IF NOT EXISTS  " &amp; HELPER!B133 &amp; "(" &amp; HELPER!B59 &amp; ") " &amp; HELPER!B27 &amp; " " &amp; B25</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C11" s="285" t="str">
        <f ca="1">IF(B1="","", "ALTER TABLE " &amp; HELPER!B133 &amp; " ADD IF NOT EXISTS PARTITION  (" &amp; B1 &amp; ")")</f>
        <v>ALTER TABLE uc0039.factVCSSLast90 ADD IF NOT EXISTS PARTITION  (lake_arrival_date='[:date_yyyy_mm_dd]')</v>
      </c>
      <c r="D11" s="285" t="str">
        <f ca="1">IF(B1="","","ALTER TABLE " &amp; HELPER!B133 &amp; " ADD IF NOT EXISTS PARTITION  (" &amp; B2 &amp; ")")</f>
        <v>ALTER TABLE uc0039.factVCSSLast90 ADD IF NOT EXISTS PARTITION  (lake_arrival_date='2023-11-01')</v>
      </c>
      <c r="E11" s="285" t="str">
        <f ca="1">"CREATE EXTERNAL TABLE IF NOT EXISTS  " &amp; HELPER!B192 &amp; "(" &amp; HELPER!B59 &amp; ") " &amp; HELPER!B27 &amp; " " &amp; B25</f>
        <v>CREATE EXTERNAL TABLE IF NOT EXISTS  raw_tracking.raw_tracking(wkVehicle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row r="12" spans="1:5">
      <c r="A12" s="57" t="s">
        <v>839</v>
      </c>
      <c r="B12" s="120" t="s">
        <v>491</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840</v>
      </c>
      <c r="B14" s="121" t="s">
        <v>493</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841</v>
      </c>
      <c r="B16" s="121" t="s">
        <v>495</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486</v>
      </c>
      <c r="B18" t="str">
        <f>HELPER!B34 &amp; "/"</f>
        <v>s3://uc0039-vgcs-odl-prod/db/factVCSSLast90/</v>
      </c>
      <c r="C18" t="str">
        <f t="shared" si="0"/>
        <v>'s3://uc0039-vgcs-odl-prod/db/factVCSSLast90/'</v>
      </c>
      <c r="D18" s="65" t="str">
        <f t="shared" si="1"/>
        <v>LOCATION 's3://uc0039-vgcs-odl-prod/db/factVCSSLast90/'</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842</v>
      </c>
      <c r="B25" s="285" t="str">
        <f>_xlfn.TEXTJOIN(" ",TRUE,D12:D22)</f>
        <v>ROW FORMAT SERDE 'org.apache.hadoop.hive.ql.io.parquet.serde.ParquetHiveSerDe' STORED AS INPUTFORMAT 'org.apache.hadoop.hive.ql.io.parquet.MapredParquetInputFormat' OUTPUTFORMAT 'org.apache.hadoop.hive.ql.io.parquet.MapredParquetOutputFormat' LOCATION 's3://uc0039-vgcs-odl-prod/db/factVCSSLast90/'</v>
      </c>
    </row>
    <row r="29" spans="1:5" ht="201" customHeight="1">
      <c r="A29" s="285" t="s">
        <v>843</v>
      </c>
      <c r="B29" s="285" t="str">
        <f ca="1">"UNLOAD(SELECT "&amp;HELPER!B172&amp;" FROM ("&amp;'Custom Source View'!A2 &amp; ")" &amp;    IF(B1="","","  WHERE "&amp;B1)&amp;") TO  '"&amp;B5&amp;B6&amp;"' WITH (format='parquet'"&amp;")"</f>
        <v>UNLOAD(SELECT wkVehicle AS wkVehicle, 1 AS has_communicated_last_90_days AS has_communicated_last_90_days, lake_arrival_date AS lake_arrival_date FROM ()  WHERE lake_arrival_date='[:date_yyyy_mm_dd]') TO  's3://uc0039-vgcs-odl-prod/db/factVCSSLast90/lake_arrival_date=[:date_yyyy_mm_dd]' WITH (format='parquet')</v>
      </c>
    </row>
    <row r="31" spans="1:5">
      <c r="A31" t="s">
        <v>844</v>
      </c>
      <c r="B31" t="str">
        <f ca="1">_xlfn.TEXTJOIN(" AND ",TRUE,COLHELPER!BR2:BR150)</f>
        <v>lake_arrival_date='[:date_yyyy_mm_dd]'</v>
      </c>
    </row>
    <row r="32" spans="1:5">
      <c r="A32" t="s">
        <v>845</v>
      </c>
      <c r="B32" t="str">
        <f ca="1">_xlfn.TEXTJOIN(" AND ",TRUE,COLHELPER!BT2:BT150)</f>
        <v>lake_arrival_date='2023-11-01'</v>
      </c>
    </row>
    <row r="33" spans="1:2">
      <c r="A33" t="s">
        <v>816</v>
      </c>
      <c r="B33" t="str">
        <f ca="1">"SELECT COUNT(*) FROM " &amp; HELPER!B133 &amp;   IF(COLHELPER_NUMBER_OF_PARTITION_COLUMNS&gt;0, " WHERE " &amp; B31,"")</f>
        <v>SELECT COUNT(*) FROM uc0039.factVCSSLast90 WHERE lake_arrival_date='[:date_yyyy_mm_dd]'</v>
      </c>
    </row>
    <row r="34" spans="1:2">
      <c r="A34" t="s">
        <v>846</v>
      </c>
      <c r="B34" t="str">
        <f ca="1">"SELECT COUNT(*) FROM " &amp; HELPER!B133 &amp; IF(B32="","", " WHERE " &amp; B32)</f>
        <v>SELECT COUNT(*) FROM uc0039.factVCSSLast90 WHERE lake_arrival_date='2023-11-01'</v>
      </c>
    </row>
    <row r="43" spans="1:2">
      <c r="A43" t="s">
        <v>568</v>
      </c>
    </row>
    <row r="44" spans="1:2">
      <c r="A44" t="s">
        <v>486</v>
      </c>
    </row>
    <row r="45" spans="1:2">
      <c r="A45" t="s">
        <v>847</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5" customWidth="1"/>
    <col min="2" max="2" width="123.28515625" style="285" customWidth="1"/>
    <col min="3" max="3" width="17.5703125" style="285" customWidth="1"/>
    <col min="4" max="8" width="9.140625" style="285" customWidth="1"/>
    <col min="9" max="16384" width="9.140625" style="285"/>
  </cols>
  <sheetData>
    <row r="1" spans="1:3">
      <c r="A1" s="285" t="s">
        <v>848</v>
      </c>
      <c r="C1" s="285">
        <v>1</v>
      </c>
    </row>
    <row r="2" spans="1:3" ht="30" customHeight="1">
      <c r="A2" s="285" t="s">
        <v>849</v>
      </c>
      <c r="B2" s="285" t="str">
        <f>HELPER!C4</f>
        <v>uc0039.factVCSSLast90_tmp</v>
      </c>
      <c r="C2" s="285" t="str">
        <f>"/" &amp; Options!B25 &amp; "-" &amp; C1</f>
        <v>/factVCSSLast90-1</v>
      </c>
    </row>
    <row r="3" spans="1:3" ht="30" customHeight="1">
      <c r="A3" s="285" t="s">
        <v>850</v>
      </c>
      <c r="B3" s="285" t="str">
        <f>HELPER!B4</f>
        <v>uc0039.factVCSSLast90</v>
      </c>
      <c r="C3" s="285" t="str">
        <f>"/" &amp;Options!B25</f>
        <v>/factVCSSLast90</v>
      </c>
    </row>
    <row r="4" spans="1:3" ht="227.25" customHeight="1">
      <c r="A4" s="285" t="s">
        <v>851</v>
      </c>
      <c r="B4" s="285" t="str">
        <f ca="1">SUBSTITUTE(SUBSTITUTE('OUTPUT ICEBERG'!C17,B3,B2),C3,C2)</f>
        <v>CREATE TABLE IF NOT EXISTS  uc0039.factVCSSLast90_tmp(wkVehicle bigint, has_communicated_last_90_days bigint, lake_arrival_date string,hashkey string, load_date  Timestamp, last_modified_timestamp  TimestampFALSE) PARTITIONED BY (lake_arrival_date)   LOCATION 's3://uc0039-vgcs-odl-prod/db/factVCSSLast90-1' TBLPROPERTIES ( 'vacuum_max_snapshot_age_seconds' = '259200', 'optimize_rewrite_delete_file_threshold' = '50', 'write_target_data_file_size_bytes' = '536870912','table_type'='iceberg','format'='parquet')</v>
      </c>
    </row>
    <row r="5" spans="1:3" ht="225.75" customHeight="1">
      <c r="A5" s="285" t="s">
        <v>852</v>
      </c>
      <c r="B5" s="285" t="str">
        <f>SUBSTITUTE( 'OUTPUT ICEBERG'!C18,B3,B2)</f>
        <v/>
      </c>
    </row>
    <row r="6" spans="1:3" ht="316.5" customHeight="1">
      <c r="A6" s="285" t="s">
        <v>853</v>
      </c>
      <c r="B6" s="285" t="str">
        <f ca="1">SUBSTITUTE( 'OUTPUT ICEBERG'!C19,B3,B2)</f>
        <v>MERGE INTO uc0039.factVCSSLast90_tmp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row>
    <row r="7" spans="1:3" ht="96.75" customHeight="1">
      <c r="A7" s="285" t="s">
        <v>854</v>
      </c>
      <c r="B7" s="285" t="str">
        <f>"UPDATE " &amp; B2 &amp; " SET iscurrent=1"</f>
        <v>UPDATE uc0039.factVCSSLast90_tmp SET iscurrent=1</v>
      </c>
    </row>
    <row r="8" spans="1:3" ht="112.5" customHeight="1">
      <c r="A8" s="285" t="s">
        <v>855</v>
      </c>
      <c r="B8" s="285" t="str">
        <f ca="1">"MERGE INTO " &amp;B2 &amp; " trg 
USING (select * from " &amp;  B3&amp; " where iscurrent=1) src
    ON ( " &amp; HELPER!B56 &amp; ")
    WHEN MATCHED
        THEN UPDATE SET trg." &amp; HELPER!B21 &amp; " = src." &amp; HELPER!B21</f>
        <v>MERGE INTO uc0039.factVCSSLast90_tmp trg 
USING (select * from uc0039.factVCSSLast90 where iscurrent=1) src
    ON ( trg.wkVehicle = src.wkVehicle)
    WHEN MATCHED
        THEN UPDATE SET trg. = src.</v>
      </c>
    </row>
    <row r="9" spans="1:3">
      <c r="A9" s="285" t="s">
        <v>856</v>
      </c>
      <c r="B9" s="285" t="str">
        <f>'OUTPUT ICEBERG'!C14</f>
        <v>drop table if exists uc0039.factVCSSLast90</v>
      </c>
    </row>
    <row r="10" spans="1:3" ht="15.75" customHeight="1">
      <c r="A10" s="285" t="s">
        <v>857</v>
      </c>
      <c r="B10" s="193" t="str">
        <f>"ALTER TABLE " &amp; Options!B4 &amp; "." &amp; B2 &amp;  " RENAME TO " &amp; Options!B4 &amp; "." &amp; Options!B25</f>
        <v>ALTER TABLE uc0039.uc0039.factVCSSLast90_tmp RENAME TO uc0039.factVCSSLast90</v>
      </c>
    </row>
    <row r="14" spans="1:3" ht="21.75" customHeight="1">
      <c r="A14" s="285" t="s">
        <v>858</v>
      </c>
      <c r="B14" s="285" t="s">
        <v>859</v>
      </c>
    </row>
    <row r="15" spans="1:3">
      <c r="A15" s="285" t="s">
        <v>860</v>
      </c>
      <c r="B15" s="285" t="s">
        <v>861</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3" bestFit="1" customWidth="1"/>
    <col min="2" max="2" width="24" style="283" customWidth="1"/>
  </cols>
  <sheetData>
    <row r="1" spans="1:2">
      <c r="A1" s="128" t="s">
        <v>862</v>
      </c>
      <c r="B1" s="128" t="s">
        <v>863</v>
      </c>
    </row>
    <row r="2" spans="1:2">
      <c r="A2" t="s">
        <v>864</v>
      </c>
      <c r="B2" s="123" t="s">
        <v>865</v>
      </c>
    </row>
    <row r="3" spans="1:2">
      <c r="A3" t="s">
        <v>866</v>
      </c>
      <c r="B3" s="123" t="s">
        <v>867</v>
      </c>
    </row>
    <row r="4" spans="1:2">
      <c r="A4" t="s">
        <v>868</v>
      </c>
      <c r="B4" s="99">
        <f ca="1">NOW()</f>
        <v>45316.781638425928</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5" customWidth="1"/>
    <col min="2" max="2" width="134.42578125" style="285" customWidth="1"/>
    <col min="3" max="3" width="54.28515625" style="285" customWidth="1"/>
    <col min="4" max="8" width="9.140625" style="285" customWidth="1"/>
    <col min="9" max="16384" width="9.140625" style="285"/>
  </cols>
  <sheetData>
    <row r="1" spans="1:3">
      <c r="A1" s="24" t="s">
        <v>869</v>
      </c>
      <c r="B1" s="24" t="s">
        <v>870</v>
      </c>
      <c r="C1" s="24" t="s">
        <v>871</v>
      </c>
    </row>
    <row r="2" spans="1:3">
      <c r="A2" s="285" t="s">
        <v>872</v>
      </c>
      <c r="B2" s="285" t="str">
        <f>"SELECT * FROM " &amp; HELPER!B133 &amp; " limit 10"</f>
        <v>SELECT * FROM uc0039.factVCSSLast90 limit 10</v>
      </c>
    </row>
    <row r="3" spans="1:3">
      <c r="A3" s="285" t="s">
        <v>873</v>
      </c>
      <c r="B3" s="285" t="str">
        <f>"SELECT * FROM " &amp;HELPER!B129 &amp; " limit 10"</f>
        <v>SELECT * FROM uc0039.source_factVCSSLast90_[:date_yyyymmdd]_v  limit 10</v>
      </c>
    </row>
    <row r="4" spans="1:3">
      <c r="B4" s="285" t="str">
        <f>"SELECT * FROM "&amp;HELPER!B133&amp;" WHERE ..... limit10"</f>
        <v>SELECT * FROM uc0039.factVCSSLast90 WHERE ..... limit10</v>
      </c>
    </row>
    <row r="6" spans="1:3">
      <c r="A6" s="285" t="s">
        <v>874</v>
      </c>
      <c r="B6" s="285" t="str">
        <f>"DESCRIBE " &amp; HELPER!B125</f>
        <v>DESCRIBE staged.conrepo_activationdtp_p</v>
      </c>
    </row>
    <row r="7" spans="1:3">
      <c r="C7" s="19"/>
    </row>
    <row r="8" spans="1:3">
      <c r="A8" s="285" t="s">
        <v>875</v>
      </c>
      <c r="B8" s="285" t="str">
        <f>"SELECT " &amp; Options!B44 &amp; ", count(*) AS NumberOfRecords FROM " &amp; HELPER!B133 &amp; " GROUP BY " &amp; Options!B44</f>
        <v>SELECT load_date, count(*) AS NumberOfRecords FROM uc0039.factVCSSLast90 GROUP BY load_date</v>
      </c>
    </row>
    <row r="9" spans="1:3" ht="30" customHeight="1">
      <c r="A9" s="285" t="s">
        <v>876</v>
      </c>
      <c r="B9" s="285" t="str">
        <f>"SELECT " &amp; Options!B13 &amp; ", count(*) AS NumberOfRecords FROM " &amp; HELPER!B133 &amp; " GROUP BY " &amp; Options!B13 &amp; " ORDER BY "  &amp;Options!B13 &amp; " DESC"</f>
        <v>SELECT read_out_date, count(*) AS NumberOfRecords FROM uc0039.factVCSSLast90 GROUP BY read_out_date ORDER BY read_out_date DESC</v>
      </c>
    </row>
    <row r="18" spans="1:3" ht="119.25" customHeight="1">
      <c r="A18" s="285" t="str">
        <f>HELPER!A171</f>
        <v>COPY ICEBERG DATA BY UNLOADING IT TO A NEW LOCATION</v>
      </c>
      <c r="B18" s="143" t="str">
        <f ca="1">HELPER!B171</f>
        <v>UNLOAD (select wkVehicle, has_communicated_last_90_days, lake_arrival_date,CAST(load_date AS timestamp) AS load_date, hashkey FROM uc0039.factVCSSLast90) TO 's3://uc0039-vgcs-odl-prod/db/factVCSSLast90_parquet' WITH (format='parquet')</v>
      </c>
      <c r="C18" s="285" t="s">
        <v>877</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3" customWidth="1"/>
  </cols>
  <sheetData>
    <row r="1" spans="1:2">
      <c r="B1" s="99">
        <v>45063</v>
      </c>
    </row>
    <row r="2" spans="1:2" ht="21" customHeight="1">
      <c r="A2" s="114">
        <v>1</v>
      </c>
      <c r="B2" s="112" t="s">
        <v>878</v>
      </c>
    </row>
    <row r="4" spans="1:2">
      <c r="A4">
        <v>1</v>
      </c>
      <c r="B4" s="130" t="s">
        <v>879</v>
      </c>
    </row>
    <row r="5" spans="1:2" ht="150" customHeight="1">
      <c r="B5" s="285" t="s">
        <v>880</v>
      </c>
    </row>
    <row r="7" spans="1:2">
      <c r="A7" s="130">
        <v>2</v>
      </c>
      <c r="B7" s="130" t="s">
        <v>881</v>
      </c>
    </row>
    <row r="8" spans="1:2" ht="172.5" customHeight="1">
      <c r="B8" s="285" t="s">
        <v>882</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883</v>
      </c>
    </row>
    <row r="4" spans="1:2">
      <c r="A4">
        <v>1</v>
      </c>
      <c r="B4" s="130" t="s">
        <v>884</v>
      </c>
    </row>
    <row r="5" spans="1:2" ht="181.5" customHeight="1">
      <c r="B5" s="285" t="s">
        <v>885</v>
      </c>
    </row>
    <row r="6" spans="1:2">
      <c r="A6">
        <v>2</v>
      </c>
      <c r="B6" s="130" t="s">
        <v>886</v>
      </c>
    </row>
    <row r="7" spans="1:2" ht="222.75" customHeight="1">
      <c r="B7" s="285" t="s">
        <v>887</v>
      </c>
    </row>
    <row r="8" spans="1:2">
      <c r="A8">
        <v>3</v>
      </c>
      <c r="B8" s="130"/>
    </row>
    <row r="9" spans="1:2" ht="152.25" customHeight="1">
      <c r="B9" s="285"/>
    </row>
    <row r="11" spans="1:2">
      <c r="A11">
        <v>4</v>
      </c>
      <c r="B11" s="130" t="s">
        <v>888</v>
      </c>
    </row>
    <row r="12" spans="1:2" ht="124.5" customHeight="1">
      <c r="B12" s="285"/>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603</v>
      </c>
    </row>
    <row r="4" spans="1:2">
      <c r="A4">
        <v>1</v>
      </c>
      <c r="B4" s="130" t="s">
        <v>889</v>
      </c>
    </row>
    <row r="5" spans="1:2" ht="181.5" customHeight="1">
      <c r="B5" s="285" t="s">
        <v>890</v>
      </c>
    </row>
    <row r="6" spans="1:2">
      <c r="A6">
        <v>2</v>
      </c>
      <c r="B6" s="130" t="s">
        <v>143</v>
      </c>
    </row>
    <row r="7" spans="1:2" ht="222.75" customHeight="1">
      <c r="B7" s="285" t="s">
        <v>891</v>
      </c>
    </row>
    <row r="8" spans="1:2">
      <c r="A8">
        <v>3</v>
      </c>
      <c r="B8" s="130" t="s">
        <v>892</v>
      </c>
    </row>
    <row r="9" spans="1:2" ht="152.25" customHeight="1">
      <c r="B9" s="285" t="s">
        <v>893</v>
      </c>
    </row>
    <row r="11" spans="1:2">
      <c r="A11">
        <v>4</v>
      </c>
      <c r="B11" s="130" t="s">
        <v>894</v>
      </c>
    </row>
    <row r="12" spans="1:2" ht="124.5" customHeight="1">
      <c r="B12" s="285" t="s">
        <v>895</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196</v>
      </c>
    </row>
    <row r="4" spans="1:2">
      <c r="A4">
        <v>1</v>
      </c>
      <c r="B4" s="130" t="s">
        <v>896</v>
      </c>
    </row>
    <row r="5" spans="1:2" ht="181.5" customHeight="1">
      <c r="B5" s="285" t="s">
        <v>897</v>
      </c>
    </row>
    <row r="6" spans="1:2">
      <c r="A6">
        <v>2</v>
      </c>
      <c r="B6" s="130" t="s">
        <v>898</v>
      </c>
    </row>
    <row r="7" spans="1:2" ht="222.75" customHeight="1">
      <c r="B7" s="285"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899</v>
      </c>
    </row>
    <row r="9" spans="1:2" ht="152.25" customHeight="1">
      <c r="B9" s="285"/>
    </row>
    <row r="11" spans="1:2">
      <c r="A11">
        <v>4</v>
      </c>
      <c r="B11" s="130" t="s">
        <v>888</v>
      </c>
    </row>
    <row r="12" spans="1:2" ht="124.5" customHeight="1">
      <c r="B12" s="285"/>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3" customWidth="1"/>
    <col min="2" max="2" width="48.28515625" style="283" customWidth="1"/>
    <col min="3" max="3" width="131.5703125" style="283" bestFit="1" customWidth="1"/>
  </cols>
  <sheetData>
    <row r="1" spans="1:3">
      <c r="A1" s="30" t="s">
        <v>900</v>
      </c>
      <c r="B1" s="30" t="s">
        <v>901</v>
      </c>
      <c r="C1" s="30" t="s">
        <v>211</v>
      </c>
    </row>
    <row r="2" spans="1:3" ht="60" customHeight="1">
      <c r="A2" s="220" t="s">
        <v>902</v>
      </c>
      <c r="B2" s="220" t="s">
        <v>699</v>
      </c>
      <c r="C2" s="285" t="s">
        <v>903</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20" customWidth="1"/>
    <col min="3" max="3" width="138.140625" style="220" customWidth="1"/>
    <col min="4" max="8" width="9.140625" style="220" customWidth="1"/>
    <col min="9" max="16384" width="9.140625" style="220"/>
  </cols>
  <sheetData>
    <row r="1" spans="1:3" ht="409.5" customHeight="1">
      <c r="A1" s="220" t="s">
        <v>904</v>
      </c>
      <c r="B1" s="220" t="s">
        <v>905</v>
      </c>
      <c r="C1" s="285" t="s">
        <v>906</v>
      </c>
    </row>
    <row r="2" spans="1:3" ht="91.5" customHeight="1">
      <c r="A2" s="220" t="s">
        <v>905</v>
      </c>
      <c r="C2" s="285" t="s">
        <v>907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147</vt:i4>
      </vt:variant>
    </vt:vector>
  </HeadingPairs>
  <TitlesOfParts>
    <vt:vector size="196"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OUTPUT EXTERNAL</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REPLACE_SELECT_STAR_FROM_SOURCE_TABLE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2024-01-25T17:45:38Z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