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-20" windowWidth="13920" windowHeight="21220" tabRatio="500" firstSheet="2" activeTab="2"/>
  </bookViews>
  <sheets>
    <sheet name="Cover and Condition Names" sheetId="6" r:id="rId1"/>
    <sheet name="TPI" sheetId="5" r:id="rId2"/>
    <sheet name="Fire Probs (simple)" sheetId="10" r:id="rId3"/>
    <sheet name="Age at Transition (simple)" sheetId="11" r:id="rId4"/>
    <sheet name="Fire Probs (detailed)" sheetId="2" r:id="rId5"/>
    <sheet name="Age at Transition (detailed)" sheetId="4" r:id="rId6"/>
  </sheets>
  <definedNames>
    <definedName name="_xlnm._FilterDatabase" localSheetId="4" hidden="1">'Fire Probs (detailed)'!$A$1:$Q$163</definedName>
    <definedName name="_xlnm._FilterDatabase" localSheetId="2" hidden="1">'Fire Probs (simple)'!$A$1:$B$130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9" i="2" l="1"/>
  <c r="D152" i="2"/>
  <c r="X158" i="2"/>
  <c r="F77" i="11"/>
  <c r="K73" i="11"/>
  <c r="F25" i="11"/>
  <c r="F21" i="11"/>
  <c r="F26" i="11"/>
  <c r="Q168" i="2"/>
  <c r="W168" i="2"/>
  <c r="J77" i="11"/>
  <c r="K77" i="11"/>
  <c r="AB85" i="4"/>
  <c r="AA85" i="4"/>
  <c r="Z85" i="4"/>
  <c r="J113" i="11"/>
  <c r="I91" i="11"/>
  <c r="K91" i="11"/>
  <c r="J147" i="11"/>
  <c r="F147" i="11"/>
  <c r="J146" i="11"/>
  <c r="F146" i="11"/>
  <c r="F145" i="11"/>
  <c r="J144" i="11"/>
  <c r="J143" i="11"/>
  <c r="F141" i="11"/>
  <c r="F140" i="11"/>
  <c r="F138" i="11"/>
  <c r="J137" i="11"/>
  <c r="F137" i="11"/>
  <c r="J136" i="11"/>
  <c r="F136" i="11"/>
  <c r="F135" i="11"/>
  <c r="J134" i="11"/>
  <c r="J133" i="11"/>
  <c r="F131" i="11"/>
  <c r="J130" i="11"/>
  <c r="I130" i="11"/>
  <c r="F130" i="11"/>
  <c r="J129" i="11"/>
  <c r="F129" i="11"/>
  <c r="F128" i="11"/>
  <c r="J127" i="11"/>
  <c r="I127" i="11"/>
  <c r="J126" i="11"/>
  <c r="F124" i="11"/>
  <c r="J123" i="11"/>
  <c r="F123" i="11"/>
  <c r="J122" i="11"/>
  <c r="F122" i="11"/>
  <c r="F121" i="11"/>
  <c r="J120" i="11"/>
  <c r="J119" i="11"/>
  <c r="F117" i="11"/>
  <c r="J116" i="11"/>
  <c r="I116" i="11"/>
  <c r="F116" i="11"/>
  <c r="J115" i="11"/>
  <c r="F115" i="11"/>
  <c r="F114" i="11"/>
  <c r="I113" i="11"/>
  <c r="J112" i="11"/>
  <c r="F110" i="11"/>
  <c r="F109" i="11"/>
  <c r="F108" i="11"/>
  <c r="F106" i="11"/>
  <c r="F105" i="11"/>
  <c r="J104" i="11"/>
  <c r="F104" i="11"/>
  <c r="J103" i="11"/>
  <c r="F103" i="11"/>
  <c r="F102" i="11"/>
  <c r="J101" i="11"/>
  <c r="J100" i="11"/>
  <c r="F98" i="11"/>
  <c r="F97" i="11"/>
  <c r="F95" i="11"/>
  <c r="F94" i="11"/>
  <c r="F92" i="11"/>
  <c r="J91" i="11"/>
  <c r="F91" i="11"/>
  <c r="I90" i="11"/>
  <c r="K90" i="11"/>
  <c r="J90" i="11"/>
  <c r="F90" i="11"/>
  <c r="F89" i="11"/>
  <c r="I88" i="11"/>
  <c r="K88" i="11"/>
  <c r="J88" i="11"/>
  <c r="I87" i="11"/>
  <c r="K87" i="11"/>
  <c r="J87" i="11"/>
  <c r="F85" i="11"/>
  <c r="J84" i="11"/>
  <c r="F84" i="11"/>
  <c r="J83" i="11"/>
  <c r="F83" i="11"/>
  <c r="F82" i="11"/>
  <c r="J81" i="11"/>
  <c r="J80" i="11"/>
  <c r="F78" i="11"/>
  <c r="I77" i="11"/>
  <c r="I76" i="11"/>
  <c r="K76" i="11"/>
  <c r="J76" i="11"/>
  <c r="F76" i="11"/>
  <c r="F75" i="11"/>
  <c r="I74" i="11"/>
  <c r="K74" i="11"/>
  <c r="J74" i="11"/>
  <c r="I73" i="11"/>
  <c r="J73" i="11"/>
  <c r="F71" i="11"/>
  <c r="F70" i="11"/>
  <c r="F69" i="11"/>
  <c r="F67" i="11"/>
  <c r="F66" i="11"/>
  <c r="J65" i="11"/>
  <c r="F65" i="11"/>
  <c r="J64" i="11"/>
  <c r="F64" i="11"/>
  <c r="F63" i="11"/>
  <c r="J62" i="11"/>
  <c r="J60" i="11"/>
  <c r="F59" i="11"/>
  <c r="J58" i="11"/>
  <c r="I58" i="11"/>
  <c r="F58" i="11"/>
  <c r="J57" i="11"/>
  <c r="F57" i="11"/>
  <c r="F56" i="11"/>
  <c r="J55" i="11"/>
  <c r="I55" i="11"/>
  <c r="J54" i="11"/>
  <c r="F52" i="11"/>
  <c r="J51" i="11"/>
  <c r="F51" i="11"/>
  <c r="J50" i="11"/>
  <c r="F50" i="11"/>
  <c r="F49" i="11"/>
  <c r="J48" i="11"/>
  <c r="I48" i="11"/>
  <c r="J47" i="11"/>
  <c r="F45" i="11"/>
  <c r="F44" i="11"/>
  <c r="F42" i="11"/>
  <c r="J41" i="11"/>
  <c r="F41" i="11"/>
  <c r="J40" i="11"/>
  <c r="F40" i="11"/>
  <c r="F39" i="11"/>
  <c r="J38" i="11"/>
  <c r="J37" i="11"/>
  <c r="F35" i="11"/>
  <c r="J34" i="11"/>
  <c r="F34" i="11"/>
  <c r="J33" i="11"/>
  <c r="F33" i="11"/>
  <c r="F32" i="11"/>
  <c r="J31" i="11"/>
  <c r="J30" i="11"/>
  <c r="F28" i="11"/>
  <c r="J27" i="11"/>
  <c r="F27" i="11"/>
  <c r="J26" i="11"/>
  <c r="J24" i="11"/>
  <c r="J23" i="11"/>
  <c r="F20" i="11"/>
  <c r="F18" i="11"/>
  <c r="J17" i="11"/>
  <c r="I17" i="11"/>
  <c r="F17" i="11"/>
  <c r="F16" i="11"/>
  <c r="F15" i="11"/>
  <c r="J14" i="11"/>
  <c r="I14" i="11"/>
  <c r="F11" i="11"/>
  <c r="F10" i="11"/>
  <c r="F9" i="11"/>
  <c r="F7" i="11"/>
  <c r="F6" i="11"/>
  <c r="AB81" i="4"/>
  <c r="Z81" i="4"/>
  <c r="Z95" i="4"/>
  <c r="Z98" i="4"/>
  <c r="AB98" i="4"/>
  <c r="AB95" i="4"/>
  <c r="AB99" i="4"/>
  <c r="AC99" i="4"/>
  <c r="AD84" i="4"/>
  <c r="AC84" i="4"/>
  <c r="AA84" i="4"/>
  <c r="Z96" i="4"/>
  <c r="AB96" i="4"/>
  <c r="Z99" i="4"/>
  <c r="Z82" i="4"/>
  <c r="AB82" i="4"/>
  <c r="Z84" i="4"/>
  <c r="AB84" i="4"/>
  <c r="AA46" i="4"/>
  <c r="AA45" i="4"/>
  <c r="AA49" i="4"/>
  <c r="AA48" i="4"/>
  <c r="AA39" i="4"/>
  <c r="AA38" i="4"/>
  <c r="AA42" i="4"/>
  <c r="AA41" i="4"/>
  <c r="AA32" i="4"/>
  <c r="AA31" i="4"/>
  <c r="AA35" i="4"/>
  <c r="AA34" i="4"/>
  <c r="AA156" i="4"/>
  <c r="AA155" i="4"/>
  <c r="AA159" i="4"/>
  <c r="AA158" i="4"/>
  <c r="AA146" i="4"/>
  <c r="AA145" i="4"/>
  <c r="AA149" i="4"/>
  <c r="AA148" i="4"/>
  <c r="AA139" i="4"/>
  <c r="AA138" i="4"/>
  <c r="AA142" i="4"/>
  <c r="AA141" i="4"/>
  <c r="AA132" i="4"/>
  <c r="AA131" i="4"/>
  <c r="AA135" i="4"/>
  <c r="AA134" i="4"/>
  <c r="AA125" i="4"/>
  <c r="AA124" i="4"/>
  <c r="AA128" i="4"/>
  <c r="AA127" i="4"/>
  <c r="AA113" i="4"/>
  <c r="AA112" i="4"/>
  <c r="AA116" i="4"/>
  <c r="AA115" i="4"/>
  <c r="AA96" i="4"/>
  <c r="AA95" i="4"/>
  <c r="AA99" i="4"/>
  <c r="AA98" i="4"/>
  <c r="AA89" i="4"/>
  <c r="AA88" i="4"/>
  <c r="AA92" i="4"/>
  <c r="AA91" i="4"/>
  <c r="AA82" i="4"/>
  <c r="AA81" i="4"/>
  <c r="AA70" i="4"/>
  <c r="AA68" i="4"/>
  <c r="AA73" i="4"/>
  <c r="AA72" i="4"/>
  <c r="AA63" i="4"/>
  <c r="AA62" i="4"/>
  <c r="AA66" i="4"/>
  <c r="AA65" i="4"/>
  <c r="AA56" i="4"/>
  <c r="AA55" i="4"/>
  <c r="AA59" i="4"/>
  <c r="AA58" i="4"/>
  <c r="AA18" i="4"/>
  <c r="AA21" i="4"/>
  <c r="Z139" i="4"/>
  <c r="Z142" i="4"/>
  <c r="Z125" i="4"/>
  <c r="Z128" i="4"/>
  <c r="Z63" i="4"/>
  <c r="Z66" i="4"/>
  <c r="Z56" i="4"/>
  <c r="Z21" i="4"/>
  <c r="Z18" i="4"/>
  <c r="W14" i="4"/>
  <c r="W78" i="4"/>
  <c r="W152" i="4"/>
  <c r="W121" i="4"/>
  <c r="W71" i="4"/>
  <c r="W72" i="4"/>
  <c r="W73" i="4"/>
  <c r="W60" i="4"/>
  <c r="W64" i="4"/>
  <c r="W65" i="4"/>
  <c r="W66" i="4"/>
  <c r="W57" i="4"/>
  <c r="W58" i="4"/>
  <c r="W59" i="4"/>
  <c r="W19" i="4"/>
  <c r="W20" i="4"/>
  <c r="W21" i="4"/>
  <c r="W15" i="4"/>
  <c r="W53" i="4"/>
  <c r="W67" i="4"/>
  <c r="W153" i="4"/>
  <c r="W157" i="4"/>
  <c r="W158" i="4"/>
  <c r="W159" i="4"/>
  <c r="W122" i="4"/>
  <c r="W110" i="4"/>
  <c r="W114" i="4"/>
  <c r="W115" i="4"/>
  <c r="W116" i="4"/>
  <c r="W97" i="4"/>
  <c r="W98" i="4"/>
  <c r="W99" i="4"/>
  <c r="W90" i="4"/>
  <c r="W91" i="4"/>
  <c r="W92" i="4"/>
  <c r="W83" i="4"/>
  <c r="W84" i="4"/>
  <c r="W85" i="4"/>
  <c r="W79" i="4"/>
  <c r="W86" i="4"/>
  <c r="W93" i="4"/>
  <c r="W126" i="4"/>
  <c r="W127" i="4"/>
  <c r="W128" i="4"/>
  <c r="W148" i="4"/>
  <c r="W149" i="4"/>
  <c r="W147" i="4"/>
  <c r="W143" i="4"/>
  <c r="W140" i="4"/>
  <c r="W141" i="4"/>
  <c r="W142" i="4"/>
  <c r="W133" i="4"/>
  <c r="W134" i="4"/>
  <c r="W135" i="4"/>
  <c r="W129" i="4"/>
  <c r="W136" i="4"/>
  <c r="W29" i="4"/>
  <c r="W42" i="4"/>
  <c r="W40" i="4"/>
  <c r="W41" i="4"/>
  <c r="W36" i="4"/>
  <c r="W47" i="4"/>
  <c r="W48" i="4"/>
  <c r="W49" i="4"/>
  <c r="W43" i="4"/>
  <c r="W33" i="4"/>
  <c r="W34" i="4"/>
  <c r="W35" i="4"/>
  <c r="W52" i="4"/>
  <c r="W50" i="4"/>
  <c r="W150" i="4"/>
  <c r="W118" i="4"/>
  <c r="W120" i="4"/>
  <c r="W117" i="4"/>
  <c r="W109" i="4"/>
  <c r="W107" i="4"/>
  <c r="W105" i="4"/>
  <c r="W100" i="4"/>
  <c r="W75" i="4"/>
  <c r="W77" i="4"/>
  <c r="W74" i="4"/>
  <c r="W27" i="4"/>
  <c r="W22" i="4"/>
  <c r="W13" i="4"/>
  <c r="W11" i="4"/>
  <c r="W10" i="4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L159" i="2"/>
  <c r="L160" i="2"/>
  <c r="L161" i="2"/>
  <c r="L162" i="2"/>
  <c r="L163" i="2"/>
  <c r="L164" i="2"/>
  <c r="L165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E160" i="2"/>
  <c r="E161" i="2"/>
  <c r="E162" i="2"/>
  <c r="E163" i="2"/>
  <c r="E164" i="2"/>
  <c r="E165" i="2"/>
  <c r="U119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L120" i="2"/>
  <c r="L121" i="2"/>
  <c r="L122" i="2"/>
  <c r="L123" i="2"/>
  <c r="L124" i="2"/>
  <c r="L125" i="2"/>
  <c r="L119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E120" i="2"/>
  <c r="E121" i="2"/>
  <c r="E122" i="2"/>
  <c r="E123" i="2"/>
  <c r="E124" i="2"/>
  <c r="E125" i="2"/>
  <c r="E119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E88" i="2"/>
  <c r="E89" i="2"/>
  <c r="E90" i="2"/>
  <c r="E91" i="2"/>
  <c r="E92" i="2"/>
  <c r="E93" i="2"/>
  <c r="E87" i="2"/>
  <c r="N88" i="2"/>
  <c r="N89" i="2"/>
  <c r="N90" i="2"/>
  <c r="N91" i="2"/>
  <c r="N92" i="2"/>
  <c r="N93" i="2"/>
  <c r="N87" i="2"/>
  <c r="M88" i="2"/>
  <c r="M89" i="2"/>
  <c r="M90" i="2"/>
  <c r="M91" i="2"/>
  <c r="M92" i="2"/>
  <c r="M93" i="2"/>
  <c r="M87" i="2"/>
  <c r="L88" i="2"/>
  <c r="L89" i="2"/>
  <c r="L90" i="2"/>
  <c r="L91" i="2"/>
  <c r="L92" i="2"/>
  <c r="L93" i="2"/>
  <c r="L87" i="2"/>
  <c r="V72" i="2"/>
  <c r="U71" i="2"/>
  <c r="L71" i="2"/>
  <c r="N72" i="2"/>
  <c r="N73" i="2"/>
  <c r="N74" i="2"/>
  <c r="N75" i="2"/>
  <c r="N76" i="2"/>
  <c r="N77" i="2"/>
  <c r="N71" i="2"/>
  <c r="M72" i="2"/>
  <c r="M73" i="2"/>
  <c r="M74" i="2"/>
  <c r="M75" i="2"/>
  <c r="M76" i="2"/>
  <c r="M77" i="2"/>
  <c r="M71" i="2"/>
  <c r="L72" i="2"/>
  <c r="L73" i="2"/>
  <c r="L74" i="2"/>
  <c r="L75" i="2"/>
  <c r="L76" i="2"/>
  <c r="L77" i="2"/>
  <c r="U88" i="2"/>
  <c r="U87" i="2"/>
  <c r="AA78" i="2"/>
  <c r="Z78" i="2"/>
  <c r="Y78" i="2"/>
  <c r="X78" i="2"/>
  <c r="AA86" i="2"/>
  <c r="Z86" i="2"/>
  <c r="Y86" i="2"/>
  <c r="X86" i="2"/>
  <c r="AA174" i="2"/>
  <c r="Z174" i="2"/>
  <c r="Y174" i="2"/>
  <c r="X174" i="2"/>
  <c r="AA166" i="2"/>
  <c r="Z166" i="2"/>
  <c r="Y166" i="2"/>
  <c r="X166" i="2"/>
  <c r="AA158" i="2"/>
  <c r="Z158" i="2"/>
  <c r="Y158" i="2"/>
  <c r="AA150" i="2"/>
  <c r="Z150" i="2"/>
  <c r="Y150" i="2"/>
  <c r="X150" i="2"/>
  <c r="AA142" i="2"/>
  <c r="Z142" i="2"/>
  <c r="Y142" i="2"/>
  <c r="X142" i="2"/>
  <c r="AA134" i="2"/>
  <c r="Z134" i="2"/>
  <c r="Y134" i="2"/>
  <c r="X134" i="2"/>
  <c r="AA126" i="2"/>
  <c r="Z126" i="2"/>
  <c r="Y126" i="2"/>
  <c r="X126" i="2"/>
  <c r="AA118" i="2"/>
  <c r="Z118" i="2"/>
  <c r="Y118" i="2"/>
  <c r="X118" i="2"/>
  <c r="AA110" i="2"/>
  <c r="Z110" i="2"/>
  <c r="Y110" i="2"/>
  <c r="X110" i="2"/>
  <c r="AA102" i="2"/>
  <c r="Z102" i="2"/>
  <c r="Y102" i="2"/>
  <c r="X102" i="2"/>
  <c r="AA94" i="2"/>
  <c r="Z94" i="2"/>
  <c r="Y94" i="2"/>
  <c r="X94" i="2"/>
  <c r="AA70" i="2"/>
  <c r="Z70" i="2"/>
  <c r="Y70" i="2"/>
  <c r="X70" i="2"/>
  <c r="X62" i="2"/>
  <c r="X54" i="2"/>
  <c r="Z62" i="2"/>
  <c r="AA62" i="2"/>
  <c r="Y62" i="2"/>
  <c r="Z54" i="2"/>
  <c r="AA54" i="2"/>
  <c r="Y54" i="2"/>
  <c r="U111" i="2"/>
  <c r="U144" i="2"/>
  <c r="U145" i="2"/>
  <c r="U146" i="2"/>
  <c r="U147" i="2"/>
  <c r="U148" i="2"/>
  <c r="U149" i="2"/>
  <c r="U151" i="2"/>
  <c r="U152" i="2"/>
  <c r="U153" i="2"/>
  <c r="U154" i="2"/>
  <c r="U155" i="2"/>
  <c r="U156" i="2"/>
  <c r="U157" i="2"/>
  <c r="U159" i="2"/>
  <c r="U160" i="2"/>
  <c r="U161" i="2"/>
  <c r="U162" i="2"/>
  <c r="U163" i="2"/>
  <c r="U164" i="2"/>
  <c r="U165" i="2"/>
  <c r="U167" i="2"/>
  <c r="U168" i="2"/>
  <c r="U169" i="2"/>
  <c r="U170" i="2"/>
  <c r="U171" i="2"/>
  <c r="U172" i="2"/>
  <c r="U173" i="2"/>
  <c r="U143" i="2"/>
  <c r="U10" i="2"/>
  <c r="U11" i="2"/>
  <c r="U12" i="2"/>
  <c r="U13" i="2"/>
  <c r="U21" i="2"/>
  <c r="U22" i="2"/>
  <c r="U23" i="2"/>
  <c r="U24" i="2"/>
  <c r="U25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63" i="2"/>
  <c r="U64" i="2"/>
  <c r="U65" i="2"/>
  <c r="U66" i="2"/>
  <c r="U67" i="2"/>
  <c r="U68" i="2"/>
  <c r="U69" i="2"/>
  <c r="U72" i="2"/>
  <c r="U73" i="2"/>
  <c r="U74" i="2"/>
  <c r="U75" i="2"/>
  <c r="U76" i="2"/>
  <c r="U77" i="2"/>
  <c r="U79" i="2"/>
  <c r="U80" i="2"/>
  <c r="U81" i="2"/>
  <c r="U82" i="2"/>
  <c r="U83" i="2"/>
  <c r="U84" i="2"/>
  <c r="U85" i="2"/>
  <c r="U89" i="2"/>
  <c r="U90" i="2"/>
  <c r="U91" i="2"/>
  <c r="U92" i="2"/>
  <c r="U93" i="2"/>
  <c r="U95" i="2"/>
  <c r="U96" i="2"/>
  <c r="U97" i="2"/>
  <c r="U98" i="2"/>
  <c r="U99" i="2"/>
  <c r="U100" i="2"/>
  <c r="U101" i="2"/>
  <c r="U9" i="2"/>
  <c r="U113" i="2"/>
  <c r="U114" i="2"/>
  <c r="U115" i="2"/>
  <c r="U116" i="2"/>
  <c r="U117" i="2"/>
  <c r="U120" i="2"/>
  <c r="U121" i="2"/>
  <c r="U122" i="2"/>
  <c r="U123" i="2"/>
  <c r="U124" i="2"/>
  <c r="U125" i="2"/>
  <c r="U127" i="2"/>
  <c r="U128" i="2"/>
  <c r="U129" i="2"/>
  <c r="U130" i="2"/>
  <c r="U131" i="2"/>
  <c r="U132" i="2"/>
  <c r="U133" i="2"/>
  <c r="U112" i="2"/>
  <c r="V112" i="2"/>
  <c r="W112" i="2"/>
  <c r="Q112" i="2"/>
  <c r="L112" i="2"/>
  <c r="M112" i="2"/>
  <c r="M113" i="2"/>
  <c r="N112" i="2"/>
  <c r="O112" i="2"/>
  <c r="L117" i="2"/>
  <c r="O117" i="2"/>
  <c r="Q117" i="2"/>
  <c r="H117" i="2"/>
  <c r="J117" i="2"/>
  <c r="H63" i="2"/>
  <c r="S63" i="2"/>
  <c r="R3" i="2"/>
  <c r="H3" i="2"/>
  <c r="S3" i="2"/>
  <c r="J3" i="2"/>
  <c r="T3" i="2"/>
  <c r="E4" i="2"/>
  <c r="R4" i="2"/>
  <c r="F4" i="2"/>
  <c r="G4" i="2"/>
  <c r="H4" i="2"/>
  <c r="S4" i="2"/>
  <c r="J4" i="2"/>
  <c r="T4" i="2"/>
  <c r="R5" i="2"/>
  <c r="H5" i="2"/>
  <c r="S5" i="2"/>
  <c r="J5" i="2"/>
  <c r="T5" i="2"/>
  <c r="R6" i="2"/>
  <c r="H6" i="2"/>
  <c r="J6" i="2"/>
  <c r="T6" i="2"/>
  <c r="E7" i="2"/>
  <c r="R7" i="2"/>
  <c r="F7" i="2"/>
  <c r="G7" i="2"/>
  <c r="H7" i="2"/>
  <c r="S7" i="2"/>
  <c r="J7" i="2"/>
  <c r="T7" i="2"/>
  <c r="R8" i="2"/>
  <c r="H8" i="2"/>
  <c r="S8" i="2"/>
  <c r="J8" i="2"/>
  <c r="T8" i="2"/>
  <c r="O9" i="2"/>
  <c r="Q9" i="2"/>
  <c r="K9" i="2"/>
  <c r="V9" i="2"/>
  <c r="W9" i="2"/>
  <c r="O10" i="2"/>
  <c r="Q10" i="2"/>
  <c r="K10" i="2"/>
  <c r="V10" i="2"/>
  <c r="W10" i="2"/>
  <c r="O11" i="2"/>
  <c r="Q11" i="2"/>
  <c r="K11" i="2"/>
  <c r="V11" i="2"/>
  <c r="W11" i="2"/>
  <c r="O12" i="2"/>
  <c r="Q12" i="2"/>
  <c r="K12" i="2"/>
  <c r="V12" i="2"/>
  <c r="W12" i="2"/>
  <c r="L13" i="2"/>
  <c r="O13" i="2"/>
  <c r="Q13" i="2"/>
  <c r="K13" i="2"/>
  <c r="V13" i="2"/>
  <c r="W13" i="2"/>
  <c r="R14" i="2"/>
  <c r="H14" i="2"/>
  <c r="J14" i="2"/>
  <c r="T14" i="2"/>
  <c r="R15" i="2"/>
  <c r="H15" i="2"/>
  <c r="S15" i="2"/>
  <c r="J15" i="2"/>
  <c r="T15" i="2"/>
  <c r="R16" i="2"/>
  <c r="H16" i="2"/>
  <c r="S16" i="2"/>
  <c r="J16" i="2"/>
  <c r="T16" i="2"/>
  <c r="R17" i="2"/>
  <c r="H17" i="2"/>
  <c r="S17" i="2"/>
  <c r="J17" i="2"/>
  <c r="T17" i="2"/>
  <c r="R18" i="2"/>
  <c r="H18" i="2"/>
  <c r="J18" i="2"/>
  <c r="T18" i="2"/>
  <c r="E19" i="2"/>
  <c r="R19" i="2"/>
  <c r="F19" i="2"/>
  <c r="G19" i="2"/>
  <c r="H19" i="2"/>
  <c r="S19" i="2"/>
  <c r="J19" i="2"/>
  <c r="T19" i="2"/>
  <c r="R20" i="2"/>
  <c r="H20" i="2"/>
  <c r="S20" i="2"/>
  <c r="J20" i="2"/>
  <c r="T20" i="2"/>
  <c r="O21" i="2"/>
  <c r="Q21" i="2"/>
  <c r="K21" i="2"/>
  <c r="W21" i="2"/>
  <c r="O22" i="2"/>
  <c r="Q22" i="2"/>
  <c r="K22" i="2"/>
  <c r="V22" i="2"/>
  <c r="W22" i="2"/>
  <c r="O23" i="2"/>
  <c r="Q23" i="2"/>
  <c r="K23" i="2"/>
  <c r="V23" i="2"/>
  <c r="W23" i="2"/>
  <c r="O24" i="2"/>
  <c r="Q24" i="2"/>
  <c r="K24" i="2"/>
  <c r="V24" i="2"/>
  <c r="W24" i="2"/>
  <c r="O25" i="2"/>
  <c r="Q25" i="2"/>
  <c r="K25" i="2"/>
  <c r="V25" i="2"/>
  <c r="W25" i="2"/>
  <c r="H26" i="2"/>
  <c r="S26" i="2"/>
  <c r="J26" i="2"/>
  <c r="T26" i="2"/>
  <c r="R27" i="2"/>
  <c r="H27" i="2"/>
  <c r="J27" i="2"/>
  <c r="T27" i="2"/>
  <c r="E28" i="2"/>
  <c r="R28" i="2"/>
  <c r="F28" i="2"/>
  <c r="G28" i="2"/>
  <c r="H28" i="2"/>
  <c r="S28" i="2"/>
  <c r="J28" i="2"/>
  <c r="T28" i="2"/>
  <c r="R29" i="2"/>
  <c r="H29" i="2"/>
  <c r="S29" i="2"/>
  <c r="J29" i="2"/>
  <c r="T29" i="2"/>
  <c r="R30" i="2"/>
  <c r="H30" i="2"/>
  <c r="J30" i="2"/>
  <c r="T30" i="2"/>
  <c r="E31" i="2"/>
  <c r="R31" i="2"/>
  <c r="H31" i="2"/>
  <c r="J31" i="2"/>
  <c r="T31" i="2"/>
  <c r="R32" i="2"/>
  <c r="H32" i="2"/>
  <c r="J32" i="2"/>
  <c r="T32" i="2"/>
  <c r="Q33" i="2"/>
  <c r="K33" i="2"/>
  <c r="W33" i="2"/>
  <c r="O34" i="2"/>
  <c r="Q34" i="2"/>
  <c r="K34" i="2"/>
  <c r="V34" i="2"/>
  <c r="W34" i="2"/>
  <c r="O35" i="2"/>
  <c r="Q35" i="2"/>
  <c r="K35" i="2"/>
  <c r="V35" i="2"/>
  <c r="W35" i="2"/>
  <c r="O36" i="2"/>
  <c r="Q36" i="2"/>
  <c r="K36" i="2"/>
  <c r="W36" i="2"/>
  <c r="O37" i="2"/>
  <c r="Q37" i="2"/>
  <c r="K37" i="2"/>
  <c r="V37" i="2"/>
  <c r="W37" i="2"/>
  <c r="O38" i="2"/>
  <c r="Q38" i="2"/>
  <c r="K38" i="2"/>
  <c r="V38" i="2"/>
  <c r="W38" i="2"/>
  <c r="O39" i="2"/>
  <c r="Q39" i="2"/>
  <c r="K39" i="2"/>
  <c r="V39" i="2"/>
  <c r="W39" i="2"/>
  <c r="O40" i="2"/>
  <c r="Q40" i="2"/>
  <c r="K40" i="2"/>
  <c r="V40" i="2"/>
  <c r="W40" i="2"/>
  <c r="O41" i="2"/>
  <c r="Q41" i="2"/>
  <c r="K41" i="2"/>
  <c r="W41" i="2"/>
  <c r="O42" i="2"/>
  <c r="Q42" i="2"/>
  <c r="K42" i="2"/>
  <c r="V42" i="2"/>
  <c r="W42" i="2"/>
  <c r="O43" i="2"/>
  <c r="Q43" i="2"/>
  <c r="K43" i="2"/>
  <c r="V43" i="2"/>
  <c r="W43" i="2"/>
  <c r="R44" i="2"/>
  <c r="H44" i="2"/>
  <c r="J44" i="2"/>
  <c r="T44" i="2"/>
  <c r="K44" i="2"/>
  <c r="W44" i="2"/>
  <c r="R45" i="2"/>
  <c r="H45" i="2"/>
  <c r="S45" i="2"/>
  <c r="J45" i="2"/>
  <c r="T45" i="2"/>
  <c r="K45" i="2"/>
  <c r="V45" i="2"/>
  <c r="W45" i="2"/>
  <c r="R46" i="2"/>
  <c r="H46" i="2"/>
  <c r="S46" i="2"/>
  <c r="J46" i="2"/>
  <c r="T46" i="2"/>
  <c r="K46" i="2"/>
  <c r="V46" i="2"/>
  <c r="W46" i="2"/>
  <c r="R47" i="2"/>
  <c r="H47" i="2"/>
  <c r="S47" i="2"/>
  <c r="J47" i="2"/>
  <c r="T47" i="2"/>
  <c r="R48" i="2"/>
  <c r="H48" i="2"/>
  <c r="S48" i="2"/>
  <c r="J48" i="2"/>
  <c r="T48" i="2"/>
  <c r="E49" i="2"/>
  <c r="R49" i="2"/>
  <c r="F49" i="2"/>
  <c r="G49" i="2"/>
  <c r="H49" i="2"/>
  <c r="S49" i="2"/>
  <c r="J49" i="2"/>
  <c r="T49" i="2"/>
  <c r="R50" i="2"/>
  <c r="H50" i="2"/>
  <c r="S50" i="2"/>
  <c r="J50" i="2"/>
  <c r="T50" i="2"/>
  <c r="E51" i="2"/>
  <c r="R51" i="2"/>
  <c r="H51" i="2"/>
  <c r="S51" i="2"/>
  <c r="J51" i="2"/>
  <c r="T51" i="2"/>
  <c r="E53" i="2"/>
  <c r="E52" i="2"/>
  <c r="R52" i="2"/>
  <c r="F52" i="2"/>
  <c r="G52" i="2"/>
  <c r="H52" i="2"/>
  <c r="S52" i="2"/>
  <c r="J52" i="2"/>
  <c r="T52" i="2"/>
  <c r="R53" i="2"/>
  <c r="H53" i="2"/>
  <c r="S53" i="2"/>
  <c r="J53" i="2"/>
  <c r="T53" i="2"/>
  <c r="R55" i="2"/>
  <c r="H55" i="2"/>
  <c r="S55" i="2"/>
  <c r="J55" i="2"/>
  <c r="T55" i="2"/>
  <c r="R56" i="2"/>
  <c r="H56" i="2"/>
  <c r="S56" i="2"/>
  <c r="J56" i="2"/>
  <c r="T56" i="2"/>
  <c r="R57" i="2"/>
  <c r="H57" i="2"/>
  <c r="S57" i="2"/>
  <c r="J57" i="2"/>
  <c r="T57" i="2"/>
  <c r="R58" i="2"/>
  <c r="H58" i="2"/>
  <c r="S58" i="2"/>
  <c r="J58" i="2"/>
  <c r="T58" i="2"/>
  <c r="R59" i="2"/>
  <c r="H59" i="2"/>
  <c r="S59" i="2"/>
  <c r="J59" i="2"/>
  <c r="T59" i="2"/>
  <c r="E60" i="2"/>
  <c r="R60" i="2"/>
  <c r="F60" i="2"/>
  <c r="G60" i="2"/>
  <c r="H60" i="2"/>
  <c r="S60" i="2"/>
  <c r="J60" i="2"/>
  <c r="T60" i="2"/>
  <c r="R61" i="2"/>
  <c r="H61" i="2"/>
  <c r="S61" i="2"/>
  <c r="J61" i="2"/>
  <c r="T61" i="2"/>
  <c r="E63" i="2"/>
  <c r="R63" i="2"/>
  <c r="J63" i="2"/>
  <c r="T63" i="2"/>
  <c r="L63" i="2"/>
  <c r="O63" i="2"/>
  <c r="Q63" i="2"/>
  <c r="K63" i="2"/>
  <c r="W63" i="2"/>
  <c r="E64" i="2"/>
  <c r="R64" i="2"/>
  <c r="H64" i="2"/>
  <c r="S64" i="2"/>
  <c r="J64" i="2"/>
  <c r="T64" i="2"/>
  <c r="L64" i="2"/>
  <c r="O64" i="2"/>
  <c r="Q64" i="2"/>
  <c r="K64" i="2"/>
  <c r="V64" i="2"/>
  <c r="W64" i="2"/>
  <c r="E65" i="2"/>
  <c r="R65" i="2"/>
  <c r="F65" i="2"/>
  <c r="G65" i="2"/>
  <c r="H65" i="2"/>
  <c r="S65" i="2"/>
  <c r="J65" i="2"/>
  <c r="T65" i="2"/>
  <c r="L66" i="2"/>
  <c r="L65" i="2"/>
  <c r="M65" i="2"/>
  <c r="N65" i="2"/>
  <c r="O65" i="2"/>
  <c r="Q65" i="2"/>
  <c r="K65" i="2"/>
  <c r="V65" i="2"/>
  <c r="W65" i="2"/>
  <c r="R66" i="2"/>
  <c r="H66" i="2"/>
  <c r="S66" i="2"/>
  <c r="J66" i="2"/>
  <c r="T66" i="2"/>
  <c r="O66" i="2"/>
  <c r="Q66" i="2"/>
  <c r="K66" i="2"/>
  <c r="V66" i="2"/>
  <c r="W66" i="2"/>
  <c r="R67" i="2"/>
  <c r="H67" i="2"/>
  <c r="S67" i="2"/>
  <c r="J67" i="2"/>
  <c r="T67" i="2"/>
  <c r="L67" i="2"/>
  <c r="O67" i="2"/>
  <c r="Q67" i="2"/>
  <c r="K67" i="2"/>
  <c r="V67" i="2"/>
  <c r="W67" i="2"/>
  <c r="E68" i="2"/>
  <c r="R68" i="2"/>
  <c r="F68" i="2"/>
  <c r="G68" i="2"/>
  <c r="H68" i="2"/>
  <c r="S68" i="2"/>
  <c r="J68" i="2"/>
  <c r="T68" i="2"/>
  <c r="L69" i="2"/>
  <c r="L68" i="2"/>
  <c r="M68" i="2"/>
  <c r="N68" i="2"/>
  <c r="O68" i="2"/>
  <c r="Q68" i="2"/>
  <c r="K68" i="2"/>
  <c r="V68" i="2"/>
  <c r="W68" i="2"/>
  <c r="R69" i="2"/>
  <c r="H69" i="2"/>
  <c r="S69" i="2"/>
  <c r="J69" i="2"/>
  <c r="T69" i="2"/>
  <c r="O69" i="2"/>
  <c r="Q69" i="2"/>
  <c r="K69" i="2"/>
  <c r="V69" i="2"/>
  <c r="W69" i="2"/>
  <c r="E71" i="2"/>
  <c r="R71" i="2"/>
  <c r="F71" i="2"/>
  <c r="G71" i="2"/>
  <c r="H71" i="2"/>
  <c r="S71" i="2"/>
  <c r="J71" i="2"/>
  <c r="T71" i="2"/>
  <c r="O71" i="2"/>
  <c r="Q71" i="2"/>
  <c r="K71" i="2"/>
  <c r="W71" i="2"/>
  <c r="E72" i="2"/>
  <c r="R72" i="2"/>
  <c r="F72" i="2"/>
  <c r="G72" i="2"/>
  <c r="H72" i="2"/>
  <c r="S72" i="2"/>
  <c r="J72" i="2"/>
  <c r="T72" i="2"/>
  <c r="O72" i="2"/>
  <c r="Q72" i="2"/>
  <c r="K72" i="2"/>
  <c r="W72" i="2"/>
  <c r="E73" i="2"/>
  <c r="R73" i="2"/>
  <c r="F73" i="2"/>
  <c r="G73" i="2"/>
  <c r="H73" i="2"/>
  <c r="S73" i="2"/>
  <c r="J73" i="2"/>
  <c r="T73" i="2"/>
  <c r="O73" i="2"/>
  <c r="Q73" i="2"/>
  <c r="K73" i="2"/>
  <c r="V73" i="2"/>
  <c r="W73" i="2"/>
  <c r="E74" i="2"/>
  <c r="R74" i="2"/>
  <c r="F74" i="2"/>
  <c r="G74" i="2"/>
  <c r="H74" i="2"/>
  <c r="S74" i="2"/>
  <c r="J74" i="2"/>
  <c r="T74" i="2"/>
  <c r="O74" i="2"/>
  <c r="Q74" i="2"/>
  <c r="K74" i="2"/>
  <c r="V74" i="2"/>
  <c r="W74" i="2"/>
  <c r="E75" i="2"/>
  <c r="R75" i="2"/>
  <c r="F75" i="2"/>
  <c r="G75" i="2"/>
  <c r="H75" i="2"/>
  <c r="S75" i="2"/>
  <c r="J75" i="2"/>
  <c r="T75" i="2"/>
  <c r="O75" i="2"/>
  <c r="Q75" i="2"/>
  <c r="K75" i="2"/>
  <c r="V75" i="2"/>
  <c r="W75" i="2"/>
  <c r="E76" i="2"/>
  <c r="R76" i="2"/>
  <c r="F76" i="2"/>
  <c r="G76" i="2"/>
  <c r="H76" i="2"/>
  <c r="S76" i="2"/>
  <c r="J76" i="2"/>
  <c r="T76" i="2"/>
  <c r="O76" i="2"/>
  <c r="Q76" i="2"/>
  <c r="K76" i="2"/>
  <c r="V76" i="2"/>
  <c r="W76" i="2"/>
  <c r="E77" i="2"/>
  <c r="R77" i="2"/>
  <c r="F77" i="2"/>
  <c r="G77" i="2"/>
  <c r="H77" i="2"/>
  <c r="S77" i="2"/>
  <c r="J77" i="2"/>
  <c r="T77" i="2"/>
  <c r="O77" i="2"/>
  <c r="Q77" i="2"/>
  <c r="K77" i="2"/>
  <c r="V77" i="2"/>
  <c r="W77" i="2"/>
  <c r="R79" i="2"/>
  <c r="H79" i="2"/>
  <c r="J79" i="2"/>
  <c r="T79" i="2"/>
  <c r="L79" i="2"/>
  <c r="O79" i="2"/>
  <c r="Q79" i="2"/>
  <c r="K79" i="2"/>
  <c r="W79" i="2"/>
  <c r="E80" i="2"/>
  <c r="R80" i="2"/>
  <c r="F80" i="2"/>
  <c r="H80" i="2"/>
  <c r="S80" i="2"/>
  <c r="J80" i="2"/>
  <c r="T80" i="2"/>
  <c r="L80" i="2"/>
  <c r="M80" i="2"/>
  <c r="O80" i="2"/>
  <c r="Q80" i="2"/>
  <c r="K80" i="2"/>
  <c r="V80" i="2"/>
  <c r="W80" i="2"/>
  <c r="E82" i="2"/>
  <c r="E81" i="2"/>
  <c r="R81" i="2"/>
  <c r="F81" i="2"/>
  <c r="G81" i="2"/>
  <c r="H81" i="2"/>
  <c r="S81" i="2"/>
  <c r="J81" i="2"/>
  <c r="T81" i="2"/>
  <c r="L82" i="2"/>
  <c r="L81" i="2"/>
  <c r="M81" i="2"/>
  <c r="N81" i="2"/>
  <c r="O81" i="2"/>
  <c r="Q81" i="2"/>
  <c r="K81" i="2"/>
  <c r="V81" i="2"/>
  <c r="W81" i="2"/>
  <c r="R82" i="2"/>
  <c r="H82" i="2"/>
  <c r="S82" i="2"/>
  <c r="J82" i="2"/>
  <c r="T82" i="2"/>
  <c r="O82" i="2"/>
  <c r="Q82" i="2"/>
  <c r="K82" i="2"/>
  <c r="V82" i="2"/>
  <c r="W82" i="2"/>
  <c r="E83" i="2"/>
  <c r="R83" i="2"/>
  <c r="F83" i="2"/>
  <c r="H83" i="2"/>
  <c r="S83" i="2"/>
  <c r="J83" i="2"/>
  <c r="T83" i="2"/>
  <c r="L83" i="2"/>
  <c r="O83" i="2"/>
  <c r="Q83" i="2"/>
  <c r="K83" i="2"/>
  <c r="V83" i="2"/>
  <c r="W83" i="2"/>
  <c r="E85" i="2"/>
  <c r="E84" i="2"/>
  <c r="R84" i="2"/>
  <c r="H84" i="2"/>
  <c r="S84" i="2"/>
  <c r="J84" i="2"/>
  <c r="T84" i="2"/>
  <c r="L85" i="2"/>
  <c r="L84" i="2"/>
  <c r="M84" i="2"/>
  <c r="N84" i="2"/>
  <c r="O84" i="2"/>
  <c r="Q84" i="2"/>
  <c r="K84" i="2"/>
  <c r="V84" i="2"/>
  <c r="W84" i="2"/>
  <c r="R85" i="2"/>
  <c r="H85" i="2"/>
  <c r="S85" i="2"/>
  <c r="J85" i="2"/>
  <c r="T85" i="2"/>
  <c r="O85" i="2"/>
  <c r="Q85" i="2"/>
  <c r="K85" i="2"/>
  <c r="V85" i="2"/>
  <c r="W85" i="2"/>
  <c r="R87" i="2"/>
  <c r="H87" i="2"/>
  <c r="J87" i="2"/>
  <c r="T87" i="2"/>
  <c r="O87" i="2"/>
  <c r="Q87" i="2"/>
  <c r="K87" i="2"/>
  <c r="W87" i="2"/>
  <c r="R88" i="2"/>
  <c r="H88" i="2"/>
  <c r="S88" i="2"/>
  <c r="J88" i="2"/>
  <c r="T88" i="2"/>
  <c r="O88" i="2"/>
  <c r="Q88" i="2"/>
  <c r="K88" i="2"/>
  <c r="V88" i="2"/>
  <c r="W88" i="2"/>
  <c r="R89" i="2"/>
  <c r="H89" i="2"/>
  <c r="S89" i="2"/>
  <c r="J89" i="2"/>
  <c r="T89" i="2"/>
  <c r="O89" i="2"/>
  <c r="Q89" i="2"/>
  <c r="K89" i="2"/>
  <c r="V89" i="2"/>
  <c r="W89" i="2"/>
  <c r="R90" i="2"/>
  <c r="H90" i="2"/>
  <c r="S90" i="2"/>
  <c r="J90" i="2"/>
  <c r="T90" i="2"/>
  <c r="O90" i="2"/>
  <c r="Q90" i="2"/>
  <c r="K90" i="2"/>
  <c r="V90" i="2"/>
  <c r="W90" i="2"/>
  <c r="R91" i="2"/>
  <c r="H91" i="2"/>
  <c r="S91" i="2"/>
  <c r="J91" i="2"/>
  <c r="T91" i="2"/>
  <c r="O91" i="2"/>
  <c r="Q91" i="2"/>
  <c r="K91" i="2"/>
  <c r="V91" i="2"/>
  <c r="W91" i="2"/>
  <c r="R92" i="2"/>
  <c r="H92" i="2"/>
  <c r="S92" i="2"/>
  <c r="J92" i="2"/>
  <c r="T92" i="2"/>
  <c r="O92" i="2"/>
  <c r="Q92" i="2"/>
  <c r="K92" i="2"/>
  <c r="V92" i="2"/>
  <c r="W92" i="2"/>
  <c r="R93" i="2"/>
  <c r="H93" i="2"/>
  <c r="S93" i="2"/>
  <c r="J93" i="2"/>
  <c r="T93" i="2"/>
  <c r="O93" i="2"/>
  <c r="Q93" i="2"/>
  <c r="K93" i="2"/>
  <c r="V93" i="2"/>
  <c r="W93" i="2"/>
  <c r="R95" i="2"/>
  <c r="H95" i="2"/>
  <c r="J95" i="2"/>
  <c r="T95" i="2"/>
  <c r="O95" i="2"/>
  <c r="Q95" i="2"/>
  <c r="K95" i="2"/>
  <c r="W95" i="2"/>
  <c r="E96" i="2"/>
  <c r="R96" i="2"/>
  <c r="G96" i="2"/>
  <c r="H96" i="2"/>
  <c r="S96" i="2"/>
  <c r="J96" i="2"/>
  <c r="T96" i="2"/>
  <c r="L96" i="2"/>
  <c r="O96" i="2"/>
  <c r="Q96" i="2"/>
  <c r="K96" i="2"/>
  <c r="V96" i="2"/>
  <c r="W96" i="2"/>
  <c r="E98" i="2"/>
  <c r="E97" i="2"/>
  <c r="R97" i="2"/>
  <c r="F97" i="2"/>
  <c r="G97" i="2"/>
  <c r="H97" i="2"/>
  <c r="S97" i="2"/>
  <c r="J97" i="2"/>
  <c r="T97" i="2"/>
  <c r="L98" i="2"/>
  <c r="L97" i="2"/>
  <c r="M97" i="2"/>
  <c r="N97" i="2"/>
  <c r="O97" i="2"/>
  <c r="Q97" i="2"/>
  <c r="K97" i="2"/>
  <c r="V97" i="2"/>
  <c r="W97" i="2"/>
  <c r="R98" i="2"/>
  <c r="H98" i="2"/>
  <c r="S98" i="2"/>
  <c r="J98" i="2"/>
  <c r="T98" i="2"/>
  <c r="O98" i="2"/>
  <c r="Q98" i="2"/>
  <c r="K98" i="2"/>
  <c r="V98" i="2"/>
  <c r="W98" i="2"/>
  <c r="E99" i="2"/>
  <c r="R99" i="2"/>
  <c r="G99" i="2"/>
  <c r="H99" i="2"/>
  <c r="S99" i="2"/>
  <c r="J99" i="2"/>
  <c r="T99" i="2"/>
  <c r="L99" i="2"/>
  <c r="O99" i="2"/>
  <c r="Q99" i="2"/>
  <c r="K99" i="2"/>
  <c r="V99" i="2"/>
  <c r="W99" i="2"/>
  <c r="E101" i="2"/>
  <c r="E100" i="2"/>
  <c r="R100" i="2"/>
  <c r="F100" i="2"/>
  <c r="G100" i="2"/>
  <c r="H100" i="2"/>
  <c r="S100" i="2"/>
  <c r="J100" i="2"/>
  <c r="T100" i="2"/>
  <c r="L101" i="2"/>
  <c r="L100" i="2"/>
  <c r="M100" i="2"/>
  <c r="N100" i="2"/>
  <c r="O100" i="2"/>
  <c r="Q100" i="2"/>
  <c r="K100" i="2"/>
  <c r="V100" i="2"/>
  <c r="W100" i="2"/>
  <c r="R101" i="2"/>
  <c r="H101" i="2"/>
  <c r="S101" i="2"/>
  <c r="J101" i="2"/>
  <c r="T101" i="2"/>
  <c r="O101" i="2"/>
  <c r="Q101" i="2"/>
  <c r="K101" i="2"/>
  <c r="V101" i="2"/>
  <c r="W101" i="2"/>
  <c r="R103" i="2"/>
  <c r="H103" i="2"/>
  <c r="J103" i="2"/>
  <c r="T103" i="2"/>
  <c r="R104" i="2"/>
  <c r="H104" i="2"/>
  <c r="S104" i="2"/>
  <c r="J104" i="2"/>
  <c r="T104" i="2"/>
  <c r="E105" i="2"/>
  <c r="R105" i="2"/>
  <c r="F105" i="2"/>
  <c r="G105" i="2"/>
  <c r="H105" i="2"/>
  <c r="S105" i="2"/>
  <c r="J105" i="2"/>
  <c r="T105" i="2"/>
  <c r="R106" i="2"/>
  <c r="H106" i="2"/>
  <c r="S106" i="2"/>
  <c r="J106" i="2"/>
  <c r="T106" i="2"/>
  <c r="R107" i="2"/>
  <c r="H107" i="2"/>
  <c r="S107" i="2"/>
  <c r="J107" i="2"/>
  <c r="T107" i="2"/>
  <c r="E108" i="2"/>
  <c r="R108" i="2"/>
  <c r="F108" i="2"/>
  <c r="G108" i="2"/>
  <c r="H108" i="2"/>
  <c r="S108" i="2"/>
  <c r="J108" i="2"/>
  <c r="T108" i="2"/>
  <c r="R109" i="2"/>
  <c r="H109" i="2"/>
  <c r="S109" i="2"/>
  <c r="J109" i="2"/>
  <c r="T109" i="2"/>
  <c r="E111" i="2"/>
  <c r="R111" i="2"/>
  <c r="H111" i="2"/>
  <c r="S111" i="2"/>
  <c r="J111" i="2"/>
  <c r="T111" i="2"/>
  <c r="L111" i="2"/>
  <c r="O111" i="2"/>
  <c r="Q111" i="2"/>
  <c r="K111" i="2"/>
  <c r="W111" i="2"/>
  <c r="E112" i="2"/>
  <c r="R112" i="2"/>
  <c r="F112" i="2"/>
  <c r="H112" i="2"/>
  <c r="S112" i="2"/>
  <c r="J112" i="2"/>
  <c r="T112" i="2"/>
  <c r="K112" i="2"/>
  <c r="E113" i="2"/>
  <c r="R113" i="2"/>
  <c r="F113" i="2"/>
  <c r="G113" i="2"/>
  <c r="H113" i="2"/>
  <c r="S113" i="2"/>
  <c r="J113" i="2"/>
  <c r="T113" i="2"/>
  <c r="L114" i="2"/>
  <c r="L113" i="2"/>
  <c r="N113" i="2"/>
  <c r="O113" i="2"/>
  <c r="Q113" i="2"/>
  <c r="K113" i="2"/>
  <c r="V113" i="2"/>
  <c r="W113" i="2"/>
  <c r="R114" i="2"/>
  <c r="H114" i="2"/>
  <c r="S114" i="2"/>
  <c r="J114" i="2"/>
  <c r="T114" i="2"/>
  <c r="O114" i="2"/>
  <c r="Q114" i="2"/>
  <c r="K114" i="2"/>
  <c r="V114" i="2"/>
  <c r="W114" i="2"/>
  <c r="E115" i="2"/>
  <c r="R115" i="2"/>
  <c r="F115" i="2"/>
  <c r="H115" i="2"/>
  <c r="S115" i="2"/>
  <c r="J115" i="2"/>
  <c r="T115" i="2"/>
  <c r="L115" i="2"/>
  <c r="O115" i="2"/>
  <c r="Q115" i="2"/>
  <c r="K115" i="2"/>
  <c r="V115" i="2"/>
  <c r="W115" i="2"/>
  <c r="E116" i="2"/>
  <c r="R116" i="2"/>
  <c r="F116" i="2"/>
  <c r="G116" i="2"/>
  <c r="H116" i="2"/>
  <c r="S116" i="2"/>
  <c r="J116" i="2"/>
  <c r="T116" i="2"/>
  <c r="L116" i="2"/>
  <c r="M116" i="2"/>
  <c r="N116" i="2"/>
  <c r="O116" i="2"/>
  <c r="Q116" i="2"/>
  <c r="K116" i="2"/>
  <c r="V116" i="2"/>
  <c r="W116" i="2"/>
  <c r="R117" i="2"/>
  <c r="S117" i="2"/>
  <c r="T117" i="2"/>
  <c r="K117" i="2"/>
  <c r="V117" i="2"/>
  <c r="W117" i="2"/>
  <c r="R119" i="2"/>
  <c r="H119" i="2"/>
  <c r="S119" i="2"/>
  <c r="J119" i="2"/>
  <c r="T119" i="2"/>
  <c r="O119" i="2"/>
  <c r="Q119" i="2"/>
  <c r="K119" i="2"/>
  <c r="W119" i="2"/>
  <c r="R120" i="2"/>
  <c r="H120" i="2"/>
  <c r="S120" i="2"/>
  <c r="J120" i="2"/>
  <c r="T120" i="2"/>
  <c r="O120" i="2"/>
  <c r="Q120" i="2"/>
  <c r="K120" i="2"/>
  <c r="V120" i="2"/>
  <c r="W120" i="2"/>
  <c r="R121" i="2"/>
  <c r="H121" i="2"/>
  <c r="S121" i="2"/>
  <c r="J121" i="2"/>
  <c r="T121" i="2"/>
  <c r="O121" i="2"/>
  <c r="Q121" i="2"/>
  <c r="K121" i="2"/>
  <c r="V121" i="2"/>
  <c r="W121" i="2"/>
  <c r="R122" i="2"/>
  <c r="H122" i="2"/>
  <c r="S122" i="2"/>
  <c r="J122" i="2"/>
  <c r="T122" i="2"/>
  <c r="O122" i="2"/>
  <c r="Q122" i="2"/>
  <c r="K122" i="2"/>
  <c r="V122" i="2"/>
  <c r="W122" i="2"/>
  <c r="R123" i="2"/>
  <c r="H123" i="2"/>
  <c r="S123" i="2"/>
  <c r="J123" i="2"/>
  <c r="T123" i="2"/>
  <c r="O123" i="2"/>
  <c r="Q123" i="2"/>
  <c r="K123" i="2"/>
  <c r="V123" i="2"/>
  <c r="W123" i="2"/>
  <c r="R124" i="2"/>
  <c r="H124" i="2"/>
  <c r="S124" i="2"/>
  <c r="J124" i="2"/>
  <c r="T124" i="2"/>
  <c r="O124" i="2"/>
  <c r="Q124" i="2"/>
  <c r="K124" i="2"/>
  <c r="V124" i="2"/>
  <c r="W124" i="2"/>
  <c r="R125" i="2"/>
  <c r="H125" i="2"/>
  <c r="S125" i="2"/>
  <c r="J125" i="2"/>
  <c r="T125" i="2"/>
  <c r="O125" i="2"/>
  <c r="Q125" i="2"/>
  <c r="K125" i="2"/>
  <c r="V125" i="2"/>
  <c r="W125" i="2"/>
  <c r="E127" i="2"/>
  <c r="R127" i="2"/>
  <c r="H127" i="2"/>
  <c r="J127" i="2"/>
  <c r="T127" i="2"/>
  <c r="L127" i="2"/>
  <c r="O127" i="2"/>
  <c r="Q127" i="2"/>
  <c r="K127" i="2"/>
  <c r="W127" i="2"/>
  <c r="E128" i="2"/>
  <c r="R128" i="2"/>
  <c r="F128" i="2"/>
  <c r="H128" i="2"/>
  <c r="S128" i="2"/>
  <c r="J128" i="2"/>
  <c r="T128" i="2"/>
  <c r="L128" i="2"/>
  <c r="O128" i="2"/>
  <c r="Q128" i="2"/>
  <c r="K128" i="2"/>
  <c r="V128" i="2"/>
  <c r="W128" i="2"/>
  <c r="E130" i="2"/>
  <c r="E129" i="2"/>
  <c r="R129" i="2"/>
  <c r="F129" i="2"/>
  <c r="G129" i="2"/>
  <c r="H129" i="2"/>
  <c r="S129" i="2"/>
  <c r="J129" i="2"/>
  <c r="T129" i="2"/>
  <c r="L130" i="2"/>
  <c r="L129" i="2"/>
  <c r="M129" i="2"/>
  <c r="N129" i="2"/>
  <c r="O129" i="2"/>
  <c r="Q129" i="2"/>
  <c r="K129" i="2"/>
  <c r="V129" i="2"/>
  <c r="W129" i="2"/>
  <c r="R130" i="2"/>
  <c r="H130" i="2"/>
  <c r="S130" i="2"/>
  <c r="J130" i="2"/>
  <c r="T130" i="2"/>
  <c r="O130" i="2"/>
  <c r="Q130" i="2"/>
  <c r="K130" i="2"/>
  <c r="V130" i="2"/>
  <c r="W130" i="2"/>
  <c r="E131" i="2"/>
  <c r="R131" i="2"/>
  <c r="F131" i="2"/>
  <c r="G131" i="2"/>
  <c r="H131" i="2"/>
  <c r="S131" i="2"/>
  <c r="J131" i="2"/>
  <c r="T131" i="2"/>
  <c r="L131" i="2"/>
  <c r="O131" i="2"/>
  <c r="Q131" i="2"/>
  <c r="K131" i="2"/>
  <c r="V131" i="2"/>
  <c r="W131" i="2"/>
  <c r="E133" i="2"/>
  <c r="E132" i="2"/>
  <c r="R132" i="2"/>
  <c r="F132" i="2"/>
  <c r="G132" i="2"/>
  <c r="H132" i="2"/>
  <c r="S132" i="2"/>
  <c r="J132" i="2"/>
  <c r="T132" i="2"/>
  <c r="L133" i="2"/>
  <c r="L132" i="2"/>
  <c r="M132" i="2"/>
  <c r="N132" i="2"/>
  <c r="O132" i="2"/>
  <c r="Q132" i="2"/>
  <c r="K132" i="2"/>
  <c r="V132" i="2"/>
  <c r="W132" i="2"/>
  <c r="R133" i="2"/>
  <c r="H133" i="2"/>
  <c r="S133" i="2"/>
  <c r="J133" i="2"/>
  <c r="T133" i="2"/>
  <c r="O133" i="2"/>
  <c r="Q133" i="2"/>
  <c r="K133" i="2"/>
  <c r="V133" i="2"/>
  <c r="W133" i="2"/>
  <c r="R135" i="2"/>
  <c r="H135" i="2"/>
  <c r="S135" i="2"/>
  <c r="J135" i="2"/>
  <c r="T135" i="2"/>
  <c r="R136" i="2"/>
  <c r="H136" i="2"/>
  <c r="S136" i="2"/>
  <c r="J136" i="2"/>
  <c r="T136" i="2"/>
  <c r="E138" i="2"/>
  <c r="E137" i="2"/>
  <c r="R137" i="2"/>
  <c r="F137" i="2"/>
  <c r="G137" i="2"/>
  <c r="H137" i="2"/>
  <c r="S137" i="2"/>
  <c r="J137" i="2"/>
  <c r="T137" i="2"/>
  <c r="R138" i="2"/>
  <c r="H138" i="2"/>
  <c r="S138" i="2"/>
  <c r="J138" i="2"/>
  <c r="T138" i="2"/>
  <c r="R139" i="2"/>
  <c r="H139" i="2"/>
  <c r="S139" i="2"/>
  <c r="J139" i="2"/>
  <c r="T139" i="2"/>
  <c r="E141" i="2"/>
  <c r="E140" i="2"/>
  <c r="R140" i="2"/>
  <c r="F140" i="2"/>
  <c r="G140" i="2"/>
  <c r="H140" i="2"/>
  <c r="S140" i="2"/>
  <c r="J140" i="2"/>
  <c r="T140" i="2"/>
  <c r="R141" i="2"/>
  <c r="H141" i="2"/>
  <c r="S141" i="2"/>
  <c r="J141" i="2"/>
  <c r="T141" i="2"/>
  <c r="R143" i="2"/>
  <c r="H143" i="2"/>
  <c r="S143" i="2"/>
  <c r="J143" i="2"/>
  <c r="T143" i="2"/>
  <c r="L143" i="2"/>
  <c r="O143" i="2"/>
  <c r="Q143" i="2"/>
  <c r="K143" i="2"/>
  <c r="W143" i="2"/>
  <c r="R144" i="2"/>
  <c r="F144" i="2"/>
  <c r="G144" i="2"/>
  <c r="H144" i="2"/>
  <c r="S144" i="2"/>
  <c r="J144" i="2"/>
  <c r="T144" i="2"/>
  <c r="L144" i="2"/>
  <c r="O144" i="2"/>
  <c r="Q144" i="2"/>
  <c r="K144" i="2"/>
  <c r="V144" i="2"/>
  <c r="W144" i="2"/>
  <c r="E146" i="2"/>
  <c r="E145" i="2"/>
  <c r="R145" i="2"/>
  <c r="F145" i="2"/>
  <c r="G145" i="2"/>
  <c r="H145" i="2"/>
  <c r="S145" i="2"/>
  <c r="J145" i="2"/>
  <c r="T145" i="2"/>
  <c r="L146" i="2"/>
  <c r="L145" i="2"/>
  <c r="M145" i="2"/>
  <c r="N145" i="2"/>
  <c r="O145" i="2"/>
  <c r="Q145" i="2"/>
  <c r="K145" i="2"/>
  <c r="V145" i="2"/>
  <c r="W145" i="2"/>
  <c r="R146" i="2"/>
  <c r="H146" i="2"/>
  <c r="S146" i="2"/>
  <c r="J146" i="2"/>
  <c r="T146" i="2"/>
  <c r="O146" i="2"/>
  <c r="Q146" i="2"/>
  <c r="K146" i="2"/>
  <c r="V146" i="2"/>
  <c r="W146" i="2"/>
  <c r="E147" i="2"/>
  <c r="R147" i="2"/>
  <c r="F147" i="2"/>
  <c r="H147" i="2"/>
  <c r="S147" i="2"/>
  <c r="J147" i="2"/>
  <c r="T147" i="2"/>
  <c r="L147" i="2"/>
  <c r="O147" i="2"/>
  <c r="Q147" i="2"/>
  <c r="K147" i="2"/>
  <c r="V147" i="2"/>
  <c r="W147" i="2"/>
  <c r="E149" i="2"/>
  <c r="E148" i="2"/>
  <c r="R148" i="2"/>
  <c r="F148" i="2"/>
  <c r="G148" i="2"/>
  <c r="H148" i="2"/>
  <c r="S148" i="2"/>
  <c r="J148" i="2"/>
  <c r="T148" i="2"/>
  <c r="L149" i="2"/>
  <c r="L148" i="2"/>
  <c r="M148" i="2"/>
  <c r="N148" i="2"/>
  <c r="O148" i="2"/>
  <c r="Q148" i="2"/>
  <c r="K148" i="2"/>
  <c r="V148" i="2"/>
  <c r="W148" i="2"/>
  <c r="R149" i="2"/>
  <c r="H149" i="2"/>
  <c r="S149" i="2"/>
  <c r="J149" i="2"/>
  <c r="T149" i="2"/>
  <c r="O149" i="2"/>
  <c r="Q149" i="2"/>
  <c r="K149" i="2"/>
  <c r="V149" i="2"/>
  <c r="W149" i="2"/>
  <c r="E151" i="2"/>
  <c r="R151" i="2"/>
  <c r="H151" i="2"/>
  <c r="J151" i="2"/>
  <c r="T151" i="2"/>
  <c r="O151" i="2"/>
  <c r="Q151" i="2"/>
  <c r="K151" i="2"/>
  <c r="W151" i="2"/>
  <c r="R152" i="2"/>
  <c r="H152" i="2"/>
  <c r="S152" i="2"/>
  <c r="J152" i="2"/>
  <c r="T152" i="2"/>
  <c r="O152" i="2"/>
  <c r="Q152" i="2"/>
  <c r="K152" i="2"/>
  <c r="V152" i="2"/>
  <c r="W152" i="2"/>
  <c r="R153" i="2"/>
  <c r="H153" i="2"/>
  <c r="S153" i="2"/>
  <c r="J153" i="2"/>
  <c r="T153" i="2"/>
  <c r="O153" i="2"/>
  <c r="Q153" i="2"/>
  <c r="K153" i="2"/>
  <c r="V153" i="2"/>
  <c r="W153" i="2"/>
  <c r="R154" i="2"/>
  <c r="H154" i="2"/>
  <c r="S154" i="2"/>
  <c r="J154" i="2"/>
  <c r="T154" i="2"/>
  <c r="O154" i="2"/>
  <c r="Q154" i="2"/>
  <c r="K154" i="2"/>
  <c r="V154" i="2"/>
  <c r="W154" i="2"/>
  <c r="R155" i="2"/>
  <c r="H155" i="2"/>
  <c r="S155" i="2"/>
  <c r="J155" i="2"/>
  <c r="T155" i="2"/>
  <c r="O155" i="2"/>
  <c r="Q155" i="2"/>
  <c r="K155" i="2"/>
  <c r="V155" i="2"/>
  <c r="W155" i="2"/>
  <c r="R156" i="2"/>
  <c r="H156" i="2"/>
  <c r="S156" i="2"/>
  <c r="J156" i="2"/>
  <c r="T156" i="2"/>
  <c r="O156" i="2"/>
  <c r="Q156" i="2"/>
  <c r="K156" i="2"/>
  <c r="V156" i="2"/>
  <c r="W156" i="2"/>
  <c r="R157" i="2"/>
  <c r="H157" i="2"/>
  <c r="S157" i="2"/>
  <c r="J157" i="2"/>
  <c r="T157" i="2"/>
  <c r="O157" i="2"/>
  <c r="Q157" i="2"/>
  <c r="K157" i="2"/>
  <c r="V157" i="2"/>
  <c r="W157" i="2"/>
  <c r="R159" i="2"/>
  <c r="H159" i="2"/>
  <c r="J159" i="2"/>
  <c r="T159" i="2"/>
  <c r="O159" i="2"/>
  <c r="Q159" i="2"/>
  <c r="K159" i="2"/>
  <c r="W159" i="2"/>
  <c r="R160" i="2"/>
  <c r="H160" i="2"/>
  <c r="S160" i="2"/>
  <c r="J160" i="2"/>
  <c r="T160" i="2"/>
  <c r="O160" i="2"/>
  <c r="Q160" i="2"/>
  <c r="K160" i="2"/>
  <c r="V160" i="2"/>
  <c r="W160" i="2"/>
  <c r="R161" i="2"/>
  <c r="H161" i="2"/>
  <c r="S161" i="2"/>
  <c r="J161" i="2"/>
  <c r="T161" i="2"/>
  <c r="O161" i="2"/>
  <c r="Q161" i="2"/>
  <c r="K161" i="2"/>
  <c r="V161" i="2"/>
  <c r="W161" i="2"/>
  <c r="R162" i="2"/>
  <c r="H162" i="2"/>
  <c r="S162" i="2"/>
  <c r="J162" i="2"/>
  <c r="T162" i="2"/>
  <c r="O162" i="2"/>
  <c r="Q162" i="2"/>
  <c r="K162" i="2"/>
  <c r="V162" i="2"/>
  <c r="W162" i="2"/>
  <c r="R163" i="2"/>
  <c r="H163" i="2"/>
  <c r="S163" i="2"/>
  <c r="J163" i="2"/>
  <c r="T163" i="2"/>
  <c r="O163" i="2"/>
  <c r="Q163" i="2"/>
  <c r="K163" i="2"/>
  <c r="V163" i="2"/>
  <c r="W163" i="2"/>
  <c r="R164" i="2"/>
  <c r="H164" i="2"/>
  <c r="S164" i="2"/>
  <c r="J164" i="2"/>
  <c r="T164" i="2"/>
  <c r="O164" i="2"/>
  <c r="Q164" i="2"/>
  <c r="K164" i="2"/>
  <c r="V164" i="2"/>
  <c r="W164" i="2"/>
  <c r="R165" i="2"/>
  <c r="H165" i="2"/>
  <c r="S165" i="2"/>
  <c r="J165" i="2"/>
  <c r="T165" i="2"/>
  <c r="O165" i="2"/>
  <c r="Q165" i="2"/>
  <c r="K165" i="2"/>
  <c r="V165" i="2"/>
  <c r="W165" i="2"/>
  <c r="E167" i="2"/>
  <c r="R167" i="2"/>
  <c r="H167" i="2"/>
  <c r="J167" i="2"/>
  <c r="T167" i="2"/>
  <c r="O167" i="2"/>
  <c r="Q167" i="2"/>
  <c r="K167" i="2"/>
  <c r="W167" i="2"/>
  <c r="R168" i="2"/>
  <c r="H168" i="2"/>
  <c r="S168" i="2"/>
  <c r="J168" i="2"/>
  <c r="T168" i="2"/>
  <c r="O168" i="2"/>
  <c r="K168" i="2"/>
  <c r="V168" i="2"/>
  <c r="R169" i="2"/>
  <c r="H169" i="2"/>
  <c r="S169" i="2"/>
  <c r="J169" i="2"/>
  <c r="T169" i="2"/>
  <c r="O169" i="2"/>
  <c r="Q169" i="2"/>
  <c r="K169" i="2"/>
  <c r="V169" i="2"/>
  <c r="W169" i="2"/>
  <c r="R170" i="2"/>
  <c r="H170" i="2"/>
  <c r="S170" i="2"/>
  <c r="J170" i="2"/>
  <c r="T170" i="2"/>
  <c r="O170" i="2"/>
  <c r="Q170" i="2"/>
  <c r="K170" i="2"/>
  <c r="V170" i="2"/>
  <c r="W170" i="2"/>
  <c r="R171" i="2"/>
  <c r="H171" i="2"/>
  <c r="S171" i="2"/>
  <c r="J171" i="2"/>
  <c r="T171" i="2"/>
  <c r="O171" i="2"/>
  <c r="Q171" i="2"/>
  <c r="K171" i="2"/>
  <c r="V171" i="2"/>
  <c r="W171" i="2"/>
  <c r="R172" i="2"/>
  <c r="H172" i="2"/>
  <c r="S172" i="2"/>
  <c r="J172" i="2"/>
  <c r="T172" i="2"/>
  <c r="O172" i="2"/>
  <c r="Q172" i="2"/>
  <c r="K172" i="2"/>
  <c r="V172" i="2"/>
  <c r="W172" i="2"/>
  <c r="R173" i="2"/>
  <c r="H173" i="2"/>
  <c r="S173" i="2"/>
  <c r="J173" i="2"/>
  <c r="T173" i="2"/>
  <c r="O173" i="2"/>
  <c r="Q173" i="2"/>
  <c r="K173" i="2"/>
  <c r="V173" i="2"/>
  <c r="W173" i="2"/>
  <c r="H2" i="2"/>
  <c r="J2" i="2"/>
  <c r="T2" i="2"/>
  <c r="S2" i="2"/>
  <c r="R2" i="2"/>
  <c r="P80" i="2"/>
  <c r="P161" i="2"/>
  <c r="P160" i="2"/>
  <c r="P144" i="2"/>
  <c r="P145" i="2"/>
  <c r="P146" i="2"/>
  <c r="P147" i="2"/>
  <c r="P148" i="2"/>
  <c r="P149" i="2"/>
  <c r="P152" i="2"/>
  <c r="P153" i="2"/>
  <c r="P154" i="2"/>
  <c r="P155" i="2"/>
  <c r="P156" i="2"/>
  <c r="P157" i="2"/>
  <c r="P162" i="2"/>
  <c r="P163" i="2"/>
  <c r="P164" i="2"/>
  <c r="P165" i="2"/>
  <c r="P168" i="2"/>
  <c r="P169" i="2"/>
  <c r="P170" i="2"/>
  <c r="P171" i="2"/>
  <c r="P172" i="2"/>
  <c r="P173" i="2"/>
  <c r="P112" i="2"/>
  <c r="P113" i="2"/>
  <c r="P114" i="2"/>
  <c r="P115" i="2"/>
  <c r="P116" i="2"/>
  <c r="P117" i="2"/>
  <c r="P120" i="2"/>
  <c r="P121" i="2"/>
  <c r="P122" i="2"/>
  <c r="P123" i="2"/>
  <c r="P124" i="2"/>
  <c r="P125" i="2"/>
  <c r="P128" i="2"/>
  <c r="P129" i="2"/>
  <c r="P130" i="2"/>
  <c r="P131" i="2"/>
  <c r="P132" i="2"/>
  <c r="P133" i="2"/>
  <c r="P65" i="2"/>
  <c r="P66" i="2"/>
  <c r="P67" i="2"/>
  <c r="P68" i="2"/>
  <c r="P69" i="2"/>
  <c r="P72" i="2"/>
  <c r="P73" i="2"/>
  <c r="P74" i="2"/>
  <c r="P75" i="2"/>
  <c r="P76" i="2"/>
  <c r="P77" i="2"/>
  <c r="P81" i="2"/>
  <c r="P82" i="2"/>
  <c r="P83" i="2"/>
  <c r="P84" i="2"/>
  <c r="P85" i="2"/>
  <c r="P88" i="2"/>
  <c r="P89" i="2"/>
  <c r="P90" i="2"/>
  <c r="P91" i="2"/>
  <c r="P92" i="2"/>
  <c r="P93" i="2"/>
  <c r="P96" i="2"/>
  <c r="P97" i="2"/>
  <c r="P98" i="2"/>
  <c r="P99" i="2"/>
  <c r="P100" i="2"/>
  <c r="P101" i="2"/>
  <c r="P64" i="2"/>
  <c r="P35" i="2"/>
  <c r="P37" i="2"/>
  <c r="P38" i="2"/>
  <c r="P39" i="2"/>
  <c r="P40" i="2"/>
  <c r="P42" i="2"/>
  <c r="P43" i="2"/>
  <c r="P45" i="2"/>
  <c r="P46" i="2"/>
  <c r="P34" i="2"/>
  <c r="P22" i="2"/>
  <c r="P23" i="2"/>
  <c r="P24" i="2"/>
  <c r="P25" i="2"/>
  <c r="P10" i="2"/>
  <c r="P11" i="2"/>
  <c r="P12" i="2"/>
  <c r="P13" i="2"/>
  <c r="P9" i="2"/>
  <c r="I4" i="2"/>
  <c r="I3" i="2"/>
  <c r="I5" i="2"/>
  <c r="I7" i="2"/>
  <c r="I8" i="2"/>
  <c r="I15" i="2"/>
  <c r="I16" i="2"/>
  <c r="I17" i="2"/>
  <c r="I19" i="2"/>
  <c r="I20" i="2"/>
  <c r="I26" i="2"/>
  <c r="I28" i="2"/>
  <c r="I29" i="2"/>
  <c r="I45" i="2"/>
  <c r="I46" i="2"/>
  <c r="I47" i="2"/>
  <c r="I48" i="2"/>
  <c r="I49" i="2"/>
  <c r="I50" i="2"/>
  <c r="I51" i="2"/>
  <c r="I52" i="2"/>
  <c r="I53" i="2"/>
  <c r="I55" i="2"/>
  <c r="I56" i="2"/>
  <c r="I57" i="2"/>
  <c r="I58" i="2"/>
  <c r="I59" i="2"/>
  <c r="I60" i="2"/>
  <c r="I61" i="2"/>
  <c r="I63" i="2"/>
  <c r="I64" i="2"/>
  <c r="I65" i="2"/>
  <c r="I66" i="2"/>
  <c r="I67" i="2"/>
  <c r="I68" i="2"/>
  <c r="I69" i="2"/>
  <c r="I71" i="2"/>
  <c r="I72" i="2"/>
  <c r="I73" i="2"/>
  <c r="I74" i="2"/>
  <c r="I75" i="2"/>
  <c r="I76" i="2"/>
  <c r="I77" i="2"/>
  <c r="I80" i="2"/>
  <c r="I81" i="2"/>
  <c r="I82" i="2"/>
  <c r="I83" i="2"/>
  <c r="I84" i="2"/>
  <c r="I85" i="2"/>
  <c r="I88" i="2"/>
  <c r="I89" i="2"/>
  <c r="I90" i="2"/>
  <c r="I91" i="2"/>
  <c r="I92" i="2"/>
  <c r="I93" i="2"/>
  <c r="I96" i="2"/>
  <c r="I97" i="2"/>
  <c r="I98" i="2"/>
  <c r="I99" i="2"/>
  <c r="I100" i="2"/>
  <c r="I101" i="2"/>
  <c r="I104" i="2"/>
  <c r="I105" i="2"/>
  <c r="I106" i="2"/>
  <c r="I107" i="2"/>
  <c r="I108" i="2"/>
  <c r="I109" i="2"/>
  <c r="I111" i="2"/>
  <c r="I112" i="2"/>
  <c r="I113" i="2"/>
  <c r="I114" i="2"/>
  <c r="I115" i="2"/>
  <c r="I116" i="2"/>
  <c r="I117" i="2"/>
  <c r="I119" i="2"/>
  <c r="I120" i="2"/>
  <c r="I121" i="2"/>
  <c r="I122" i="2"/>
  <c r="I123" i="2"/>
  <c r="I124" i="2"/>
  <c r="I125" i="2"/>
  <c r="I128" i="2"/>
  <c r="I129" i="2"/>
  <c r="I130" i="2"/>
  <c r="I131" i="2"/>
  <c r="I132" i="2"/>
  <c r="I133" i="2"/>
  <c r="I135" i="2"/>
  <c r="I136" i="2"/>
  <c r="I137" i="2"/>
  <c r="I138" i="2"/>
  <c r="I139" i="2"/>
  <c r="I140" i="2"/>
  <c r="I141" i="2"/>
  <c r="I143" i="2"/>
  <c r="I144" i="2"/>
  <c r="I145" i="2"/>
  <c r="I146" i="2"/>
  <c r="I147" i="2"/>
  <c r="I148" i="2"/>
  <c r="I149" i="2"/>
  <c r="I152" i="2"/>
  <c r="I153" i="2"/>
  <c r="I154" i="2"/>
  <c r="I155" i="2"/>
  <c r="I156" i="2"/>
  <c r="I157" i="2"/>
  <c r="I160" i="2"/>
  <c r="I161" i="2"/>
  <c r="I162" i="2"/>
  <c r="I163" i="2"/>
  <c r="I164" i="2"/>
  <c r="I165" i="2"/>
  <c r="I168" i="2"/>
  <c r="I169" i="2"/>
  <c r="I170" i="2"/>
  <c r="I171" i="2"/>
  <c r="I172" i="2"/>
  <c r="I173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I187" i="2"/>
  <c r="G188" i="2"/>
  <c r="F188" i="2"/>
  <c r="H188" i="2"/>
  <c r="I188" i="2"/>
  <c r="G189" i="2"/>
  <c r="F189" i="2"/>
  <c r="H189" i="2"/>
  <c r="I189" i="2"/>
  <c r="G190" i="2"/>
  <c r="F190" i="2"/>
  <c r="H190" i="2"/>
  <c r="I190" i="2"/>
  <c r="G191" i="2"/>
  <c r="F191" i="2"/>
  <c r="H191" i="2"/>
  <c r="I191" i="2"/>
  <c r="G192" i="2"/>
  <c r="F192" i="2"/>
  <c r="H192" i="2"/>
  <c r="I192" i="2"/>
  <c r="G193" i="2"/>
  <c r="F193" i="2"/>
  <c r="H193" i="2"/>
  <c r="I193" i="2"/>
  <c r="G194" i="2"/>
  <c r="F194" i="2"/>
  <c r="H194" i="2"/>
  <c r="I194" i="2"/>
  <c r="I195" i="2"/>
  <c r="I196" i="2"/>
  <c r="I197" i="2"/>
  <c r="F198" i="2"/>
  <c r="G198" i="2"/>
  <c r="H198" i="2"/>
  <c r="I198" i="2"/>
  <c r="F199" i="2"/>
  <c r="G199" i="2"/>
  <c r="H199" i="2"/>
  <c r="I199" i="2"/>
  <c r="G200" i="2"/>
  <c r="F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I2" i="2"/>
  <c r="E199" i="2"/>
  <c r="E200" i="2"/>
  <c r="E201" i="2"/>
  <c r="E202" i="2"/>
  <c r="E203" i="2"/>
  <c r="E204" i="2"/>
  <c r="E198" i="2"/>
  <c r="J199" i="2"/>
  <c r="D199" i="2"/>
  <c r="J200" i="2"/>
  <c r="D200" i="2"/>
  <c r="J201" i="2"/>
  <c r="D201" i="2"/>
  <c r="J202" i="2"/>
  <c r="D202" i="2"/>
  <c r="J203" i="2"/>
  <c r="D203" i="2"/>
  <c r="J204" i="2"/>
  <c r="D204" i="2"/>
  <c r="D206" i="2"/>
  <c r="J198" i="2"/>
  <c r="D198" i="2"/>
  <c r="D205" i="2"/>
  <c r="E189" i="2"/>
  <c r="J189" i="2"/>
  <c r="D189" i="2"/>
  <c r="E190" i="2"/>
  <c r="J190" i="2"/>
  <c r="D190" i="2"/>
  <c r="E191" i="2"/>
  <c r="J191" i="2"/>
  <c r="D191" i="2"/>
  <c r="E192" i="2"/>
  <c r="J192" i="2"/>
  <c r="D192" i="2"/>
  <c r="E193" i="2"/>
  <c r="J193" i="2"/>
  <c r="D193" i="2"/>
  <c r="E194" i="2"/>
  <c r="J194" i="2"/>
  <c r="D194" i="2"/>
  <c r="D196" i="2"/>
  <c r="E180" i="2"/>
  <c r="E188" i="2"/>
  <c r="J188" i="2"/>
  <c r="D188" i="2"/>
  <c r="D195" i="2"/>
  <c r="J195" i="2"/>
  <c r="J180" i="2"/>
  <c r="J181" i="2"/>
  <c r="J182" i="2"/>
  <c r="J183" i="2"/>
  <c r="J184" i="2"/>
  <c r="J185" i="2"/>
  <c r="J186" i="2"/>
  <c r="J187" i="2"/>
  <c r="Q180" i="2"/>
  <c r="Q181" i="2"/>
  <c r="Q182" i="2"/>
  <c r="Q183" i="2"/>
  <c r="Q184" i="2"/>
  <c r="Q185" i="2"/>
  <c r="Q186" i="2"/>
  <c r="Q187" i="2"/>
  <c r="L187" i="2"/>
  <c r="K186" i="2"/>
  <c r="K185" i="2"/>
  <c r="K184" i="2"/>
  <c r="K183" i="2"/>
  <c r="K182" i="2"/>
  <c r="K181" i="2"/>
  <c r="K180" i="2"/>
  <c r="D186" i="2"/>
  <c r="D185" i="2"/>
  <c r="D184" i="2"/>
  <c r="D183" i="2"/>
  <c r="D182" i="2"/>
  <c r="D181" i="2"/>
  <c r="D180" i="2"/>
  <c r="O44" i="2"/>
  <c r="D56" i="2"/>
  <c r="D57" i="2"/>
  <c r="D58" i="2"/>
  <c r="D59" i="2"/>
  <c r="D151" i="2"/>
  <c r="D153" i="2"/>
  <c r="D154" i="2"/>
  <c r="D155" i="2"/>
  <c r="D156" i="2"/>
  <c r="D157" i="2"/>
  <c r="D159" i="2"/>
  <c r="D160" i="2"/>
  <c r="D161" i="2"/>
  <c r="D162" i="2"/>
  <c r="D163" i="2"/>
  <c r="D164" i="2"/>
  <c r="D165" i="2"/>
  <c r="D167" i="2"/>
  <c r="D168" i="2"/>
  <c r="D169" i="2"/>
  <c r="D170" i="2"/>
  <c r="D171" i="2"/>
  <c r="D172" i="2"/>
  <c r="D173" i="2"/>
  <c r="D101" i="2"/>
  <c r="D100" i="2"/>
  <c r="D99" i="2"/>
  <c r="D98" i="2"/>
  <c r="D97" i="2"/>
  <c r="D96" i="2"/>
  <c r="D95" i="2"/>
  <c r="D85" i="2"/>
  <c r="D84" i="2"/>
  <c r="D83" i="2"/>
  <c r="D82" i="2"/>
  <c r="D81" i="2"/>
  <c r="D80" i="2"/>
  <c r="D79" i="2"/>
  <c r="D26" i="2"/>
  <c r="D27" i="2"/>
  <c r="D28" i="2"/>
  <c r="D29" i="2"/>
  <c r="D30" i="2"/>
  <c r="D31" i="2"/>
  <c r="D32" i="2"/>
  <c r="D3" i="2"/>
  <c r="D4" i="2"/>
  <c r="D5" i="2"/>
  <c r="D6" i="2"/>
  <c r="D7" i="2"/>
  <c r="D8" i="2"/>
  <c r="D14" i="2"/>
  <c r="D15" i="2"/>
  <c r="D16" i="2"/>
  <c r="D17" i="2"/>
  <c r="D18" i="2"/>
  <c r="D19" i="2"/>
  <c r="D20" i="2"/>
  <c r="D44" i="2"/>
  <c r="D45" i="2"/>
  <c r="D46" i="2"/>
  <c r="D47" i="2"/>
  <c r="D48" i="2"/>
  <c r="D49" i="2"/>
  <c r="D50" i="2"/>
  <c r="D51" i="2"/>
  <c r="D52" i="2"/>
  <c r="D53" i="2"/>
  <c r="D55" i="2"/>
  <c r="D60" i="2"/>
  <c r="D61" i="2"/>
  <c r="D63" i="2"/>
  <c r="D64" i="2"/>
  <c r="D65" i="2"/>
  <c r="D66" i="2"/>
  <c r="D67" i="2"/>
  <c r="D68" i="2"/>
  <c r="D69" i="2"/>
  <c r="D71" i="2"/>
  <c r="D72" i="2"/>
  <c r="D73" i="2"/>
  <c r="D74" i="2"/>
  <c r="D75" i="2"/>
  <c r="D76" i="2"/>
  <c r="D77" i="2"/>
  <c r="D87" i="2"/>
  <c r="D88" i="2"/>
  <c r="D89" i="2"/>
  <c r="D90" i="2"/>
  <c r="D91" i="2"/>
  <c r="D92" i="2"/>
  <c r="D93" i="2"/>
  <c r="D103" i="2"/>
  <c r="D104" i="2"/>
  <c r="D105" i="2"/>
  <c r="D106" i="2"/>
  <c r="D107" i="2"/>
  <c r="D108" i="2"/>
  <c r="D109" i="2"/>
  <c r="D111" i="2"/>
  <c r="D112" i="2"/>
  <c r="D113" i="2"/>
  <c r="D114" i="2"/>
  <c r="D115" i="2"/>
  <c r="D116" i="2"/>
  <c r="D117" i="2"/>
  <c r="D119" i="2"/>
  <c r="D120" i="2"/>
  <c r="D121" i="2"/>
  <c r="D122" i="2"/>
  <c r="D123" i="2"/>
  <c r="D124" i="2"/>
  <c r="D125" i="2"/>
  <c r="D127" i="2"/>
  <c r="D128" i="2"/>
  <c r="D129" i="2"/>
  <c r="D130" i="2"/>
  <c r="D131" i="2"/>
  <c r="D132" i="2"/>
  <c r="D133" i="2"/>
  <c r="D135" i="2"/>
  <c r="D136" i="2"/>
  <c r="D137" i="2"/>
  <c r="D138" i="2"/>
  <c r="D139" i="2"/>
  <c r="D140" i="2"/>
  <c r="D141" i="2"/>
  <c r="D143" i="2"/>
  <c r="D144" i="2"/>
  <c r="D145" i="2"/>
  <c r="D146" i="2"/>
  <c r="D147" i="2"/>
  <c r="D148" i="2"/>
  <c r="D149" i="2"/>
  <c r="D2" i="2"/>
</calcChain>
</file>

<file path=xl/sharedStrings.xml><?xml version="1.0" encoding="utf-8"?>
<sst xmlns="http://schemas.openxmlformats.org/spreadsheetml/2006/main" count="1089" uniqueCount="384">
  <si>
    <t>ID</t>
  </si>
  <si>
    <t>Name</t>
  </si>
  <si>
    <t>AGR</t>
  </si>
  <si>
    <t>BAR</t>
  </si>
  <si>
    <t>CMM_EARLY_ALL</t>
  </si>
  <si>
    <t>CMM_MID_CL</t>
  </si>
  <si>
    <t>CMM_MID_OPEN</t>
  </si>
  <si>
    <t>GRASS</t>
  </si>
  <si>
    <t>LPN_EARLY_ALL</t>
  </si>
  <si>
    <t>LPN_MID_CL</t>
  </si>
  <si>
    <t>LPN_MID_OP</t>
  </si>
  <si>
    <t>LPN_LATE_CL</t>
  </si>
  <si>
    <t>LPN_LATE_OP</t>
  </si>
  <si>
    <t>LPN_ASP_EARLY_ASP</t>
  </si>
  <si>
    <t>LPN_ASP_MID_ASP</t>
  </si>
  <si>
    <t>LPN_ASP_MID_AC</t>
  </si>
  <si>
    <t>LPN_ASP_LATE_CA</t>
  </si>
  <si>
    <t>LPN_ASP_LATE_CL</t>
  </si>
  <si>
    <t>LSG_EARLY_ALL</t>
  </si>
  <si>
    <t>LSG_LATE_CL</t>
  </si>
  <si>
    <t>LSG_LATE_OP</t>
  </si>
  <si>
    <t>MED</t>
  </si>
  <si>
    <t>MRIP_EARLY_ALL</t>
  </si>
  <si>
    <t>OAK_EARLY_ALL</t>
  </si>
  <si>
    <t>OAK_LATE_CL</t>
  </si>
  <si>
    <t>OAK_LATE_OP</t>
  </si>
  <si>
    <t>OCFW_EARLY_ALL</t>
  </si>
  <si>
    <t>OCFW_MID_CL</t>
  </si>
  <si>
    <t>OCFW_MID_OP</t>
  </si>
  <si>
    <t>OCFW_U_EARLY_ALL</t>
  </si>
  <si>
    <t>OCFW_U_MID_CL</t>
  </si>
  <si>
    <t>OCFW_U_MID_OP</t>
  </si>
  <si>
    <t>RFR_ASP_EARLY_ASP</t>
  </si>
  <si>
    <t>RFR_ASP_MID_ASP</t>
  </si>
  <si>
    <t>RFR_ASP_MID_AC</t>
  </si>
  <si>
    <t>RFR_ASP_LATE_CL</t>
  </si>
  <si>
    <t>RFR_ASP_LATE_CA</t>
  </si>
  <si>
    <t>RFR_M_EARLY_ALL</t>
  </si>
  <si>
    <t>RFR_M_MID_CL</t>
  </si>
  <si>
    <t>RFR_M_MID_OP</t>
  </si>
  <si>
    <t>RFR_M_LATE_CL</t>
  </si>
  <si>
    <t>RFR_M_LATE_OP</t>
  </si>
  <si>
    <t>RFR_U_EARLY_ALL</t>
  </si>
  <si>
    <t>RFR_U_MID_CL</t>
  </si>
  <si>
    <t>RFR_U_MID_OP</t>
  </si>
  <si>
    <t>RFR_U_LATE_CL</t>
  </si>
  <si>
    <t>RFR_U_LATE_OP</t>
  </si>
  <si>
    <t>RFR_X_EARLY_ALL</t>
  </si>
  <si>
    <t>RFR_X_MID_CL</t>
  </si>
  <si>
    <t>RFR_X_MID_OP</t>
  </si>
  <si>
    <t>RFR_X_LATE_CL</t>
  </si>
  <si>
    <t>RFR_X_LATE_OP</t>
  </si>
  <si>
    <t>SAGE_EARLY_ALL</t>
  </si>
  <si>
    <t>SAGE_MID_CL</t>
  </si>
  <si>
    <t>SAGE_MID_OP</t>
  </si>
  <si>
    <t>SAGE_LATE_CL</t>
  </si>
  <si>
    <t>SAGE_LATE_OP</t>
  </si>
  <si>
    <t>SCN_EARLY_ALL</t>
  </si>
  <si>
    <t>SCN_MID_CL</t>
  </si>
  <si>
    <t>SCN_MID_OP</t>
  </si>
  <si>
    <t>SCN_LATE_CL</t>
  </si>
  <si>
    <t>SCN_LATE_OP</t>
  </si>
  <si>
    <t>SCN_ASP_EARLY_ASP</t>
  </si>
  <si>
    <t>SCN_ASP_MID_ASP</t>
  </si>
  <si>
    <t>SCN_ASP_LATE_CA</t>
  </si>
  <si>
    <t>SMC_ASP_EARLY_ASP</t>
  </si>
  <si>
    <t>SMC_ASP_MID_ASP</t>
  </si>
  <si>
    <t>SMC_ASP_MID_AC</t>
  </si>
  <si>
    <t>SMC_ASP_LATE_CL</t>
  </si>
  <si>
    <t>SMC_ASP_LATE_CA</t>
  </si>
  <si>
    <t>SMC_M_EARLY_ALL</t>
  </si>
  <si>
    <t>SMC_M_MID_CL</t>
  </si>
  <si>
    <t>SMC_M_MID_OP</t>
  </si>
  <si>
    <t>SMC_M_LATE_CL</t>
  </si>
  <si>
    <t>SMC_M_LATE_OP</t>
  </si>
  <si>
    <t>SMC_U_EARLY_ALL</t>
  </si>
  <si>
    <t>SMC_U_MID_CL</t>
  </si>
  <si>
    <t>SMC_U_MID_OP</t>
  </si>
  <si>
    <t>SMC_U_LATE_CL</t>
  </si>
  <si>
    <t>SMC_U_LATE_OP</t>
  </si>
  <si>
    <t>SMC_X_EARLY_ALL</t>
  </si>
  <si>
    <t>SMC_X_MID_CL</t>
  </si>
  <si>
    <t>SMC_X_MID_OP</t>
  </si>
  <si>
    <t>SMC_X_LATE_CL</t>
  </si>
  <si>
    <t>SMC_X_LATE_OP</t>
  </si>
  <si>
    <t>URB</t>
  </si>
  <si>
    <t>WAT</t>
  </si>
  <si>
    <t>WWP_EARLY_ASP</t>
  </si>
  <si>
    <t>WWP_MID_CL</t>
  </si>
  <si>
    <t>WWP_MID_OP</t>
  </si>
  <si>
    <t>WWP_LATE_CL</t>
  </si>
  <si>
    <t>WWP_LATE_OP</t>
  </si>
  <si>
    <t>YPN_EARLY_ALL</t>
  </si>
  <si>
    <t>YPN_MID_CL</t>
  </si>
  <si>
    <t>YPN_MID_OP</t>
  </si>
  <si>
    <t>YPN_LATE_CL</t>
  </si>
  <si>
    <t>YPN_LATE_OP</t>
  </si>
  <si>
    <t>YPN_ASP_EARLY_ASP</t>
  </si>
  <si>
    <t>YPN_ASP_MID_ASP</t>
  </si>
  <si>
    <t>YPN_ASP_LATE_CA</t>
  </si>
  <si>
    <t>VDDT High Severity Prob</t>
  </si>
  <si>
    <t>VDDT Low Severity Prob</t>
  </si>
  <si>
    <t>VDDT Any Severity (sum)</t>
  </si>
  <si>
    <t>CMM_LATE_CL</t>
  </si>
  <si>
    <t>CMM_LATE_OPEN</t>
  </si>
  <si>
    <t>LSG_MID_CL</t>
  </si>
  <si>
    <t>LSG_MID_OP</t>
  </si>
  <si>
    <t>VDDT Proportion High Severity</t>
  </si>
  <si>
    <t>OCFW_LATE_CL</t>
  </si>
  <si>
    <t>OCFW_LATE_OP</t>
  </si>
  <si>
    <t>Hugh Proportion High Severity</t>
  </si>
  <si>
    <t>VDDT Surface</t>
  </si>
  <si>
    <t>VDDT Mixed</t>
  </si>
  <si>
    <t>BPS</t>
  </si>
  <si>
    <t>MEG_M_EARLY_ALL</t>
  </si>
  <si>
    <t>MEG_M_MID_CL</t>
  </si>
  <si>
    <t>MEG_M_MID_OP</t>
  </si>
  <si>
    <t>MEG_M_LATE_CL</t>
  </si>
  <si>
    <t>MEG_M_LATE_OP</t>
  </si>
  <si>
    <t>MEG_U_EARLY_ALL</t>
  </si>
  <si>
    <t>MEG_U_LATE_CL</t>
  </si>
  <si>
    <t>MEG_U_LATE_OP</t>
  </si>
  <si>
    <t>MEG_X_EARLY_ALL</t>
  </si>
  <si>
    <t>MEG_X_LATE_CL</t>
  </si>
  <si>
    <t>MEG_X_LATE_OP</t>
  </si>
  <si>
    <t>MRIP_MID_OP</t>
  </si>
  <si>
    <t>MRIP_LATE_OP</t>
  </si>
  <si>
    <t>OAK_MID_CL</t>
  </si>
  <si>
    <t>OAK_MID_MOD</t>
  </si>
  <si>
    <t>OAK_MID_OP</t>
  </si>
  <si>
    <t>MEG_X_MID_CL</t>
  </si>
  <si>
    <t>MEG_X_MID_MOD</t>
  </si>
  <si>
    <t>MEG_X_MID_OP</t>
  </si>
  <si>
    <t>MEG_X_LATE_MOD</t>
  </si>
  <si>
    <t>MEG_M_MID_MOD</t>
  </si>
  <si>
    <t>MEG_M_LATE_MOD</t>
  </si>
  <si>
    <t>MEG_U_MID_CL</t>
  </si>
  <si>
    <t>MEG_U_MID_MOD</t>
  </si>
  <si>
    <t>MEG_U_MID_OP</t>
  </si>
  <si>
    <t>MEG_U_LATE_MOD</t>
  </si>
  <si>
    <t>CMM_MID_MOD</t>
  </si>
  <si>
    <t>CMM_LATE_MOD</t>
  </si>
  <si>
    <t>LSG_MID_MOD</t>
  </si>
  <si>
    <t>LSG_LATE_MOD</t>
  </si>
  <si>
    <t>SAGE_MID_MOD</t>
  </si>
  <si>
    <t>SAGE_LATE_MOD</t>
  </si>
  <si>
    <t>LPN_MID_MOD</t>
  </si>
  <si>
    <t>LPN_LATE_MOD</t>
  </si>
  <si>
    <t>OAK_LATE_MOD</t>
  </si>
  <si>
    <t>OCFW_MID_MOD</t>
  </si>
  <si>
    <t>OCFW_LATE_MOD</t>
  </si>
  <si>
    <t>OCFW_U_MID_MOD</t>
  </si>
  <si>
    <t>RFR_M_MID_MOD</t>
  </si>
  <si>
    <t>RFR_M_LATE_MOD</t>
  </si>
  <si>
    <t>RFR_U_MID_MOD</t>
  </si>
  <si>
    <t>RFR_U_LATE_MOD</t>
  </si>
  <si>
    <t>RFR_X_MID_MOD</t>
  </si>
  <si>
    <t>RFR_X_LATE_MOD</t>
  </si>
  <si>
    <t>SCN_MID_MOD</t>
  </si>
  <si>
    <t>SCN_LATE_MOD</t>
  </si>
  <si>
    <t>SMC_M_MID_MOD</t>
  </si>
  <si>
    <t>SMC_M_LATE_MOD</t>
  </si>
  <si>
    <t>SMC_U_MID_MOD</t>
  </si>
  <si>
    <t>SMC_U_LATE_MOD</t>
  </si>
  <si>
    <t>SMC_X_MID_MOD</t>
  </si>
  <si>
    <t>SMC_X_LATE_MOD</t>
  </si>
  <si>
    <t>WWP_MID_MOD</t>
  </si>
  <si>
    <t>WWP_LATE_MOD</t>
  </si>
  <si>
    <t>YPN_MID_MOD</t>
  </si>
  <si>
    <t>YPN_LATE_MOD</t>
  </si>
  <si>
    <t>High extra detail surface</t>
  </si>
  <si>
    <t>Hugh extra detail mixed</t>
  </si>
  <si>
    <t>Hugh extra detail low</t>
  </si>
  <si>
    <t>Hugh extra detail high prob</t>
  </si>
  <si>
    <t>Hugh extra detail sum</t>
  </si>
  <si>
    <t>OCFW_U_LATE_CL</t>
  </si>
  <si>
    <t>OCFW_U_LATE_ MOD</t>
  </si>
  <si>
    <t>OCFW_U_LATE_OP</t>
  </si>
  <si>
    <t>VDDT Mixed/Low</t>
  </si>
  <si>
    <t>VDDT Age when trans possible</t>
  </si>
  <si>
    <t>VDDT Age when trans forced</t>
  </si>
  <si>
    <t>My rate</t>
  </si>
  <si>
    <t>VDDT Min Age</t>
  </si>
  <si>
    <t>if TSD matters</t>
  </si>
  <si>
    <t>120 YSD</t>
  </si>
  <si>
    <t>--</t>
  </si>
  <si>
    <t>Rate of change (if of interest)</t>
  </si>
  <si>
    <t>15 YSD</t>
  </si>
  <si>
    <t>to closed</t>
  </si>
  <si>
    <t>to late open</t>
  </si>
  <si>
    <t>24 YSD</t>
  </si>
  <si>
    <t>00</t>
  </si>
  <si>
    <t>to mid closed</t>
  </si>
  <si>
    <t>to late closed</t>
  </si>
  <si>
    <t>0.015 to CL; 0.005 to OP</t>
  </si>
  <si>
    <t>0.015 to CL; 0.015 to OP</t>
  </si>
  <si>
    <t>100 YSD</t>
  </si>
  <si>
    <t>65 YSD</t>
  </si>
  <si>
    <t>.01 to mid open</t>
  </si>
  <si>
    <t>.005 to OP, .01 to CL</t>
  </si>
  <si>
    <t>32 YSD</t>
  </si>
  <si>
    <t>35 YSD</t>
  </si>
  <si>
    <t>.005 to OP, 0.01 to CL</t>
  </si>
  <si>
    <t>45 YSD</t>
  </si>
  <si>
    <t>28 YSD</t>
  </si>
  <si>
    <t>30 YSD</t>
  </si>
  <si>
    <t>Hugh min</t>
  </si>
  <si>
    <t>Hugh max</t>
  </si>
  <si>
    <t>Hugh prob</t>
  </si>
  <si>
    <t>Hugh can transition</t>
  </si>
  <si>
    <t>25 YSD</t>
  </si>
  <si>
    <t>.3 OP, .3 CL</t>
  </si>
  <si>
    <t>145 (LDC)</t>
  </si>
  <si>
    <t>30 YSD*</t>
  </si>
  <si>
    <t>115 (LDS), 30 YSD*</t>
  </si>
  <si>
    <t>Open to closed YSD</t>
  </si>
  <si>
    <t>Open to closed rate</t>
  </si>
  <si>
    <t>My min condage</t>
  </si>
  <si>
    <t>My transition condage</t>
  </si>
  <si>
    <t>My max condage</t>
  </si>
  <si>
    <t>Open to closed max</t>
  </si>
  <si>
    <t>.42 to CL, .28 to OP</t>
  </si>
  <si>
    <t>at 50, 0.6 to CL, 0.4 to OP</t>
  </si>
  <si>
    <t>.36 to CL, .04 to OP</t>
  </si>
  <si>
    <t>at 80, .9 to CL, .1 to OP</t>
  </si>
  <si>
    <t>.53 to CL, .37 to OP</t>
  </si>
  <si>
    <t>at 40, .67 to CL, .33 to OP</t>
  </si>
  <si>
    <t>.56 to OP, .14 to CL</t>
  </si>
  <si>
    <t>.47 to CL, .23 to OP</t>
  </si>
  <si>
    <t>New rate</t>
  </si>
  <si>
    <t>New max condage</t>
  </si>
  <si>
    <t>New open to closed YSD</t>
  </si>
  <si>
    <t>New open to closed rate</t>
  </si>
  <si>
    <t>VDDT High FRI</t>
  </si>
  <si>
    <t>VDDT Low FRI</t>
  </si>
  <si>
    <t>VDDT Overall FRI</t>
  </si>
  <si>
    <t>Hugh High FRI</t>
  </si>
  <si>
    <t>Hugh Low FRI</t>
  </si>
  <si>
    <t>Hugh Overall FRI</t>
  </si>
  <si>
    <t>Target Proportion High</t>
  </si>
  <si>
    <t>Target High FRI</t>
  </si>
  <si>
    <t>Target Low FRI</t>
  </si>
  <si>
    <t>Target Overall FRI</t>
  </si>
  <si>
    <t>Hugh Mixed/Low</t>
  </si>
  <si>
    <t>SUSCEPTIBILITY</t>
  </si>
  <si>
    <t>MORTALITY</t>
  </si>
  <si>
    <t>Cover Type</t>
  </si>
  <si>
    <t>Left</t>
  </si>
  <si>
    <t>Right</t>
  </si>
  <si>
    <t>Slope</t>
  </si>
  <si>
    <t>Inflexion Point</t>
  </si>
  <si>
    <t>Agriculture</t>
  </si>
  <si>
    <t>Curl-leaf Mountain Mahogany</t>
  </si>
  <si>
    <t>Grassland</t>
  </si>
  <si>
    <t>Lodgepole Pine</t>
  </si>
  <si>
    <t>not sure what to do?</t>
  </si>
  <si>
    <t>Lodgepole Pine with Aspen</t>
  </si>
  <si>
    <t>Black and Low Sagebrush</t>
  </si>
  <si>
    <t>Meadow</t>
  </si>
  <si>
    <t>Montane Riparian</t>
  </si>
  <si>
    <t>Oak Woodland</t>
  </si>
  <si>
    <t>Oak-Conifer Forest and Woodland</t>
  </si>
  <si>
    <t>Oak-Conifer Forest and Woodland - Ultramafic</t>
  </si>
  <si>
    <t>Red Fir with Aspen</t>
  </si>
  <si>
    <t>Red Fir - Mesic</t>
  </si>
  <si>
    <t>Red Fir - Ultramafic</t>
  </si>
  <si>
    <t>Red Fir - Xeric</t>
  </si>
  <si>
    <t>Big Sagebrush</t>
  </si>
  <si>
    <t>Subalpine Conifer</t>
  </si>
  <si>
    <t>Subalpine Conifer with Aspen</t>
  </si>
  <si>
    <t>Sierran Mixed Conifer with Aspen</t>
  </si>
  <si>
    <t>Sierran Mixed Conifer - Mesic</t>
  </si>
  <si>
    <t>Sierran Mixed Conifer - Ultramafic</t>
  </si>
  <si>
    <t>Sierran Mixed Conifer - Xeric</t>
  </si>
  <si>
    <t>Urban</t>
  </si>
  <si>
    <t>Western White Pine</t>
  </si>
  <si>
    <t>Yellow Pine</t>
  </si>
  <si>
    <t>Yellow Pine with Aspen</t>
  </si>
  <si>
    <t>Mixed Evergreen - Mesic</t>
  </si>
  <si>
    <t>Mixed Evergreen - Ultramafic</t>
  </si>
  <si>
    <t>Mixed Evergreen - Xeric</t>
  </si>
  <si>
    <t>* change from 0.4 to 0.3 to meet years</t>
  </si>
  <si>
    <t>* change from 0.2 to 1.5 to meet years</t>
  </si>
  <si>
    <t>* change 0.3 to 0.2, 290 to 250</t>
  </si>
  <si>
    <t>* change 0.4 to 0.3</t>
  </si>
  <si>
    <t>* change rate from 0.45 to 0.3</t>
  </si>
  <si>
    <t>* change rate from 0.6 to 0.3</t>
  </si>
  <si>
    <t>* change rate from 0.6 to 0.4</t>
  </si>
  <si>
    <t>* change rate from 0.4 to 0.2</t>
  </si>
  <si>
    <t>* change rate from 0.5 to 0.3</t>
  </si>
  <si>
    <t>Original Cover FRI</t>
  </si>
  <si>
    <t>59
(assume DFTO)</t>
  </si>
  <si>
    <t>59
(assume MHW)</t>
  </si>
  <si>
    <t>Original Cover Proportion High Severity</t>
  </si>
  <si>
    <t>New min stageage</t>
  </si>
  <si>
    <t>New stage transition condage (or stageage)</t>
  </si>
  <si>
    <t>Age duration expressed in the terms used by that model. Thus, VDDT-based values are based on age, but "my" and "new" ages are based on stage age for transitions between stages, condition age for transitions between conditions.</t>
  </si>
  <si>
    <t>condition_id</t>
  </si>
  <si>
    <t>condition_name</t>
  </si>
  <si>
    <t>condition_abr</t>
  </si>
  <si>
    <t>Non-seral</t>
  </si>
  <si>
    <t>NS</t>
  </si>
  <si>
    <t>Early-All Structures</t>
  </si>
  <si>
    <t>EARLY_ALL</t>
  </si>
  <si>
    <t>Mid-Closed</t>
  </si>
  <si>
    <t>MID_CL</t>
  </si>
  <si>
    <t>Mid-Moderate</t>
  </si>
  <si>
    <t>MID_MOD</t>
  </si>
  <si>
    <t>Mid-Open</t>
  </si>
  <si>
    <t>MID_OP</t>
  </si>
  <si>
    <t>Late-Closed</t>
  </si>
  <si>
    <t>LATE_CL</t>
  </si>
  <si>
    <t>Late-Moderate</t>
  </si>
  <si>
    <t>LATE_MOD</t>
  </si>
  <si>
    <t>Late-Open</t>
  </si>
  <si>
    <t>LATE_OP</t>
  </si>
  <si>
    <t>Early-Aspen</t>
  </si>
  <si>
    <t>EARLY_ASP</t>
  </si>
  <si>
    <t>Mid-Aspen</t>
  </si>
  <si>
    <t>MID_ASP</t>
  </si>
  <si>
    <t>Mid-Aspen and Conifer</t>
  </si>
  <si>
    <t>MID_AC</t>
  </si>
  <si>
    <t>Late-Conifer and Aspen</t>
  </si>
  <si>
    <t>LATE_CA</t>
  </si>
  <si>
    <t>cover_id</t>
  </si>
  <si>
    <t>cover_name</t>
  </si>
  <si>
    <t>cover_abr</t>
  </si>
  <si>
    <t>conditions</t>
  </si>
  <si>
    <t>Barren</t>
  </si>
  <si>
    <t>CMM</t>
  </si>
  <si>
    <t>EARLY_ALL:MID_MOD:LATE_CL</t>
  </si>
  <si>
    <t>LPN</t>
  </si>
  <si>
    <t>EARLY_ALL:MID_CL:MID_MOD:MID_OP:LATE_CL:LATE_MOD:LATE_OP</t>
  </si>
  <si>
    <t>LPN_ASP</t>
  </si>
  <si>
    <t>EARLY_ASP:MID_ASP:MID_AC:LATE_CL:LATE_CA</t>
  </si>
  <si>
    <t>LSG</t>
  </si>
  <si>
    <t>MEG_M</t>
  </si>
  <si>
    <t>MEG_U</t>
  </si>
  <si>
    <t>MEG_X</t>
  </si>
  <si>
    <t>MRIP</t>
  </si>
  <si>
    <t>EARLY_ALL:MID_OP:LATE_OP</t>
  </si>
  <si>
    <t>OAK</t>
  </si>
  <si>
    <t>OCFW</t>
  </si>
  <si>
    <t>OCFW_U</t>
  </si>
  <si>
    <t>RFR_ASP</t>
  </si>
  <si>
    <t>RFR_M</t>
  </si>
  <si>
    <t>RFR_U</t>
  </si>
  <si>
    <t>RFR_X</t>
  </si>
  <si>
    <t>SAGE</t>
  </si>
  <si>
    <t>SCN</t>
  </si>
  <si>
    <t>SCN_ASP</t>
  </si>
  <si>
    <t>EARLY_ASP:MID_ASP:LATE_CA</t>
  </si>
  <si>
    <t>SMC_ASP</t>
  </si>
  <si>
    <t>SMC_M</t>
  </si>
  <si>
    <t>SMC_U</t>
  </si>
  <si>
    <t>SMC_X</t>
  </si>
  <si>
    <t>Water</t>
  </si>
  <si>
    <t>WWP</t>
  </si>
  <si>
    <t>YPN</t>
  </si>
  <si>
    <t>YPN_ASP</t>
  </si>
  <si>
    <t>Values are the parameters for the logistic function that incorporates TPI into RMLands</t>
  </si>
  <si>
    <t>average</t>
  </si>
  <si>
    <t>New open to closed  min</t>
  </si>
  <si>
    <t>New average time in stage</t>
  </si>
  <si>
    <t>Average (from VDDT/Hugh)</t>
  </si>
  <si>
    <t>n/a</t>
  </si>
  <si>
    <t>NOTES</t>
  </si>
  <si>
    <t>Using Hugh's #, 2x as long as VDDT</t>
  </si>
  <si>
    <t>VDDT doesn't model open-closed transitions for this type</t>
  </si>
  <si>
    <t>The VDDT number would be just over 15</t>
  </si>
  <si>
    <t>VDDT number virtually identical</t>
  </si>
  <si>
    <t>Rate if new average used</t>
  </si>
  <si>
    <t>Average age if we just use hugh's YSD value</t>
  </si>
  <si>
    <t>Average age if we use 0.8 instead of 0.9</t>
  </si>
  <si>
    <t>Calculated average time of transition</t>
  </si>
  <si>
    <t>Time before eligible to transition (stage matters for transitions between stages; condition matters for transitions between conditions)</t>
  </si>
  <si>
    <t>Stage/condition age at which probability goes to 1</t>
  </si>
  <si>
    <t>Calculated average time in stage</t>
  </si>
  <si>
    <t>Time since fire requirement for open-&gt;mod, mod-&gt;closed</t>
  </si>
  <si>
    <t>Rate of transition between stages</t>
  </si>
  <si>
    <t>Rate of transition between conditions</t>
  </si>
  <si>
    <t>Hugh's value is my best guess his excel sheet is difficult to interpret</t>
  </si>
  <si>
    <t>Rate calculated from Average</t>
  </si>
  <si>
    <t>For both Red Fir, using these new rates, keeping original "time without fire"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</si>
</sst>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000000"/>
  </numFmts>
  <fonts count="10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5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7A3"/>
        <bgColor indexed="64"/>
      </patternFill>
    </fill>
    <fill>
      <patternFill patternType="solid">
        <fgColor rgb="FFDAE7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FFA7"/>
        <bgColor indexed="64"/>
      </patternFill>
    </fill>
    <fill>
      <patternFill patternType="solid">
        <fgColor rgb="FFF5FFA7"/>
        <bgColor rgb="FF000000"/>
      </patternFill>
    </fill>
    <fill>
      <patternFill patternType="solid">
        <fgColor rgb="FFFFF6E7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Alignment="1">
      <alignment wrapText="1"/>
    </xf>
    <xf numFmtId="164" fontId="1" fillId="0" borderId="0" xfId="0" applyNumberFormat="1" applyFont="1" applyFill="1" applyBorder="1"/>
    <xf numFmtId="166" fontId="0" fillId="0" borderId="0" xfId="0" applyNumberFormat="1" applyFill="1" applyBorder="1"/>
    <xf numFmtId="166" fontId="1" fillId="0" borderId="0" xfId="0" applyNumberFormat="1" applyFont="1" applyFill="1" applyBorder="1"/>
    <xf numFmtId="167" fontId="0" fillId="0" borderId="0" xfId="0" applyNumberFormat="1" applyFill="1" applyBorder="1"/>
    <xf numFmtId="167" fontId="0" fillId="0" borderId="0" xfId="0" applyNumberFormat="1" applyFill="1"/>
    <xf numFmtId="0" fontId="4" fillId="0" borderId="0" xfId="0" applyFont="1"/>
    <xf numFmtId="0" fontId="5" fillId="0" borderId="0" xfId="0" applyFont="1"/>
    <xf numFmtId="164" fontId="5" fillId="0" borderId="0" xfId="0" applyNumberFormat="1" applyFont="1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64" fontId="0" fillId="0" borderId="2" xfId="0" applyNumberFormat="1" applyFill="1" applyBorder="1"/>
    <xf numFmtId="167" fontId="0" fillId="0" borderId="2" xfId="0" applyNumberForma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164" fontId="0" fillId="0" borderId="5" xfId="0" applyNumberFormat="1" applyFill="1" applyBorder="1"/>
    <xf numFmtId="167" fontId="0" fillId="0" borderId="5" xfId="0" applyNumberFormat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166" fontId="0" fillId="0" borderId="2" xfId="0" applyNumberFormat="1" applyFill="1" applyBorder="1"/>
    <xf numFmtId="166" fontId="0" fillId="0" borderId="5" xfId="0" applyNumberFormat="1" applyFill="1" applyBorder="1"/>
    <xf numFmtId="0" fontId="0" fillId="0" borderId="0" xfId="0" quotePrefix="1"/>
    <xf numFmtId="0" fontId="0" fillId="0" borderId="6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0" fillId="0" borderId="5" xfId="0" quotePrefix="1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quotePrefix="1" applyBorder="1"/>
    <xf numFmtId="0" fontId="0" fillId="0" borderId="10" xfId="0" quotePrefix="1" applyBorder="1"/>
    <xf numFmtId="0" fontId="0" fillId="0" borderId="7" xfId="0" applyFill="1" applyBorder="1"/>
    <xf numFmtId="0" fontId="5" fillId="0" borderId="7" xfId="0" applyFont="1" applyBorder="1"/>
    <xf numFmtId="0" fontId="0" fillId="0" borderId="7" xfId="0" applyFill="1" applyBorder="1" applyAlignment="1">
      <alignment wrapText="1"/>
    </xf>
    <xf numFmtId="0" fontId="0" fillId="0" borderId="6" xfId="0" applyFill="1" applyBorder="1" applyAlignment="1">
      <alignment wrapText="1"/>
    </xf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5" xfId="0" applyNumberFormat="1" applyBorder="1"/>
    <xf numFmtId="0" fontId="5" fillId="0" borderId="0" xfId="0" applyFont="1" applyFill="1"/>
    <xf numFmtId="0" fontId="1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1" fontId="0" fillId="2" borderId="0" xfId="0" applyNumberFormat="1" applyFill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5" xfId="0" applyNumberFormat="1" applyFill="1" applyBorder="1"/>
    <xf numFmtId="0" fontId="0" fillId="2" borderId="0" xfId="0" applyFill="1"/>
    <xf numFmtId="0" fontId="0" fillId="3" borderId="0" xfId="0" applyFill="1" applyBorder="1" applyAlignment="1">
      <alignment wrapText="1"/>
    </xf>
    <xf numFmtId="0" fontId="0" fillId="3" borderId="0" xfId="0" applyFill="1"/>
    <xf numFmtId="0" fontId="0" fillId="3" borderId="2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4" borderId="0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/>
    <xf numFmtId="0" fontId="0" fillId="5" borderId="6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9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5" xfId="0" applyFill="1" applyBorder="1"/>
    <xf numFmtId="1" fontId="0" fillId="0" borderId="6" xfId="0" applyNumberFormat="1" applyFill="1" applyBorder="1"/>
    <xf numFmtId="1" fontId="0" fillId="0" borderId="0" xfId="0" applyNumberFormat="1" applyFill="1"/>
    <xf numFmtId="164" fontId="5" fillId="0" borderId="0" xfId="0" applyNumberFormat="1" applyFont="1" applyFill="1"/>
    <xf numFmtId="164" fontId="0" fillId="0" borderId="7" xfId="0" applyNumberFormat="1" applyFill="1" applyBorder="1"/>
    <xf numFmtId="166" fontId="0" fillId="0" borderId="0" xfId="0" applyNumberFormat="1" applyFill="1"/>
    <xf numFmtId="0" fontId="0" fillId="0" borderId="8" xfId="0" applyFill="1" applyBorder="1"/>
    <xf numFmtId="0" fontId="0" fillId="0" borderId="10" xfId="0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165" fontId="0" fillId="0" borderId="10" xfId="0" applyNumberFormat="1" applyFill="1" applyBorder="1"/>
    <xf numFmtId="167" fontId="0" fillId="0" borderId="7" xfId="0" applyNumberFormat="1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2" xfId="0" applyFill="1" applyBorder="1"/>
    <xf numFmtId="164" fontId="0" fillId="0" borderId="12" xfId="0" applyNumberFormat="1" applyFill="1" applyBorder="1"/>
    <xf numFmtId="167" fontId="0" fillId="0" borderId="12" xfId="0" applyNumberFormat="1" applyFill="1" applyBorder="1"/>
    <xf numFmtId="0" fontId="4" fillId="6" borderId="0" xfId="0" applyFont="1" applyFill="1"/>
    <xf numFmtId="0" fontId="7" fillId="5" borderId="0" xfId="0" applyFont="1" applyFill="1" applyBorder="1"/>
    <xf numFmtId="0" fontId="7" fillId="5" borderId="5" xfId="0" applyFont="1" applyFill="1" applyBorder="1"/>
    <xf numFmtId="0" fontId="8" fillId="6" borderId="0" xfId="0" applyFont="1" applyFill="1"/>
    <xf numFmtId="0" fontId="0" fillId="0" borderId="2" xfId="0" quotePrefix="1" applyBorder="1"/>
    <xf numFmtId="0" fontId="4" fillId="6" borderId="5" xfId="0" applyFont="1" applyFill="1" applyBorder="1"/>
    <xf numFmtId="0" fontId="4" fillId="6" borderId="2" xfId="0" applyFont="1" applyFill="1" applyBorder="1"/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0" fillId="2" borderId="0" xfId="0" applyFill="1" applyBorder="1"/>
    <xf numFmtId="0" fontId="9" fillId="0" borderId="0" xfId="0" applyFont="1" applyFill="1" applyBorder="1"/>
    <xf numFmtId="0" fontId="4" fillId="0" borderId="0" xfId="0" applyFont="1" applyFill="1" applyBorder="1"/>
    <xf numFmtId="0" fontId="0" fillId="7" borderId="0" xfId="0" applyFill="1" applyBorder="1"/>
    <xf numFmtId="0" fontId="4" fillId="7" borderId="0" xfId="0" applyFont="1" applyFill="1" applyBorder="1"/>
    <xf numFmtId="0" fontId="7" fillId="7" borderId="0" xfId="0" applyFont="1" applyFill="1" applyBorder="1"/>
    <xf numFmtId="0" fontId="8" fillId="7" borderId="0" xfId="0" applyFont="1" applyFill="1" applyBorder="1"/>
    <xf numFmtId="0" fontId="9" fillId="7" borderId="0" xfId="0" applyFont="1" applyFill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9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2" sqref="I12"/>
    </sheetView>
  </sheetViews>
  <sheetFormatPr baseColWidth="10" defaultRowHeight="15" x14ac:dyDescent="0"/>
  <cols>
    <col min="2" max="2" width="20.1640625" bestFit="1" customWidth="1"/>
    <col min="3" max="3" width="12.6640625" bestFit="1" customWidth="1"/>
    <col min="6" max="6" width="8.1640625" bestFit="1" customWidth="1"/>
    <col min="7" max="7" width="39" bestFit="1" customWidth="1"/>
    <col min="8" max="8" width="9.5" bestFit="1" customWidth="1"/>
    <col min="9" max="9" width="58.5" bestFit="1" customWidth="1"/>
  </cols>
  <sheetData>
    <row r="1" spans="1:9">
      <c r="A1" t="s">
        <v>297</v>
      </c>
      <c r="B1" t="s">
        <v>298</v>
      </c>
      <c r="C1" t="s">
        <v>299</v>
      </c>
      <c r="F1" t="s">
        <v>324</v>
      </c>
      <c r="G1" t="s">
        <v>325</v>
      </c>
      <c r="H1" t="s">
        <v>326</v>
      </c>
      <c r="I1" t="s">
        <v>327</v>
      </c>
    </row>
    <row r="2" spans="1:9">
      <c r="A2">
        <v>0</v>
      </c>
      <c r="B2" t="s">
        <v>300</v>
      </c>
      <c r="C2" t="s">
        <v>301</v>
      </c>
      <c r="F2">
        <v>1</v>
      </c>
      <c r="G2" t="s">
        <v>251</v>
      </c>
      <c r="H2" t="s">
        <v>2</v>
      </c>
      <c r="I2" t="s">
        <v>301</v>
      </c>
    </row>
    <row r="3" spans="1:9">
      <c r="A3">
        <v>10</v>
      </c>
      <c r="B3" t="s">
        <v>302</v>
      </c>
      <c r="C3" t="s">
        <v>303</v>
      </c>
      <c r="F3">
        <v>2</v>
      </c>
      <c r="G3" t="s">
        <v>328</v>
      </c>
      <c r="H3" t="s">
        <v>3</v>
      </c>
      <c r="I3" t="s">
        <v>301</v>
      </c>
    </row>
    <row r="4" spans="1:9">
      <c r="A4">
        <v>20</v>
      </c>
      <c r="B4" t="s">
        <v>304</v>
      </c>
      <c r="C4" t="s">
        <v>305</v>
      </c>
      <c r="F4">
        <v>3</v>
      </c>
      <c r="G4" t="s">
        <v>252</v>
      </c>
      <c r="H4" t="s">
        <v>329</v>
      </c>
      <c r="I4" t="s">
        <v>330</v>
      </c>
    </row>
    <row r="5" spans="1:9">
      <c r="A5">
        <v>21</v>
      </c>
      <c r="B5" t="s">
        <v>306</v>
      </c>
      <c r="C5" t="s">
        <v>307</v>
      </c>
      <c r="F5">
        <v>4</v>
      </c>
      <c r="G5" t="s">
        <v>253</v>
      </c>
      <c r="H5" t="s">
        <v>7</v>
      </c>
      <c r="I5" t="s">
        <v>301</v>
      </c>
    </row>
    <row r="6" spans="1:9">
      <c r="A6">
        <v>22</v>
      </c>
      <c r="B6" t="s">
        <v>308</v>
      </c>
      <c r="C6" t="s">
        <v>309</v>
      </c>
      <c r="F6">
        <v>5</v>
      </c>
      <c r="G6" t="s">
        <v>254</v>
      </c>
      <c r="H6" t="s">
        <v>331</v>
      </c>
      <c r="I6" t="s">
        <v>332</v>
      </c>
    </row>
    <row r="7" spans="1:9">
      <c r="A7">
        <v>30</v>
      </c>
      <c r="B7" t="s">
        <v>310</v>
      </c>
      <c r="C7" t="s">
        <v>311</v>
      </c>
      <c r="F7">
        <v>6</v>
      </c>
      <c r="G7" t="s">
        <v>256</v>
      </c>
      <c r="H7" t="s">
        <v>333</v>
      </c>
      <c r="I7" t="s">
        <v>334</v>
      </c>
    </row>
    <row r="8" spans="1:9">
      <c r="A8">
        <v>31</v>
      </c>
      <c r="B8" t="s">
        <v>312</v>
      </c>
      <c r="C8" t="s">
        <v>313</v>
      </c>
      <c r="F8">
        <v>7</v>
      </c>
      <c r="G8" t="s">
        <v>257</v>
      </c>
      <c r="H8" t="s">
        <v>335</v>
      </c>
      <c r="I8" t="s">
        <v>330</v>
      </c>
    </row>
    <row r="9" spans="1:9">
      <c r="A9">
        <v>32</v>
      </c>
      <c r="B9" t="s">
        <v>314</v>
      </c>
      <c r="C9" t="s">
        <v>315</v>
      </c>
      <c r="F9">
        <v>8</v>
      </c>
      <c r="G9" t="s">
        <v>258</v>
      </c>
      <c r="H9" t="s">
        <v>21</v>
      </c>
      <c r="I9" t="s">
        <v>301</v>
      </c>
    </row>
    <row r="10" spans="1:9">
      <c r="A10">
        <v>40</v>
      </c>
      <c r="B10" t="s">
        <v>316</v>
      </c>
      <c r="C10" t="s">
        <v>317</v>
      </c>
      <c r="F10">
        <v>9</v>
      </c>
      <c r="G10" t="s">
        <v>278</v>
      </c>
      <c r="H10" t="s">
        <v>336</v>
      </c>
      <c r="I10" t="s">
        <v>332</v>
      </c>
    </row>
    <row r="11" spans="1:9">
      <c r="A11">
        <v>41</v>
      </c>
      <c r="B11" t="s">
        <v>318</v>
      </c>
      <c r="C11" t="s">
        <v>319</v>
      </c>
      <c r="F11">
        <v>10</v>
      </c>
      <c r="G11" t="s">
        <v>279</v>
      </c>
      <c r="H11" t="s">
        <v>337</v>
      </c>
      <c r="I11" t="s">
        <v>332</v>
      </c>
    </row>
    <row r="12" spans="1:9">
      <c r="A12">
        <v>42</v>
      </c>
      <c r="B12" t="s">
        <v>320</v>
      </c>
      <c r="C12" t="s">
        <v>321</v>
      </c>
      <c r="F12">
        <v>11</v>
      </c>
      <c r="G12" t="s">
        <v>280</v>
      </c>
      <c r="H12" t="s">
        <v>338</v>
      </c>
      <c r="I12" t="s">
        <v>332</v>
      </c>
    </row>
    <row r="13" spans="1:9">
      <c r="A13">
        <v>43</v>
      </c>
      <c r="B13" t="s">
        <v>322</v>
      </c>
      <c r="C13" t="s">
        <v>323</v>
      </c>
      <c r="F13">
        <v>12</v>
      </c>
      <c r="G13" t="s">
        <v>259</v>
      </c>
      <c r="H13" t="s">
        <v>339</v>
      </c>
      <c r="I13" t="s">
        <v>340</v>
      </c>
    </row>
    <row r="14" spans="1:9">
      <c r="F14">
        <v>13</v>
      </c>
      <c r="G14" t="s">
        <v>260</v>
      </c>
      <c r="H14" t="s">
        <v>341</v>
      </c>
      <c r="I14" t="s">
        <v>332</v>
      </c>
    </row>
    <row r="15" spans="1:9">
      <c r="F15">
        <v>14</v>
      </c>
      <c r="G15" t="s">
        <v>261</v>
      </c>
      <c r="H15" t="s">
        <v>342</v>
      </c>
      <c r="I15" t="s">
        <v>332</v>
      </c>
    </row>
    <row r="16" spans="1:9">
      <c r="F16">
        <v>15</v>
      </c>
      <c r="G16" t="s">
        <v>262</v>
      </c>
      <c r="H16" t="s">
        <v>343</v>
      </c>
      <c r="I16" t="s">
        <v>332</v>
      </c>
    </row>
    <row r="17" spans="6:9">
      <c r="F17">
        <v>16</v>
      </c>
      <c r="G17" t="s">
        <v>263</v>
      </c>
      <c r="H17" t="s">
        <v>344</v>
      </c>
      <c r="I17" t="s">
        <v>334</v>
      </c>
    </row>
    <row r="18" spans="6:9">
      <c r="F18">
        <v>17</v>
      </c>
      <c r="G18" t="s">
        <v>264</v>
      </c>
      <c r="H18" t="s">
        <v>345</v>
      </c>
      <c r="I18" t="s">
        <v>332</v>
      </c>
    </row>
    <row r="19" spans="6:9">
      <c r="F19">
        <v>18</v>
      </c>
      <c r="G19" t="s">
        <v>265</v>
      </c>
      <c r="H19" t="s">
        <v>346</v>
      </c>
      <c r="I19" t="s">
        <v>332</v>
      </c>
    </row>
    <row r="20" spans="6:9">
      <c r="F20">
        <v>19</v>
      </c>
      <c r="G20" t="s">
        <v>266</v>
      </c>
      <c r="H20" t="s">
        <v>347</v>
      </c>
      <c r="I20" t="s">
        <v>332</v>
      </c>
    </row>
    <row r="21" spans="6:9">
      <c r="F21">
        <v>20</v>
      </c>
      <c r="G21" t="s">
        <v>267</v>
      </c>
      <c r="H21" t="s">
        <v>348</v>
      </c>
      <c r="I21" t="s">
        <v>330</v>
      </c>
    </row>
    <row r="22" spans="6:9">
      <c r="F22">
        <v>21</v>
      </c>
      <c r="G22" t="s">
        <v>268</v>
      </c>
      <c r="H22" t="s">
        <v>349</v>
      </c>
      <c r="I22" t="s">
        <v>332</v>
      </c>
    </row>
    <row r="23" spans="6:9">
      <c r="F23">
        <v>22</v>
      </c>
      <c r="G23" t="s">
        <v>269</v>
      </c>
      <c r="H23" t="s">
        <v>350</v>
      </c>
      <c r="I23" t="s">
        <v>351</v>
      </c>
    </row>
    <row r="24" spans="6:9">
      <c r="F24">
        <v>23</v>
      </c>
      <c r="G24" t="s">
        <v>270</v>
      </c>
      <c r="H24" t="s">
        <v>352</v>
      </c>
      <c r="I24" t="s">
        <v>334</v>
      </c>
    </row>
    <row r="25" spans="6:9">
      <c r="F25">
        <v>24</v>
      </c>
      <c r="G25" t="s">
        <v>271</v>
      </c>
      <c r="H25" t="s">
        <v>353</v>
      </c>
      <c r="I25" t="s">
        <v>332</v>
      </c>
    </row>
    <row r="26" spans="6:9">
      <c r="F26">
        <v>25</v>
      </c>
      <c r="G26" t="s">
        <v>272</v>
      </c>
      <c r="H26" t="s">
        <v>354</v>
      </c>
      <c r="I26" t="s">
        <v>332</v>
      </c>
    </row>
    <row r="27" spans="6:9">
      <c r="F27">
        <v>26</v>
      </c>
      <c r="G27" t="s">
        <v>273</v>
      </c>
      <c r="H27" t="s">
        <v>355</v>
      </c>
      <c r="I27" t="s">
        <v>332</v>
      </c>
    </row>
    <row r="28" spans="6:9">
      <c r="F28">
        <v>27</v>
      </c>
      <c r="G28" t="s">
        <v>274</v>
      </c>
      <c r="H28" t="s">
        <v>85</v>
      </c>
      <c r="I28" t="s">
        <v>301</v>
      </c>
    </row>
    <row r="29" spans="6:9">
      <c r="F29">
        <v>28</v>
      </c>
      <c r="G29" t="s">
        <v>356</v>
      </c>
      <c r="H29" t="s">
        <v>86</v>
      </c>
      <c r="I29" t="s">
        <v>301</v>
      </c>
    </row>
    <row r="30" spans="6:9">
      <c r="F30">
        <v>29</v>
      </c>
      <c r="G30" t="s">
        <v>275</v>
      </c>
      <c r="H30" t="s">
        <v>357</v>
      </c>
      <c r="I30" t="s">
        <v>332</v>
      </c>
    </row>
    <row r="31" spans="6:9">
      <c r="F31">
        <v>30</v>
      </c>
      <c r="G31" t="s">
        <v>276</v>
      </c>
      <c r="H31" t="s">
        <v>358</v>
      </c>
      <c r="I31" t="s">
        <v>332</v>
      </c>
    </row>
    <row r="32" spans="6:9">
      <c r="F32">
        <v>31</v>
      </c>
      <c r="G32" t="s">
        <v>277</v>
      </c>
      <c r="H32" t="s">
        <v>359</v>
      </c>
      <c r="I32" t="s">
        <v>351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35" sqref="G35"/>
    </sheetView>
  </sheetViews>
  <sheetFormatPr baseColWidth="10" defaultRowHeight="15" x14ac:dyDescent="0"/>
  <cols>
    <col min="1" max="1" width="39" bestFit="1" customWidth="1"/>
    <col min="5" max="5" width="13" bestFit="1" customWidth="1"/>
    <col min="7" max="7" width="39" bestFit="1" customWidth="1"/>
  </cols>
  <sheetData>
    <row r="1" spans="1:12">
      <c r="A1" t="s">
        <v>360</v>
      </c>
    </row>
    <row r="2" spans="1:12">
      <c r="A2" t="s">
        <v>244</v>
      </c>
      <c r="G2" t="s">
        <v>245</v>
      </c>
    </row>
    <row r="3" spans="1:12">
      <c r="A3" t="s">
        <v>246</v>
      </c>
      <c r="B3" t="s">
        <v>247</v>
      </c>
      <c r="C3" t="s">
        <v>248</v>
      </c>
      <c r="D3" t="s">
        <v>249</v>
      </c>
      <c r="E3" t="s">
        <v>250</v>
      </c>
      <c r="G3" t="s">
        <v>246</v>
      </c>
      <c r="H3" t="s">
        <v>247</v>
      </c>
      <c r="I3" t="s">
        <v>248</v>
      </c>
      <c r="J3" t="s">
        <v>249</v>
      </c>
      <c r="K3" t="s">
        <v>250</v>
      </c>
    </row>
    <row r="4" spans="1:12">
      <c r="A4" s="16" t="s">
        <v>251</v>
      </c>
      <c r="B4" s="16">
        <v>1</v>
      </c>
      <c r="C4" s="16">
        <v>1</v>
      </c>
      <c r="D4" s="16">
        <v>1</v>
      </c>
      <c r="E4" s="16">
        <v>0</v>
      </c>
      <c r="G4" s="16" t="s">
        <v>251</v>
      </c>
      <c r="H4" s="16">
        <v>1</v>
      </c>
      <c r="I4" s="16">
        <v>1</v>
      </c>
      <c r="J4" s="16">
        <v>1</v>
      </c>
      <c r="K4" s="16">
        <v>0</v>
      </c>
    </row>
    <row r="5" spans="1:12">
      <c r="A5" s="16" t="s">
        <v>252</v>
      </c>
      <c r="B5" s="16">
        <v>1</v>
      </c>
      <c r="C5" s="16">
        <v>1</v>
      </c>
      <c r="D5" s="16">
        <v>1</v>
      </c>
      <c r="E5" s="16">
        <v>0</v>
      </c>
      <c r="G5" s="16" t="s">
        <v>252</v>
      </c>
      <c r="H5" s="16">
        <v>1</v>
      </c>
      <c r="I5" s="16">
        <v>1</v>
      </c>
      <c r="J5" s="16">
        <v>1</v>
      </c>
      <c r="K5" s="16">
        <v>0</v>
      </c>
    </row>
    <row r="6" spans="1:12">
      <c r="A6" s="59" t="s">
        <v>253</v>
      </c>
      <c r="B6" s="59">
        <v>0.7</v>
      </c>
      <c r="C6" s="59">
        <v>1</v>
      </c>
      <c r="D6" s="59">
        <v>1</v>
      </c>
      <c r="E6" s="59">
        <v>0</v>
      </c>
      <c r="G6" s="59" t="s">
        <v>253</v>
      </c>
      <c r="H6" s="59">
        <v>0.7</v>
      </c>
      <c r="I6" s="59">
        <v>1</v>
      </c>
      <c r="J6" s="59">
        <v>1</v>
      </c>
      <c r="K6" s="59">
        <v>0</v>
      </c>
    </row>
    <row r="7" spans="1:12">
      <c r="A7" t="s">
        <v>254</v>
      </c>
      <c r="B7" s="59">
        <v>0.7</v>
      </c>
      <c r="C7">
        <v>1</v>
      </c>
      <c r="D7">
        <v>1</v>
      </c>
      <c r="E7">
        <v>0</v>
      </c>
      <c r="G7" t="s">
        <v>254</v>
      </c>
      <c r="H7" s="59">
        <v>0.7</v>
      </c>
      <c r="I7">
        <v>1</v>
      </c>
      <c r="J7">
        <v>1</v>
      </c>
      <c r="K7">
        <v>0</v>
      </c>
      <c r="L7" t="s">
        <v>255</v>
      </c>
    </row>
    <row r="8" spans="1:12">
      <c r="A8" s="16" t="s">
        <v>256</v>
      </c>
      <c r="B8" s="16">
        <v>1</v>
      </c>
      <c r="C8" s="16">
        <v>1</v>
      </c>
      <c r="D8" s="16">
        <v>1</v>
      </c>
      <c r="E8" s="16">
        <v>0</v>
      </c>
      <c r="G8" s="16" t="s">
        <v>256</v>
      </c>
      <c r="H8" s="16">
        <v>1</v>
      </c>
      <c r="I8" s="16">
        <v>1</v>
      </c>
      <c r="J8" s="16">
        <v>1</v>
      </c>
      <c r="K8" s="16">
        <v>0</v>
      </c>
    </row>
    <row r="9" spans="1:12">
      <c r="A9" s="16" t="s">
        <v>257</v>
      </c>
      <c r="B9" s="16">
        <v>1</v>
      </c>
      <c r="C9" s="16">
        <v>1</v>
      </c>
      <c r="D9" s="16">
        <v>1</v>
      </c>
      <c r="E9" s="16">
        <v>0</v>
      </c>
      <c r="G9" s="16" t="s">
        <v>257</v>
      </c>
      <c r="H9" s="16">
        <v>1</v>
      </c>
      <c r="I9" s="16">
        <v>1</v>
      </c>
      <c r="J9" s="16">
        <v>1</v>
      </c>
      <c r="K9" s="16">
        <v>0</v>
      </c>
    </row>
    <row r="10" spans="1:12">
      <c r="A10" s="16" t="s">
        <v>258</v>
      </c>
      <c r="B10" s="16">
        <v>1</v>
      </c>
      <c r="C10" s="16">
        <v>1</v>
      </c>
      <c r="D10" s="16">
        <v>1</v>
      </c>
      <c r="E10" s="16">
        <v>0</v>
      </c>
      <c r="G10" s="16" t="s">
        <v>258</v>
      </c>
      <c r="H10" s="16">
        <v>1</v>
      </c>
      <c r="I10" s="16">
        <v>1</v>
      </c>
      <c r="J10" s="16">
        <v>1</v>
      </c>
      <c r="K10" s="16">
        <v>0</v>
      </c>
    </row>
    <row r="11" spans="1:12">
      <c r="A11" t="s">
        <v>278</v>
      </c>
      <c r="B11" s="59">
        <v>0.7</v>
      </c>
      <c r="C11">
        <v>1</v>
      </c>
      <c r="D11">
        <v>1</v>
      </c>
      <c r="E11">
        <v>0</v>
      </c>
      <c r="G11" t="s">
        <v>278</v>
      </c>
      <c r="H11" s="59">
        <v>0.7</v>
      </c>
      <c r="I11">
        <v>1</v>
      </c>
      <c r="J11">
        <v>1</v>
      </c>
      <c r="K11">
        <v>0</v>
      </c>
    </row>
    <row r="12" spans="1:12">
      <c r="A12" s="16" t="s">
        <v>279</v>
      </c>
      <c r="B12" s="59">
        <v>0.7</v>
      </c>
      <c r="C12" s="16">
        <v>1</v>
      </c>
      <c r="D12" s="16">
        <v>1</v>
      </c>
      <c r="E12" s="16">
        <v>0</v>
      </c>
      <c r="G12" s="16" t="s">
        <v>279</v>
      </c>
      <c r="H12" s="59">
        <v>0.7</v>
      </c>
      <c r="I12" s="16">
        <v>1</v>
      </c>
      <c r="J12" s="16">
        <v>1</v>
      </c>
      <c r="K12" s="16">
        <v>0</v>
      </c>
    </row>
    <row r="13" spans="1:12">
      <c r="A13" s="59" t="s">
        <v>280</v>
      </c>
      <c r="B13" s="59">
        <v>0.7</v>
      </c>
      <c r="C13" s="59">
        <v>1</v>
      </c>
      <c r="D13" s="59">
        <v>1</v>
      </c>
      <c r="E13" s="59">
        <v>0</v>
      </c>
      <c r="G13" s="59" t="s">
        <v>280</v>
      </c>
      <c r="H13" s="59">
        <v>0.7</v>
      </c>
      <c r="I13" s="59">
        <v>1</v>
      </c>
      <c r="J13" s="59">
        <v>1</v>
      </c>
      <c r="K13" s="59">
        <v>0</v>
      </c>
    </row>
    <row r="14" spans="1:12">
      <c r="A14" t="s">
        <v>259</v>
      </c>
      <c r="B14" s="59">
        <v>0.7</v>
      </c>
      <c r="C14">
        <v>1</v>
      </c>
      <c r="D14">
        <v>1</v>
      </c>
      <c r="E14">
        <v>0</v>
      </c>
      <c r="G14" t="s">
        <v>259</v>
      </c>
      <c r="H14" s="59">
        <v>0.7</v>
      </c>
      <c r="I14">
        <v>1</v>
      </c>
      <c r="J14">
        <v>1</v>
      </c>
      <c r="K14">
        <v>0</v>
      </c>
    </row>
    <row r="15" spans="1:12">
      <c r="A15" t="s">
        <v>260</v>
      </c>
      <c r="B15" s="59">
        <v>0.7</v>
      </c>
      <c r="C15">
        <v>1</v>
      </c>
      <c r="D15">
        <v>1</v>
      </c>
      <c r="E15">
        <v>0</v>
      </c>
      <c r="G15" t="s">
        <v>260</v>
      </c>
      <c r="H15" s="59">
        <v>0.7</v>
      </c>
      <c r="I15">
        <v>1</v>
      </c>
      <c r="J15">
        <v>1</v>
      </c>
      <c r="K15">
        <v>0</v>
      </c>
    </row>
    <row r="16" spans="1:12">
      <c r="A16" t="s">
        <v>261</v>
      </c>
      <c r="B16" s="59">
        <v>0.7</v>
      </c>
      <c r="C16">
        <v>1</v>
      </c>
      <c r="D16">
        <v>1</v>
      </c>
      <c r="E16">
        <v>0</v>
      </c>
      <c r="G16" t="s">
        <v>261</v>
      </c>
      <c r="H16" s="59">
        <v>0.7</v>
      </c>
      <c r="I16">
        <v>1</v>
      </c>
      <c r="J16">
        <v>1</v>
      </c>
      <c r="K16">
        <v>0</v>
      </c>
    </row>
    <row r="17" spans="1:11">
      <c r="A17" t="s">
        <v>262</v>
      </c>
      <c r="B17" s="59">
        <v>0.7</v>
      </c>
      <c r="C17">
        <v>1</v>
      </c>
      <c r="D17">
        <v>1</v>
      </c>
      <c r="E17">
        <v>0</v>
      </c>
      <c r="G17" t="s">
        <v>262</v>
      </c>
      <c r="H17" s="59">
        <v>0.7</v>
      </c>
      <c r="I17">
        <v>1</v>
      </c>
      <c r="J17">
        <v>1</v>
      </c>
      <c r="K17">
        <v>0</v>
      </c>
    </row>
    <row r="18" spans="1:11">
      <c r="A18" s="16" t="s">
        <v>263</v>
      </c>
      <c r="B18" s="16">
        <v>1</v>
      </c>
      <c r="C18" s="16">
        <v>1</v>
      </c>
      <c r="D18" s="16">
        <v>1</v>
      </c>
      <c r="E18" s="16">
        <v>0</v>
      </c>
      <c r="G18" s="16" t="s">
        <v>263</v>
      </c>
      <c r="H18" s="16">
        <v>1</v>
      </c>
      <c r="I18" s="16">
        <v>1</v>
      </c>
      <c r="J18" s="16">
        <v>1</v>
      </c>
      <c r="K18" s="16">
        <v>0</v>
      </c>
    </row>
    <row r="19" spans="1:11">
      <c r="A19" t="s">
        <v>264</v>
      </c>
      <c r="B19" s="59">
        <v>0.7</v>
      </c>
      <c r="C19">
        <v>1</v>
      </c>
      <c r="D19">
        <v>1</v>
      </c>
      <c r="E19">
        <v>0</v>
      </c>
      <c r="G19" t="s">
        <v>264</v>
      </c>
      <c r="H19" s="59">
        <v>0.7</v>
      </c>
      <c r="I19">
        <v>1</v>
      </c>
      <c r="J19">
        <v>1</v>
      </c>
      <c r="K19">
        <v>0</v>
      </c>
    </row>
    <row r="20" spans="1:11">
      <c r="A20" t="s">
        <v>265</v>
      </c>
      <c r="B20" s="59">
        <v>0.7</v>
      </c>
      <c r="C20">
        <v>1</v>
      </c>
      <c r="D20">
        <v>1</v>
      </c>
      <c r="E20">
        <v>0</v>
      </c>
      <c r="G20" t="s">
        <v>265</v>
      </c>
      <c r="H20" s="59">
        <v>0.7</v>
      </c>
      <c r="I20">
        <v>1</v>
      </c>
      <c r="J20">
        <v>1</v>
      </c>
      <c r="K20">
        <v>0</v>
      </c>
    </row>
    <row r="21" spans="1:11">
      <c r="A21" t="s">
        <v>266</v>
      </c>
      <c r="B21" s="59">
        <v>0.7</v>
      </c>
      <c r="C21">
        <v>1</v>
      </c>
      <c r="D21">
        <v>1</v>
      </c>
      <c r="E21">
        <v>0</v>
      </c>
      <c r="G21" t="s">
        <v>266</v>
      </c>
      <c r="H21" s="59">
        <v>0.7</v>
      </c>
      <c r="I21">
        <v>1</v>
      </c>
      <c r="J21">
        <v>1</v>
      </c>
      <c r="K21">
        <v>0</v>
      </c>
    </row>
    <row r="22" spans="1:11">
      <c r="A22" s="16" t="s">
        <v>267</v>
      </c>
      <c r="B22" s="16">
        <v>1</v>
      </c>
      <c r="C22" s="16">
        <v>1</v>
      </c>
      <c r="D22" s="16">
        <v>1</v>
      </c>
      <c r="E22" s="16">
        <v>0</v>
      </c>
      <c r="G22" s="16" t="s">
        <v>267</v>
      </c>
      <c r="H22" s="16">
        <v>1</v>
      </c>
      <c r="I22" s="16">
        <v>1</v>
      </c>
      <c r="J22" s="16">
        <v>1</v>
      </c>
      <c r="K22" s="16">
        <v>0</v>
      </c>
    </row>
    <row r="23" spans="1:11">
      <c r="A23" s="16" t="s">
        <v>268</v>
      </c>
      <c r="B23" s="16">
        <v>1</v>
      </c>
      <c r="C23" s="16">
        <v>1</v>
      </c>
      <c r="D23" s="16">
        <v>1</v>
      </c>
      <c r="E23" s="16">
        <v>0</v>
      </c>
      <c r="G23" s="16" t="s">
        <v>268</v>
      </c>
      <c r="H23" s="16">
        <v>1</v>
      </c>
      <c r="I23" s="16">
        <v>1</v>
      </c>
      <c r="J23" s="16">
        <v>1</v>
      </c>
      <c r="K23" s="16">
        <v>0</v>
      </c>
    </row>
    <row r="24" spans="1:11">
      <c r="A24" s="16" t="s">
        <v>269</v>
      </c>
      <c r="B24" s="16">
        <v>1</v>
      </c>
      <c r="C24" s="16">
        <v>1</v>
      </c>
      <c r="D24" s="16">
        <v>1</v>
      </c>
      <c r="E24" s="16">
        <v>0</v>
      </c>
      <c r="G24" s="16" t="s">
        <v>269</v>
      </c>
      <c r="H24" s="16">
        <v>1</v>
      </c>
      <c r="I24" s="16">
        <v>1</v>
      </c>
      <c r="J24" s="16">
        <v>1</v>
      </c>
      <c r="K24" s="16">
        <v>0</v>
      </c>
    </row>
    <row r="25" spans="1:11">
      <c r="A25" s="16" t="s">
        <v>270</v>
      </c>
      <c r="B25" s="16">
        <v>1</v>
      </c>
      <c r="C25" s="16">
        <v>1</v>
      </c>
      <c r="D25" s="16">
        <v>1</v>
      </c>
      <c r="E25" s="16">
        <v>0</v>
      </c>
      <c r="G25" s="16" t="s">
        <v>270</v>
      </c>
      <c r="H25" s="16">
        <v>1</v>
      </c>
      <c r="I25" s="16">
        <v>1</v>
      </c>
      <c r="J25" s="16">
        <v>1</v>
      </c>
      <c r="K25" s="16">
        <v>0</v>
      </c>
    </row>
    <row r="26" spans="1:11">
      <c r="A26" t="s">
        <v>271</v>
      </c>
      <c r="B26" s="59">
        <v>0.7</v>
      </c>
      <c r="C26">
        <v>1</v>
      </c>
      <c r="D26">
        <v>1</v>
      </c>
      <c r="E26">
        <v>0</v>
      </c>
      <c r="G26" t="s">
        <v>271</v>
      </c>
      <c r="H26" s="59">
        <v>0.7</v>
      </c>
      <c r="I26">
        <v>1</v>
      </c>
      <c r="J26">
        <v>1</v>
      </c>
      <c r="K26">
        <v>0</v>
      </c>
    </row>
    <row r="27" spans="1:11">
      <c r="A27" t="s">
        <v>272</v>
      </c>
      <c r="B27" s="59">
        <v>0.7</v>
      </c>
      <c r="C27">
        <v>1</v>
      </c>
      <c r="D27">
        <v>1</v>
      </c>
      <c r="E27">
        <v>0</v>
      </c>
      <c r="G27" t="s">
        <v>272</v>
      </c>
      <c r="H27" s="59">
        <v>0.7</v>
      </c>
      <c r="I27">
        <v>1</v>
      </c>
      <c r="J27">
        <v>1</v>
      </c>
      <c r="K27">
        <v>0</v>
      </c>
    </row>
    <row r="28" spans="1:11" s="2" customFormat="1">
      <c r="A28" s="2" t="s">
        <v>273</v>
      </c>
      <c r="B28" s="59">
        <v>0.7</v>
      </c>
      <c r="C28" s="2">
        <v>1</v>
      </c>
      <c r="D28">
        <v>1</v>
      </c>
      <c r="E28">
        <v>0</v>
      </c>
      <c r="G28" s="2" t="s">
        <v>273</v>
      </c>
      <c r="H28" s="59">
        <v>0.7</v>
      </c>
      <c r="I28" s="2">
        <v>1</v>
      </c>
      <c r="J28">
        <v>1</v>
      </c>
      <c r="K28">
        <v>0</v>
      </c>
    </row>
    <row r="29" spans="1:11" s="2" customFormat="1">
      <c r="A29" s="58" t="s">
        <v>274</v>
      </c>
      <c r="B29" s="16">
        <v>1</v>
      </c>
      <c r="C29" s="16">
        <v>1</v>
      </c>
      <c r="D29" s="16">
        <v>1</v>
      </c>
      <c r="E29" s="16">
        <v>0</v>
      </c>
      <c r="G29" s="58" t="s">
        <v>274</v>
      </c>
      <c r="H29" s="16">
        <v>1</v>
      </c>
      <c r="I29" s="16">
        <v>1</v>
      </c>
      <c r="J29" s="16">
        <v>1</v>
      </c>
      <c r="K29" s="16">
        <v>0</v>
      </c>
    </row>
    <row r="30" spans="1:11">
      <c r="A30" s="59" t="s">
        <v>275</v>
      </c>
      <c r="B30" s="59">
        <v>0.7</v>
      </c>
      <c r="C30" s="59">
        <v>1</v>
      </c>
      <c r="D30" s="59">
        <v>1</v>
      </c>
      <c r="E30" s="59">
        <v>0</v>
      </c>
      <c r="G30" s="59" t="s">
        <v>275</v>
      </c>
      <c r="H30" s="59">
        <v>0.7</v>
      </c>
      <c r="I30" s="59">
        <v>1</v>
      </c>
      <c r="J30" s="59">
        <v>1</v>
      </c>
      <c r="K30" s="59">
        <v>0</v>
      </c>
    </row>
    <row r="31" spans="1:11">
      <c r="A31" t="s">
        <v>276</v>
      </c>
      <c r="B31" s="59">
        <v>0.7</v>
      </c>
      <c r="C31">
        <v>1</v>
      </c>
      <c r="D31">
        <v>1</v>
      </c>
      <c r="E31">
        <v>0</v>
      </c>
      <c r="G31" t="s">
        <v>276</v>
      </c>
      <c r="H31" s="59">
        <v>0.7</v>
      </c>
      <c r="I31">
        <v>1</v>
      </c>
      <c r="J31">
        <v>1</v>
      </c>
      <c r="K31">
        <v>0</v>
      </c>
    </row>
    <row r="32" spans="1:11">
      <c r="A32" s="16" t="s">
        <v>277</v>
      </c>
      <c r="B32" s="16">
        <v>1</v>
      </c>
      <c r="C32" s="16">
        <v>1</v>
      </c>
      <c r="D32" s="16">
        <v>1</v>
      </c>
      <c r="E32" s="16">
        <v>0</v>
      </c>
      <c r="G32" s="16" t="s">
        <v>277</v>
      </c>
      <c r="H32" s="16">
        <v>1</v>
      </c>
      <c r="I32" s="16">
        <v>1</v>
      </c>
      <c r="J32" s="16">
        <v>1</v>
      </c>
      <c r="K32" s="1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pane xSplit="2" ySplit="1" topLeftCell="C8" activePane="bottomRight" state="frozen"/>
      <selection pane="topRight" activeCell="D1" sqref="D1"/>
      <selection pane="bottomLeft" activeCell="A2" sqref="A2"/>
      <selection pane="bottomRight" activeCell="B45" sqref="B45"/>
    </sheetView>
  </sheetViews>
  <sheetFormatPr baseColWidth="10" defaultRowHeight="15" x14ac:dyDescent="0"/>
  <cols>
    <col min="1" max="1" width="8.1640625" style="18" bestFit="1" customWidth="1"/>
    <col min="2" max="2" width="23.1640625" style="18" bestFit="1" customWidth="1"/>
    <col min="3" max="3" width="10.83203125" style="72"/>
    <col min="4" max="4" width="10" style="113" bestFit="1" customWidth="1"/>
    <col min="5" max="5" width="8" style="18" bestFit="1" customWidth="1"/>
    <col min="6" max="6" width="7.5" style="18" bestFit="1" customWidth="1"/>
    <col min="7" max="7" width="10.83203125" style="18"/>
    <col min="8" max="8" width="11.83203125" style="18" customWidth="1"/>
    <col min="9" max="16384" width="10.83203125" style="18"/>
  </cols>
  <sheetData>
    <row r="1" spans="1:8" ht="60">
      <c r="A1" s="111" t="s">
        <v>113</v>
      </c>
      <c r="B1" s="111" t="s">
        <v>1</v>
      </c>
      <c r="C1" s="69" t="s">
        <v>239</v>
      </c>
      <c r="D1" s="63" t="s">
        <v>242</v>
      </c>
      <c r="E1" s="9" t="s">
        <v>240</v>
      </c>
      <c r="F1" s="9" t="s">
        <v>241</v>
      </c>
      <c r="G1" s="112" t="s">
        <v>290</v>
      </c>
      <c r="H1" s="112" t="s">
        <v>293</v>
      </c>
    </row>
    <row r="2" spans="1:8">
      <c r="A2" s="18">
        <v>610620</v>
      </c>
      <c r="B2" s="18" t="s">
        <v>4</v>
      </c>
      <c r="C2" s="72">
        <v>0.17</v>
      </c>
      <c r="D2" s="66">
        <v>83.333333333333329</v>
      </c>
      <c r="E2" s="56">
        <v>500</v>
      </c>
      <c r="F2" s="56">
        <v>100</v>
      </c>
      <c r="G2" s="125">
        <v>76</v>
      </c>
      <c r="H2" s="122">
        <v>0.24</v>
      </c>
    </row>
    <row r="3" spans="1:8">
      <c r="A3" s="18">
        <v>610620</v>
      </c>
      <c r="B3" s="18" t="s">
        <v>103</v>
      </c>
      <c r="C3" s="72">
        <v>1</v>
      </c>
      <c r="D3" s="66">
        <v>500</v>
      </c>
      <c r="E3" s="56">
        <v>500</v>
      </c>
      <c r="F3" s="56">
        <v>0</v>
      </c>
      <c r="G3" s="125"/>
      <c r="H3" s="122"/>
    </row>
    <row r="4" spans="1:8">
      <c r="A4" s="18">
        <v>610620</v>
      </c>
      <c r="B4" s="18" t="s">
        <v>140</v>
      </c>
      <c r="C4" s="72">
        <v>0.67</v>
      </c>
      <c r="D4" s="66">
        <v>17.391304347826082</v>
      </c>
      <c r="E4" s="56">
        <v>25.97402597402597</v>
      </c>
      <c r="F4" s="56">
        <v>52.631578947368425</v>
      </c>
      <c r="G4" s="125"/>
      <c r="H4" s="122"/>
    </row>
    <row r="5" spans="1:8">
      <c r="B5" s="18" t="s">
        <v>13</v>
      </c>
      <c r="C5" s="72">
        <v>0.03</v>
      </c>
      <c r="D5" s="66">
        <v>29.411764705882351</v>
      </c>
      <c r="E5" s="56">
        <v>1000</v>
      </c>
      <c r="F5" s="56">
        <v>30.303030303030301</v>
      </c>
      <c r="G5" s="125">
        <v>30</v>
      </c>
      <c r="H5" s="122">
        <v>0.24</v>
      </c>
    </row>
    <row r="6" spans="1:8">
      <c r="B6" s="18" t="s">
        <v>16</v>
      </c>
      <c r="C6" s="72">
        <v>0.13</v>
      </c>
      <c r="D6" s="66">
        <v>23.809523809523807</v>
      </c>
      <c r="E6" s="56">
        <v>181.81818181818184</v>
      </c>
      <c r="F6" s="56">
        <v>27.397260273972599</v>
      </c>
      <c r="G6" s="125"/>
      <c r="H6" s="122"/>
    </row>
    <row r="7" spans="1:8">
      <c r="B7" s="18" t="s">
        <v>17</v>
      </c>
      <c r="C7" s="72">
        <v>0.26</v>
      </c>
      <c r="D7" s="66">
        <v>37.037037037037038</v>
      </c>
      <c r="E7" s="56">
        <v>142.85714285714286</v>
      </c>
      <c r="F7" s="56">
        <v>50</v>
      </c>
      <c r="G7" s="125"/>
      <c r="H7" s="122"/>
    </row>
    <row r="8" spans="1:8">
      <c r="B8" s="18" t="s">
        <v>15</v>
      </c>
      <c r="C8" s="72">
        <v>0.15</v>
      </c>
      <c r="D8" s="66">
        <v>27.027027027027028</v>
      </c>
      <c r="E8" s="56">
        <v>181.81818181818184</v>
      </c>
      <c r="F8" s="56">
        <v>31.746031746031747</v>
      </c>
      <c r="G8" s="125"/>
      <c r="H8" s="122"/>
    </row>
    <row r="9" spans="1:8">
      <c r="B9" s="18" t="s">
        <v>14</v>
      </c>
      <c r="C9" s="72">
        <v>0.41</v>
      </c>
      <c r="D9" s="66">
        <v>58.823529411764703</v>
      </c>
      <c r="E9" s="56">
        <v>142.85714285714286</v>
      </c>
      <c r="F9" s="56">
        <v>100</v>
      </c>
      <c r="G9" s="125"/>
      <c r="H9" s="122"/>
    </row>
    <row r="10" spans="1:8">
      <c r="A10" s="6">
        <v>610581</v>
      </c>
      <c r="B10" s="6" t="s">
        <v>8</v>
      </c>
      <c r="C10" s="72">
        <v>0.03</v>
      </c>
      <c r="D10" s="66">
        <v>29.411764705882351</v>
      </c>
      <c r="E10" s="56">
        <v>1000</v>
      </c>
      <c r="F10" s="56">
        <v>30.303030303030301</v>
      </c>
      <c r="G10" s="123">
        <v>52</v>
      </c>
      <c r="H10" s="124">
        <v>0.18</v>
      </c>
    </row>
    <row r="11" spans="1:8">
      <c r="A11" s="6">
        <v>610581</v>
      </c>
      <c r="B11" s="6" t="s">
        <v>11</v>
      </c>
      <c r="C11" s="72">
        <v>0.26</v>
      </c>
      <c r="D11" s="66">
        <v>37.037037037037038</v>
      </c>
      <c r="E11" s="56">
        <v>142.85714285714286</v>
      </c>
      <c r="F11" s="56">
        <v>50</v>
      </c>
      <c r="G11" s="123"/>
      <c r="H11" s="124"/>
    </row>
    <row r="12" spans="1:8">
      <c r="A12" s="6">
        <v>610581</v>
      </c>
      <c r="B12" s="6" t="s">
        <v>147</v>
      </c>
      <c r="C12" s="72">
        <v>0.13</v>
      </c>
      <c r="D12" s="66">
        <v>23.809523809523807</v>
      </c>
      <c r="E12" s="56">
        <v>181.81818181818184</v>
      </c>
      <c r="F12" s="56">
        <v>27.397260273972599</v>
      </c>
      <c r="G12" s="123"/>
      <c r="H12" s="124"/>
    </row>
    <row r="13" spans="1:8">
      <c r="A13" s="6">
        <v>610581</v>
      </c>
      <c r="B13" s="6" t="s">
        <v>12</v>
      </c>
      <c r="C13" s="72">
        <v>7.0000000000000007E-2</v>
      </c>
      <c r="D13" s="66">
        <v>17.543859649122805</v>
      </c>
      <c r="E13" s="56">
        <v>250</v>
      </c>
      <c r="F13" s="56">
        <v>18.867924528301884</v>
      </c>
      <c r="G13" s="123"/>
      <c r="H13" s="124"/>
    </row>
    <row r="14" spans="1:8">
      <c r="A14" s="6">
        <v>610581</v>
      </c>
      <c r="B14" s="6" t="s">
        <v>9</v>
      </c>
      <c r="C14" s="72">
        <v>0.41</v>
      </c>
      <c r="D14" s="66">
        <v>58.823529411764703</v>
      </c>
      <c r="E14" s="56">
        <v>142.85714285714286</v>
      </c>
      <c r="F14" s="56">
        <v>100</v>
      </c>
      <c r="G14" s="123"/>
      <c r="H14" s="124"/>
    </row>
    <row r="15" spans="1:8">
      <c r="A15" s="6">
        <v>610581</v>
      </c>
      <c r="B15" s="6" t="s">
        <v>146</v>
      </c>
      <c r="C15" s="72">
        <v>0.15</v>
      </c>
      <c r="D15" s="66">
        <v>27.027027027027028</v>
      </c>
      <c r="E15" s="56">
        <v>181.81818181818184</v>
      </c>
      <c r="F15" s="56">
        <v>31.746031746031747</v>
      </c>
      <c r="G15" s="123"/>
      <c r="H15" s="124"/>
    </row>
    <row r="16" spans="1:8">
      <c r="A16" s="6">
        <v>610581</v>
      </c>
      <c r="B16" s="6" t="s">
        <v>10</v>
      </c>
      <c r="C16" s="72">
        <v>7.0000000000000007E-2</v>
      </c>
      <c r="D16" s="66">
        <v>17.543859649122805</v>
      </c>
      <c r="E16" s="56">
        <v>250</v>
      </c>
      <c r="F16" s="56">
        <v>18.867924528301884</v>
      </c>
      <c r="G16" s="123"/>
      <c r="H16" s="124"/>
    </row>
    <row r="17" spans="1:8">
      <c r="A17" s="18">
        <v>610790</v>
      </c>
      <c r="B17" s="18" t="s">
        <v>18</v>
      </c>
      <c r="C17" s="72">
        <v>1</v>
      </c>
      <c r="D17" s="66">
        <v>250</v>
      </c>
      <c r="E17" s="18">
        <v>250</v>
      </c>
      <c r="F17" s="56">
        <v>0</v>
      </c>
      <c r="G17" s="121">
        <v>82</v>
      </c>
      <c r="H17" s="122">
        <v>0.37</v>
      </c>
    </row>
    <row r="18" spans="1:8">
      <c r="A18" s="18">
        <v>610790</v>
      </c>
      <c r="B18" s="18" t="s">
        <v>19</v>
      </c>
      <c r="C18" s="72">
        <v>1</v>
      </c>
      <c r="D18" s="66">
        <v>149.25373134328359</v>
      </c>
      <c r="E18" s="18">
        <v>149.25373134328359</v>
      </c>
      <c r="F18" s="56">
        <v>0</v>
      </c>
      <c r="G18" s="121"/>
      <c r="H18" s="122"/>
    </row>
    <row r="19" spans="1:8">
      <c r="A19" s="18">
        <v>610790</v>
      </c>
      <c r="B19" s="18" t="s">
        <v>142</v>
      </c>
      <c r="C19" s="72">
        <v>0.31</v>
      </c>
      <c r="D19" s="66">
        <v>62.5</v>
      </c>
      <c r="E19" s="18">
        <v>200</v>
      </c>
      <c r="F19" s="56">
        <v>90.909090909090921</v>
      </c>
      <c r="G19" s="121"/>
      <c r="H19" s="122"/>
    </row>
    <row r="20" spans="1:8">
      <c r="A20" s="6">
        <v>610430</v>
      </c>
      <c r="B20" s="114" t="s">
        <v>114</v>
      </c>
      <c r="C20" s="72">
        <v>1</v>
      </c>
      <c r="D20" s="66">
        <v>67.961165048543748</v>
      </c>
      <c r="E20" s="56">
        <v>67.961165048543748</v>
      </c>
      <c r="F20" s="56">
        <v>0</v>
      </c>
      <c r="G20" s="123" t="s">
        <v>291</v>
      </c>
      <c r="H20" s="124">
        <v>0.02</v>
      </c>
    </row>
    <row r="21" spans="1:8">
      <c r="A21" s="6">
        <v>610430</v>
      </c>
      <c r="B21" s="114" t="s">
        <v>117</v>
      </c>
      <c r="C21" s="72">
        <v>0.01</v>
      </c>
      <c r="D21" s="66">
        <v>43.613707165109041</v>
      </c>
      <c r="E21" s="56">
        <v>2333.333333333333</v>
      </c>
      <c r="F21" s="56">
        <v>44.444444444444443</v>
      </c>
      <c r="G21" s="123"/>
      <c r="H21" s="124"/>
    </row>
    <row r="22" spans="1:8">
      <c r="A22" s="6">
        <v>610430</v>
      </c>
      <c r="B22" s="114" t="s">
        <v>135</v>
      </c>
      <c r="C22" s="72">
        <v>0.01</v>
      </c>
      <c r="D22" s="66">
        <v>24.778761061946902</v>
      </c>
      <c r="E22" s="56">
        <v>2800</v>
      </c>
      <c r="F22" s="56">
        <v>25</v>
      </c>
      <c r="G22" s="123"/>
      <c r="H22" s="124"/>
    </row>
    <row r="23" spans="1:8">
      <c r="A23" s="6">
        <v>610430</v>
      </c>
      <c r="B23" s="114" t="s">
        <v>118</v>
      </c>
      <c r="C23" s="72">
        <v>0.01</v>
      </c>
      <c r="D23" s="66">
        <v>17.305315203955502</v>
      </c>
      <c r="E23" s="56">
        <v>3499.9999999999995</v>
      </c>
      <c r="F23" s="56">
        <v>17.39130434782609</v>
      </c>
      <c r="G23" s="123"/>
      <c r="H23" s="124"/>
    </row>
    <row r="24" spans="1:8">
      <c r="A24" s="6">
        <v>610430</v>
      </c>
      <c r="B24" s="114" t="s">
        <v>115</v>
      </c>
      <c r="C24" s="72">
        <v>0.02</v>
      </c>
      <c r="D24" s="66">
        <v>45.951859956236326</v>
      </c>
      <c r="E24" s="56">
        <v>2333.3333333333312</v>
      </c>
      <c r="F24" s="56">
        <v>46.875</v>
      </c>
      <c r="G24" s="123"/>
      <c r="H24" s="124"/>
    </row>
    <row r="25" spans="1:8">
      <c r="A25" s="6">
        <v>610430</v>
      </c>
      <c r="B25" s="114" t="s">
        <v>134</v>
      </c>
      <c r="C25" s="72">
        <v>0.01</v>
      </c>
      <c r="D25" s="66">
        <v>25.516403402187123</v>
      </c>
      <c r="E25" s="56">
        <v>2800</v>
      </c>
      <c r="F25" s="56">
        <v>25.751072961373392</v>
      </c>
      <c r="G25" s="123"/>
      <c r="H25" s="124"/>
    </row>
    <row r="26" spans="1:8">
      <c r="A26" s="6">
        <v>610430</v>
      </c>
      <c r="B26" s="114" t="s">
        <v>116</v>
      </c>
      <c r="C26" s="72">
        <v>0.01</v>
      </c>
      <c r="D26" s="66">
        <v>17.661900756938604</v>
      </c>
      <c r="E26" s="56">
        <v>3499.9999999999995</v>
      </c>
      <c r="F26" s="56">
        <v>17.751479289940828</v>
      </c>
      <c r="G26" s="123"/>
      <c r="H26" s="124"/>
    </row>
    <row r="27" spans="1:8">
      <c r="B27" s="6" t="s">
        <v>119</v>
      </c>
      <c r="C27" s="72">
        <v>1</v>
      </c>
      <c r="D27" s="66">
        <v>135.9223300970875</v>
      </c>
      <c r="E27" s="56">
        <v>135.9223300970875</v>
      </c>
      <c r="F27" s="56">
        <v>0</v>
      </c>
      <c r="G27" s="121">
        <v>69</v>
      </c>
      <c r="H27" s="122">
        <v>7.0000000000000007E-2</v>
      </c>
    </row>
    <row r="28" spans="1:8">
      <c r="B28" s="6" t="s">
        <v>120</v>
      </c>
      <c r="C28" s="72">
        <v>0.01</v>
      </c>
      <c r="D28" s="66">
        <v>87.227414330218082</v>
      </c>
      <c r="E28" s="56">
        <v>4666.6666666666661</v>
      </c>
      <c r="F28" s="56">
        <v>88.888888888888886</v>
      </c>
      <c r="G28" s="121"/>
      <c r="H28" s="122"/>
    </row>
    <row r="29" spans="1:8">
      <c r="B29" s="6" t="s">
        <v>139</v>
      </c>
      <c r="C29" s="72">
        <v>0.01</v>
      </c>
      <c r="D29" s="66">
        <v>49.557522123893804</v>
      </c>
      <c r="E29" s="56">
        <v>5600</v>
      </c>
      <c r="F29" s="56">
        <v>50</v>
      </c>
      <c r="G29" s="121"/>
      <c r="H29" s="122"/>
    </row>
    <row r="30" spans="1:8">
      <c r="B30" s="6" t="s">
        <v>121</v>
      </c>
      <c r="C30" s="72">
        <v>0.01</v>
      </c>
      <c r="D30" s="66">
        <v>34.610630407911003</v>
      </c>
      <c r="E30" s="56">
        <v>6999.9999999999991</v>
      </c>
      <c r="F30" s="56">
        <v>34.782608695652179</v>
      </c>
      <c r="G30" s="121"/>
      <c r="H30" s="122"/>
    </row>
    <row r="31" spans="1:8">
      <c r="B31" s="6" t="s">
        <v>136</v>
      </c>
      <c r="C31" s="72">
        <v>0.02</v>
      </c>
      <c r="D31" s="66">
        <v>91.903719912472653</v>
      </c>
      <c r="E31" s="56">
        <v>4666.6666666666624</v>
      </c>
      <c r="F31" s="56">
        <v>93.75</v>
      </c>
      <c r="G31" s="121"/>
      <c r="H31" s="122"/>
    </row>
    <row r="32" spans="1:8">
      <c r="B32" s="6" t="s">
        <v>137</v>
      </c>
      <c r="C32" s="72">
        <v>0.01</v>
      </c>
      <c r="D32" s="66">
        <v>51.032806804374246</v>
      </c>
      <c r="E32" s="56">
        <v>5600</v>
      </c>
      <c r="F32" s="56">
        <v>51.502145922746784</v>
      </c>
      <c r="G32" s="121"/>
      <c r="H32" s="122"/>
    </row>
    <row r="33" spans="1:8">
      <c r="B33" s="6" t="s">
        <v>138</v>
      </c>
      <c r="C33" s="72">
        <v>0.01</v>
      </c>
      <c r="D33" s="66">
        <v>35.323801513877207</v>
      </c>
      <c r="E33" s="56">
        <v>6999.9999999999991</v>
      </c>
      <c r="F33" s="56">
        <v>35.502958579881657</v>
      </c>
      <c r="G33" s="121"/>
      <c r="H33" s="122"/>
    </row>
    <row r="34" spans="1:8">
      <c r="A34" s="6">
        <v>610430</v>
      </c>
      <c r="B34" s="114" t="s">
        <v>122</v>
      </c>
      <c r="C34" s="72">
        <v>1</v>
      </c>
      <c r="D34" s="66">
        <v>84.951456310679603</v>
      </c>
      <c r="E34" s="56">
        <v>84.951456310679603</v>
      </c>
      <c r="F34" s="56">
        <v>0</v>
      </c>
      <c r="G34" s="123" t="s">
        <v>292</v>
      </c>
      <c r="H34" s="124">
        <v>0.02</v>
      </c>
    </row>
    <row r="35" spans="1:8">
      <c r="A35" s="6">
        <v>610430</v>
      </c>
      <c r="B35" s="114" t="s">
        <v>123</v>
      </c>
      <c r="C35" s="72">
        <v>0.01</v>
      </c>
      <c r="D35" s="66">
        <v>37.369872764480824</v>
      </c>
      <c r="E35" s="56">
        <v>2916.6666666666661</v>
      </c>
      <c r="F35" s="56">
        <v>37.854889589905362</v>
      </c>
      <c r="G35" s="123"/>
      <c r="H35" s="124"/>
    </row>
    <row r="36" spans="1:8">
      <c r="A36" s="6">
        <v>610430</v>
      </c>
      <c r="B36" s="114" t="s">
        <v>133</v>
      </c>
      <c r="C36" s="72">
        <v>0.01</v>
      </c>
      <c r="D36" s="66">
        <v>20.999999999999996</v>
      </c>
      <c r="E36" s="56">
        <v>3499.9999999999995</v>
      </c>
      <c r="F36" s="56">
        <v>21.12676056338028</v>
      </c>
      <c r="G36" s="123"/>
      <c r="H36" s="124"/>
    </row>
    <row r="37" spans="1:8">
      <c r="A37" s="6">
        <v>610430</v>
      </c>
      <c r="B37" s="114" t="s">
        <v>124</v>
      </c>
      <c r="C37" s="72">
        <v>0.01</v>
      </c>
      <c r="D37" s="66">
        <v>14.603108375925736</v>
      </c>
      <c r="E37" s="56">
        <v>4375</v>
      </c>
      <c r="F37" s="56">
        <v>14.652014652014653</v>
      </c>
      <c r="G37" s="123"/>
      <c r="H37" s="124"/>
    </row>
    <row r="38" spans="1:8">
      <c r="A38" s="6">
        <v>610430</v>
      </c>
      <c r="B38" s="114" t="s">
        <v>130</v>
      </c>
      <c r="C38" s="72">
        <v>0.01</v>
      </c>
      <c r="D38" s="66">
        <v>39.252336448598129</v>
      </c>
      <c r="E38" s="56">
        <v>2916.6666666666652</v>
      </c>
      <c r="F38" s="56">
        <v>39.787798408488065</v>
      </c>
      <c r="G38" s="123"/>
      <c r="H38" s="124"/>
    </row>
    <row r="39" spans="1:8">
      <c r="A39" s="6">
        <v>610430</v>
      </c>
      <c r="B39" s="114" t="s">
        <v>131</v>
      </c>
      <c r="C39" s="72">
        <v>0.01</v>
      </c>
      <c r="D39" s="66">
        <v>21.581624788037615</v>
      </c>
      <c r="E39" s="56">
        <v>3499.9999999999995</v>
      </c>
      <c r="F39" s="56">
        <v>21.715526601520086</v>
      </c>
      <c r="G39" s="123"/>
      <c r="H39" s="124"/>
    </row>
    <row r="40" spans="1:8">
      <c r="A40" s="6">
        <v>610430</v>
      </c>
      <c r="B40" s="114" t="s">
        <v>132</v>
      </c>
      <c r="C40" s="72">
        <v>3.0000000000000001E-3</v>
      </c>
      <c r="D40" s="66">
        <v>14.882006944936576</v>
      </c>
      <c r="E40" s="56">
        <v>4375</v>
      </c>
      <c r="F40" s="56">
        <v>14.932802389248383</v>
      </c>
      <c r="G40" s="123"/>
      <c r="H40" s="124"/>
    </row>
    <row r="41" spans="1:8">
      <c r="A41" s="6">
        <v>611520</v>
      </c>
      <c r="B41" s="6" t="s">
        <v>22</v>
      </c>
      <c r="C41" s="72">
        <v>1</v>
      </c>
      <c r="D41" s="66">
        <v>50</v>
      </c>
      <c r="E41" s="56">
        <v>50</v>
      </c>
      <c r="F41" s="56">
        <v>0</v>
      </c>
      <c r="G41" s="121">
        <v>53</v>
      </c>
      <c r="H41" s="122">
        <v>0.56000000000000005</v>
      </c>
    </row>
    <row r="42" spans="1:8">
      <c r="A42" s="6">
        <v>611520</v>
      </c>
      <c r="B42" s="6" t="s">
        <v>126</v>
      </c>
      <c r="C42" s="72">
        <v>0.5</v>
      </c>
      <c r="D42" s="66">
        <v>50</v>
      </c>
      <c r="E42" s="56">
        <v>100</v>
      </c>
      <c r="F42" s="56">
        <v>100</v>
      </c>
      <c r="G42" s="121"/>
      <c r="H42" s="122"/>
    </row>
    <row r="43" spans="1:8">
      <c r="A43" s="6">
        <v>611520</v>
      </c>
      <c r="B43" s="6" t="s">
        <v>125</v>
      </c>
      <c r="C43" s="72">
        <v>0.5</v>
      </c>
      <c r="D43" s="66">
        <v>50</v>
      </c>
      <c r="E43" s="56">
        <v>100</v>
      </c>
      <c r="F43" s="56">
        <v>100</v>
      </c>
      <c r="G43" s="121"/>
      <c r="H43" s="122"/>
    </row>
    <row r="44" spans="1:8">
      <c r="A44" s="6">
        <v>611140</v>
      </c>
      <c r="B44" s="6" t="s">
        <v>23</v>
      </c>
      <c r="C44" s="72">
        <v>0.01</v>
      </c>
      <c r="D44" s="66">
        <v>9.9009900990099009</v>
      </c>
      <c r="E44" s="56">
        <v>1000</v>
      </c>
      <c r="F44" s="56">
        <v>10</v>
      </c>
      <c r="G44" s="121">
        <v>26</v>
      </c>
      <c r="H44" s="122">
        <v>0.06</v>
      </c>
    </row>
    <row r="45" spans="1:8">
      <c r="A45" s="6">
        <v>611140</v>
      </c>
      <c r="B45" s="6" t="s">
        <v>24</v>
      </c>
      <c r="C45" s="72">
        <v>0.5</v>
      </c>
      <c r="D45" s="66">
        <v>25</v>
      </c>
      <c r="E45" s="56">
        <v>50</v>
      </c>
      <c r="F45" s="56">
        <v>50</v>
      </c>
      <c r="G45" s="121"/>
      <c r="H45" s="122"/>
    </row>
    <row r="46" spans="1:8">
      <c r="A46" s="6">
        <v>611140</v>
      </c>
      <c r="B46" s="6" t="s">
        <v>148</v>
      </c>
      <c r="C46" s="72">
        <v>0.18</v>
      </c>
      <c r="D46" s="66">
        <v>11.764705882352942</v>
      </c>
      <c r="E46" s="56">
        <v>66.666666666666671</v>
      </c>
      <c r="F46" s="56">
        <v>14.285714285714286</v>
      </c>
      <c r="G46" s="121"/>
      <c r="H46" s="122"/>
    </row>
    <row r="47" spans="1:8">
      <c r="A47" s="6">
        <v>611140</v>
      </c>
      <c r="B47" s="6" t="s">
        <v>25</v>
      </c>
      <c r="C47" s="72">
        <v>0.08</v>
      </c>
      <c r="D47" s="66">
        <v>7.6923076923076916</v>
      </c>
      <c r="E47" s="56">
        <v>100</v>
      </c>
      <c r="F47" s="56">
        <v>8.3333333333333339</v>
      </c>
      <c r="G47" s="121"/>
      <c r="H47" s="122"/>
    </row>
    <row r="48" spans="1:8">
      <c r="A48" s="6">
        <v>611140</v>
      </c>
      <c r="B48" s="6" t="s">
        <v>127</v>
      </c>
      <c r="C48" s="72">
        <v>7.0000000000000007E-2</v>
      </c>
      <c r="D48" s="66">
        <v>11.627906976744185</v>
      </c>
      <c r="E48" s="56">
        <v>166.66666666666666</v>
      </c>
      <c r="F48" s="56">
        <v>12.5</v>
      </c>
      <c r="G48" s="121"/>
      <c r="H48" s="122"/>
    </row>
    <row r="49" spans="1:8">
      <c r="A49" s="6">
        <v>611140</v>
      </c>
      <c r="B49" s="6" t="s">
        <v>128</v>
      </c>
      <c r="C49" s="72">
        <v>0.06</v>
      </c>
      <c r="D49" s="66">
        <v>10.471204188481675</v>
      </c>
      <c r="E49" s="56">
        <v>181.81818181818184</v>
      </c>
      <c r="F49" s="56">
        <v>11.111111111111111</v>
      </c>
      <c r="G49" s="121"/>
      <c r="H49" s="122"/>
    </row>
    <row r="50" spans="1:8">
      <c r="A50" s="6">
        <v>611140</v>
      </c>
      <c r="B50" s="6" t="s">
        <v>129</v>
      </c>
      <c r="C50" s="72">
        <v>0.05</v>
      </c>
      <c r="D50" s="66">
        <v>9.5238095238095237</v>
      </c>
      <c r="E50" s="56">
        <v>200</v>
      </c>
      <c r="F50" s="56">
        <v>10</v>
      </c>
      <c r="G50" s="121"/>
      <c r="H50" s="122"/>
    </row>
    <row r="51" spans="1:8">
      <c r="A51" s="6">
        <v>610300</v>
      </c>
      <c r="B51" s="114" t="s">
        <v>26</v>
      </c>
      <c r="C51" s="72">
        <v>1</v>
      </c>
      <c r="D51" s="66">
        <v>30.303030303030301</v>
      </c>
      <c r="E51" s="56">
        <v>30.303030303030301</v>
      </c>
      <c r="F51" s="56">
        <v>0</v>
      </c>
      <c r="G51" s="121">
        <v>21</v>
      </c>
      <c r="H51" s="122">
        <v>0.05</v>
      </c>
    </row>
    <row r="52" spans="1:8">
      <c r="A52" s="6">
        <v>610300</v>
      </c>
      <c r="B52" s="114" t="s">
        <v>108</v>
      </c>
      <c r="C52" s="72">
        <v>0.2</v>
      </c>
      <c r="D52" s="66">
        <v>15.290519877675841</v>
      </c>
      <c r="E52" s="56">
        <v>75.187969924812023</v>
      </c>
      <c r="F52" s="56">
        <v>19.193857965451055</v>
      </c>
      <c r="G52" s="121"/>
      <c r="H52" s="122"/>
    </row>
    <row r="53" spans="1:8">
      <c r="A53" s="6">
        <v>610300</v>
      </c>
      <c r="B53" s="114" t="s">
        <v>150</v>
      </c>
      <c r="C53" s="72">
        <v>0.08</v>
      </c>
      <c r="D53" s="66">
        <v>10.482180293501047</v>
      </c>
      <c r="E53" s="56">
        <v>133.33333333333331</v>
      </c>
      <c r="F53" s="56">
        <v>11.376564277588168</v>
      </c>
      <c r="G53" s="121"/>
      <c r="H53" s="122"/>
    </row>
    <row r="54" spans="1:8">
      <c r="A54" s="6">
        <v>610300</v>
      </c>
      <c r="B54" s="114" t="s">
        <v>109</v>
      </c>
      <c r="C54" s="72">
        <v>0.01</v>
      </c>
      <c r="D54" s="66">
        <v>7.9744816586921861</v>
      </c>
      <c r="E54" s="56">
        <v>588.23529411764707</v>
      </c>
      <c r="F54" s="56">
        <v>8.0840743734842366</v>
      </c>
      <c r="G54" s="121"/>
      <c r="H54" s="122"/>
    </row>
    <row r="55" spans="1:8">
      <c r="A55" s="6">
        <v>610300</v>
      </c>
      <c r="B55" s="114" t="s">
        <v>27</v>
      </c>
      <c r="C55" s="72">
        <v>0.26</v>
      </c>
      <c r="D55" s="66">
        <v>11.019283746556475</v>
      </c>
      <c r="E55" s="56">
        <v>42.462845010615709</v>
      </c>
      <c r="F55" s="56">
        <v>14.880952380952381</v>
      </c>
      <c r="G55" s="121"/>
      <c r="H55" s="122"/>
    </row>
    <row r="56" spans="1:8">
      <c r="A56" s="6">
        <v>610300</v>
      </c>
      <c r="B56" s="114" t="s">
        <v>149</v>
      </c>
      <c r="C56" s="72">
        <v>0.14000000000000001</v>
      </c>
      <c r="D56" s="66">
        <v>9.2336103416435815</v>
      </c>
      <c r="E56" s="56">
        <v>68.027210884353735</v>
      </c>
      <c r="F56" s="56">
        <v>10.683760683760683</v>
      </c>
      <c r="G56" s="121"/>
      <c r="H56" s="122"/>
    </row>
    <row r="57" spans="1:8">
      <c r="A57" s="6">
        <v>610300</v>
      </c>
      <c r="B57" s="114" t="s">
        <v>28</v>
      </c>
      <c r="C57" s="72">
        <v>0.05</v>
      </c>
      <c r="D57" s="66">
        <v>7.9459674215335703</v>
      </c>
      <c r="E57" s="56">
        <v>170.94017094017093</v>
      </c>
      <c r="F57" s="56">
        <v>8.3333333333333321</v>
      </c>
      <c r="G57" s="121"/>
      <c r="H57" s="122"/>
    </row>
    <row r="58" spans="1:8">
      <c r="A58" s="6"/>
      <c r="B58" s="6" t="s">
        <v>29</v>
      </c>
      <c r="C58" s="72">
        <v>1</v>
      </c>
      <c r="D58" s="66">
        <v>60.606060606060602</v>
      </c>
      <c r="E58" s="56">
        <v>93.939393939393938</v>
      </c>
      <c r="F58" s="56">
        <v>0</v>
      </c>
      <c r="G58" s="121">
        <v>71</v>
      </c>
      <c r="H58" s="122">
        <v>0.04</v>
      </c>
    </row>
    <row r="59" spans="1:8">
      <c r="A59" s="6"/>
      <c r="B59" s="6" t="s">
        <v>176</v>
      </c>
      <c r="C59" s="72">
        <v>0.08</v>
      </c>
      <c r="D59" s="66">
        <v>20.964360587002094</v>
      </c>
      <c r="E59" s="56">
        <v>266.66666666666663</v>
      </c>
      <c r="F59" s="56">
        <v>22.753128555176335</v>
      </c>
      <c r="G59" s="121"/>
      <c r="H59" s="122"/>
    </row>
    <row r="60" spans="1:8">
      <c r="A60" s="6"/>
      <c r="B60" s="6" t="s">
        <v>175</v>
      </c>
      <c r="C60" s="72">
        <v>0.2</v>
      </c>
      <c r="D60" s="66">
        <v>30.581039755351682</v>
      </c>
      <c r="E60" s="56">
        <v>150.37593984962405</v>
      </c>
      <c r="F60" s="56">
        <v>38.387715930902111</v>
      </c>
      <c r="G60" s="121"/>
      <c r="H60" s="122"/>
    </row>
    <row r="61" spans="1:8">
      <c r="A61" s="6"/>
      <c r="B61" s="6" t="s">
        <v>177</v>
      </c>
      <c r="C61" s="72">
        <v>0.01</v>
      </c>
      <c r="D61" s="66">
        <v>15.948963317384372</v>
      </c>
      <c r="E61" s="56">
        <v>1176.4705882352941</v>
      </c>
      <c r="F61" s="56">
        <v>16.168148746968473</v>
      </c>
      <c r="G61" s="121"/>
      <c r="H61" s="122"/>
    </row>
    <row r="62" spans="1:8">
      <c r="A62" s="6"/>
      <c r="B62" s="6" t="s">
        <v>30</v>
      </c>
      <c r="C62" s="72">
        <v>0.26</v>
      </c>
      <c r="D62" s="66">
        <v>22.03856749311295</v>
      </c>
      <c r="E62" s="56">
        <v>84.925690021231418</v>
      </c>
      <c r="F62" s="56">
        <v>29.761904761904763</v>
      </c>
      <c r="G62" s="121"/>
      <c r="H62" s="122"/>
    </row>
    <row r="63" spans="1:8">
      <c r="A63" s="6"/>
      <c r="B63" s="6" t="s">
        <v>151</v>
      </c>
      <c r="C63" s="72">
        <v>0.14000000000000001</v>
      </c>
      <c r="D63" s="66">
        <v>18.467220683287163</v>
      </c>
      <c r="E63" s="56">
        <v>136.05442176870747</v>
      </c>
      <c r="F63" s="56">
        <v>21.367521367521366</v>
      </c>
      <c r="G63" s="121"/>
      <c r="H63" s="122"/>
    </row>
    <row r="64" spans="1:8">
      <c r="A64" s="6"/>
      <c r="B64" s="6" t="s">
        <v>31</v>
      </c>
      <c r="C64" s="72">
        <v>0.05</v>
      </c>
      <c r="D64" s="66">
        <v>15.891934843067141</v>
      </c>
      <c r="E64" s="56">
        <v>341.88034188034186</v>
      </c>
      <c r="F64" s="56">
        <v>16.666666666666664</v>
      </c>
      <c r="G64" s="121"/>
      <c r="H64" s="122"/>
    </row>
    <row r="65" spans="1:8">
      <c r="B65" s="18" t="s">
        <v>32</v>
      </c>
      <c r="C65" s="72">
        <v>1</v>
      </c>
      <c r="D65" s="66">
        <v>58.479532897563949</v>
      </c>
      <c r="E65" s="56">
        <v>58.479532897563949</v>
      </c>
      <c r="F65" s="56">
        <v>0</v>
      </c>
      <c r="G65" s="121">
        <v>30</v>
      </c>
      <c r="H65" s="122">
        <v>0.24</v>
      </c>
    </row>
    <row r="66" spans="1:8">
      <c r="B66" s="18" t="s">
        <v>36</v>
      </c>
      <c r="C66" s="72">
        <v>0.16</v>
      </c>
      <c r="D66" s="66">
        <v>31.743511566187323</v>
      </c>
      <c r="E66" s="56">
        <v>200.50125564879119</v>
      </c>
      <c r="F66" s="56">
        <v>37.714499931968284</v>
      </c>
      <c r="G66" s="121"/>
      <c r="H66" s="122"/>
    </row>
    <row r="67" spans="1:8">
      <c r="B67" s="18" t="s">
        <v>35</v>
      </c>
      <c r="C67" s="72">
        <v>0.41</v>
      </c>
      <c r="D67" s="66">
        <v>51.773232525849011</v>
      </c>
      <c r="E67" s="56">
        <v>126.82308339230774</v>
      </c>
      <c r="F67" s="56">
        <v>87.489061074864622</v>
      </c>
      <c r="G67" s="121"/>
      <c r="H67" s="122"/>
    </row>
    <row r="68" spans="1:8">
      <c r="B68" s="18" t="s">
        <v>34</v>
      </c>
      <c r="C68" s="72">
        <v>0.17</v>
      </c>
      <c r="D68" s="66">
        <v>34.322978361784628</v>
      </c>
      <c r="E68" s="56">
        <v>204.39448368970648</v>
      </c>
      <c r="F68" s="56">
        <v>41.249869738162211</v>
      </c>
      <c r="G68" s="121"/>
      <c r="H68" s="122"/>
    </row>
    <row r="69" spans="1:8">
      <c r="B69" s="18" t="s">
        <v>33</v>
      </c>
      <c r="C69" s="72">
        <v>0.35</v>
      </c>
      <c r="D69" s="66">
        <v>55.020631856732429</v>
      </c>
      <c r="E69" s="56">
        <v>157.10919259430446</v>
      </c>
      <c r="F69" s="56">
        <v>84.67400249926655</v>
      </c>
      <c r="G69" s="121"/>
      <c r="H69" s="122"/>
    </row>
    <row r="70" spans="1:8">
      <c r="A70" s="6">
        <v>610321</v>
      </c>
      <c r="B70" s="114" t="s">
        <v>37</v>
      </c>
      <c r="C70" s="72">
        <v>1</v>
      </c>
      <c r="D70" s="66">
        <v>58.479532897563949</v>
      </c>
      <c r="E70" s="56">
        <v>58.479532897563949</v>
      </c>
      <c r="F70" s="56">
        <v>0</v>
      </c>
      <c r="G70" s="121">
        <v>53</v>
      </c>
      <c r="H70" s="122">
        <v>0.13</v>
      </c>
    </row>
    <row r="71" spans="1:8">
      <c r="A71" s="6">
        <v>610321</v>
      </c>
      <c r="B71" s="114" t="s">
        <v>40</v>
      </c>
      <c r="C71" s="72">
        <v>0.41</v>
      </c>
      <c r="D71" s="66">
        <v>51.773232525849011</v>
      </c>
      <c r="E71" s="56">
        <v>126.82308339230774</v>
      </c>
      <c r="F71" s="56">
        <v>87.489061074864622</v>
      </c>
      <c r="G71" s="121"/>
      <c r="H71" s="122"/>
    </row>
    <row r="72" spans="1:8">
      <c r="A72" s="6">
        <v>610321</v>
      </c>
      <c r="B72" s="114" t="s">
        <v>153</v>
      </c>
      <c r="C72" s="72">
        <v>0.16</v>
      </c>
      <c r="D72" s="66">
        <v>31.743511566187323</v>
      </c>
      <c r="E72" s="56">
        <v>200.50125564879119</v>
      </c>
      <c r="F72" s="56">
        <v>37.714499931968284</v>
      </c>
      <c r="G72" s="121"/>
      <c r="H72" s="122"/>
    </row>
    <row r="73" spans="1:8">
      <c r="A73" s="6">
        <v>610321</v>
      </c>
      <c r="B73" s="114" t="s">
        <v>41</v>
      </c>
      <c r="C73" s="72">
        <v>0.05</v>
      </c>
      <c r="D73" s="66">
        <v>22.888532096870257</v>
      </c>
      <c r="E73" s="56">
        <v>478.4689055255235</v>
      </c>
      <c r="F73" s="56">
        <v>24.03846069806691</v>
      </c>
      <c r="G73" s="121"/>
      <c r="H73" s="122"/>
    </row>
    <row r="74" spans="1:8">
      <c r="A74" s="6">
        <v>610321</v>
      </c>
      <c r="B74" s="114" t="s">
        <v>38</v>
      </c>
      <c r="C74" s="72">
        <v>0.35</v>
      </c>
      <c r="D74" s="66">
        <v>55.020631856732429</v>
      </c>
      <c r="E74" s="56">
        <v>157.10919259430446</v>
      </c>
      <c r="F74" s="56">
        <v>84.67400249926655</v>
      </c>
      <c r="G74" s="121"/>
      <c r="H74" s="122"/>
    </row>
    <row r="75" spans="1:8">
      <c r="A75" s="6">
        <v>610321</v>
      </c>
      <c r="B75" s="114" t="s">
        <v>152</v>
      </c>
      <c r="C75" s="72">
        <v>0.17</v>
      </c>
      <c r="D75" s="66">
        <v>34.322978361784628</v>
      </c>
      <c r="E75" s="56">
        <v>204.39448368970648</v>
      </c>
      <c r="F75" s="56">
        <v>41.249869738162211</v>
      </c>
      <c r="G75" s="121"/>
      <c r="H75" s="122"/>
    </row>
    <row r="76" spans="1:8">
      <c r="A76" s="6">
        <v>610321</v>
      </c>
      <c r="B76" s="114" t="s">
        <v>39</v>
      </c>
      <c r="C76" s="72">
        <v>0.09</v>
      </c>
      <c r="D76" s="66">
        <v>24.940764940716385</v>
      </c>
      <c r="E76" s="56">
        <v>292.39766448782041</v>
      </c>
      <c r="F76" s="56">
        <v>27.266529416717557</v>
      </c>
      <c r="G76" s="121"/>
      <c r="H76" s="122"/>
    </row>
    <row r="77" spans="1:8">
      <c r="A77" s="6"/>
      <c r="B77" s="114" t="s">
        <v>42</v>
      </c>
      <c r="C77" s="72">
        <v>1</v>
      </c>
      <c r="D77" s="66">
        <v>116.9590657951279</v>
      </c>
      <c r="E77" s="56">
        <v>116.9590657951279</v>
      </c>
      <c r="F77" s="56">
        <v>0</v>
      </c>
      <c r="G77" s="121">
        <v>80</v>
      </c>
      <c r="H77" s="122">
        <v>0.04</v>
      </c>
    </row>
    <row r="78" spans="1:8">
      <c r="A78" s="6"/>
      <c r="B78" s="114" t="s">
        <v>45</v>
      </c>
      <c r="C78" s="72">
        <v>0.41</v>
      </c>
      <c r="D78" s="66">
        <v>103.54646505169802</v>
      </c>
      <c r="E78" s="56">
        <v>253.64616678461547</v>
      </c>
      <c r="F78" s="56">
        <v>174.97812214972924</v>
      </c>
      <c r="G78" s="121"/>
      <c r="H78" s="122"/>
    </row>
    <row r="79" spans="1:8">
      <c r="A79" s="6"/>
      <c r="B79" s="114" t="s">
        <v>155</v>
      </c>
      <c r="C79" s="72">
        <v>0.16</v>
      </c>
      <c r="D79" s="66">
        <v>63.487023132374645</v>
      </c>
      <c r="E79" s="56">
        <v>401.00251129758237</v>
      </c>
      <c r="F79" s="56">
        <v>75.428999863936568</v>
      </c>
      <c r="G79" s="121"/>
      <c r="H79" s="122"/>
    </row>
    <row r="80" spans="1:8">
      <c r="A80" s="6"/>
      <c r="B80" s="114" t="s">
        <v>46</v>
      </c>
      <c r="C80" s="72">
        <v>0.05</v>
      </c>
      <c r="D80" s="66">
        <v>45.777064193740514</v>
      </c>
      <c r="E80" s="56">
        <v>956.93781105104699</v>
      </c>
      <c r="F80" s="56">
        <v>48.07692139613382</v>
      </c>
      <c r="G80" s="121"/>
      <c r="H80" s="122"/>
    </row>
    <row r="81" spans="1:8">
      <c r="A81" s="6"/>
      <c r="B81" s="114" t="s">
        <v>43</v>
      </c>
      <c r="C81" s="72">
        <v>0.35</v>
      </c>
      <c r="D81" s="66">
        <v>110.04126371346486</v>
      </c>
      <c r="E81" s="56">
        <v>314.21838518860892</v>
      </c>
      <c r="F81" s="56">
        <v>169.3480049985331</v>
      </c>
      <c r="G81" s="121"/>
      <c r="H81" s="122"/>
    </row>
    <row r="82" spans="1:8">
      <c r="A82" s="6"/>
      <c r="B82" s="114" t="s">
        <v>154</v>
      </c>
      <c r="C82" s="72">
        <v>0.17</v>
      </c>
      <c r="D82" s="66">
        <v>68.645956723569256</v>
      </c>
      <c r="E82" s="56">
        <v>408.78896737941295</v>
      </c>
      <c r="F82" s="56">
        <v>82.499739476324422</v>
      </c>
      <c r="G82" s="121"/>
      <c r="H82" s="122"/>
    </row>
    <row r="83" spans="1:8">
      <c r="A83" s="6"/>
      <c r="B83" s="114" t="s">
        <v>44</v>
      </c>
      <c r="C83" s="72">
        <v>0.09</v>
      </c>
      <c r="D83" s="66">
        <v>49.881529881432769</v>
      </c>
      <c r="E83" s="56">
        <v>584.79532897564081</v>
      </c>
      <c r="F83" s="56">
        <v>54.533058833435113</v>
      </c>
      <c r="G83" s="121"/>
      <c r="H83" s="122"/>
    </row>
    <row r="84" spans="1:8">
      <c r="A84" s="6">
        <v>610322</v>
      </c>
      <c r="B84" s="114" t="s">
        <v>47</v>
      </c>
      <c r="C84" s="72">
        <v>1</v>
      </c>
      <c r="D84" s="66">
        <v>50</v>
      </c>
      <c r="E84" s="56">
        <v>50</v>
      </c>
      <c r="F84" s="56">
        <v>0</v>
      </c>
      <c r="G84" s="121">
        <v>53</v>
      </c>
      <c r="H84" s="122">
        <v>0.13</v>
      </c>
    </row>
    <row r="85" spans="1:8">
      <c r="A85" s="6">
        <v>610322</v>
      </c>
      <c r="B85" s="114" t="s">
        <v>50</v>
      </c>
      <c r="C85" s="72">
        <v>0.38</v>
      </c>
      <c r="D85" s="66">
        <v>73.529411764705898</v>
      </c>
      <c r="E85" s="56">
        <v>196.07843137254903</v>
      </c>
      <c r="F85" s="56">
        <v>117.64705882352943</v>
      </c>
      <c r="G85" s="121"/>
      <c r="H85" s="122"/>
    </row>
    <row r="86" spans="1:8">
      <c r="A86" s="6">
        <v>610322</v>
      </c>
      <c r="B86" s="114" t="s">
        <v>157</v>
      </c>
      <c r="C86" s="72">
        <v>0.19</v>
      </c>
      <c r="D86" s="66">
        <v>54.644808743169399</v>
      </c>
      <c r="E86" s="56">
        <v>281.69014084507046</v>
      </c>
      <c r="F86" s="56">
        <v>67.79661016949153</v>
      </c>
      <c r="G86" s="121"/>
      <c r="H86" s="122"/>
    </row>
    <row r="87" spans="1:8">
      <c r="A87" s="6">
        <v>610322</v>
      </c>
      <c r="B87" s="114" t="s">
        <v>51</v>
      </c>
      <c r="C87" s="72">
        <v>0.09</v>
      </c>
      <c r="D87" s="66">
        <v>43.478260869565219</v>
      </c>
      <c r="E87" s="56">
        <v>500</v>
      </c>
      <c r="F87" s="56">
        <v>47.619047619047628</v>
      </c>
      <c r="G87" s="121"/>
      <c r="H87" s="122"/>
    </row>
    <row r="88" spans="1:8">
      <c r="A88" s="6">
        <v>610322</v>
      </c>
      <c r="B88" s="114" t="s">
        <v>48</v>
      </c>
      <c r="C88" s="72">
        <v>0.5</v>
      </c>
      <c r="D88" s="66">
        <v>94.339622641509436</v>
      </c>
      <c r="E88" s="56">
        <v>188.67924528301887</v>
      </c>
      <c r="F88" s="56">
        <v>188.67924528301887</v>
      </c>
      <c r="G88" s="121"/>
      <c r="H88" s="122"/>
    </row>
    <row r="89" spans="1:8">
      <c r="A89" s="6">
        <v>610322</v>
      </c>
      <c r="B89" s="114" t="s">
        <v>156</v>
      </c>
      <c r="C89" s="72">
        <v>0.25</v>
      </c>
      <c r="D89" s="66">
        <v>65.359477124183002</v>
      </c>
      <c r="E89" s="56">
        <v>256.41025641025641</v>
      </c>
      <c r="F89" s="56">
        <v>87.719298245614027</v>
      </c>
      <c r="G89" s="121"/>
      <c r="H89" s="122"/>
    </row>
    <row r="90" spans="1:8">
      <c r="A90" s="6">
        <v>610322</v>
      </c>
      <c r="B90" s="114" t="s">
        <v>49</v>
      </c>
      <c r="C90" s="72">
        <v>0.13</v>
      </c>
      <c r="D90" s="66">
        <v>50.000000000000007</v>
      </c>
      <c r="E90" s="56">
        <v>400</v>
      </c>
      <c r="F90" s="56">
        <v>57.142857142857146</v>
      </c>
      <c r="G90" s="121"/>
      <c r="H90" s="122"/>
    </row>
    <row r="91" spans="1:8">
      <c r="A91" s="18">
        <v>610800</v>
      </c>
      <c r="B91" s="18" t="s">
        <v>52</v>
      </c>
      <c r="C91" s="72">
        <v>0</v>
      </c>
      <c r="D91" s="66">
        <v>200</v>
      </c>
      <c r="E91" s="56">
        <v>0</v>
      </c>
      <c r="F91" s="56">
        <v>200</v>
      </c>
      <c r="G91" s="121">
        <v>11</v>
      </c>
      <c r="H91" s="122">
        <v>0.84</v>
      </c>
    </row>
    <row r="92" spans="1:8">
      <c r="A92" s="18">
        <v>610800</v>
      </c>
      <c r="B92" s="18" t="s">
        <v>55</v>
      </c>
      <c r="C92" s="72">
        <v>1</v>
      </c>
      <c r="D92" s="66">
        <v>125</v>
      </c>
      <c r="E92" s="56">
        <v>125</v>
      </c>
      <c r="F92" s="56">
        <v>0</v>
      </c>
      <c r="G92" s="121"/>
      <c r="H92" s="122"/>
    </row>
    <row r="93" spans="1:8">
      <c r="A93" s="18">
        <v>610800</v>
      </c>
      <c r="B93" s="6" t="s">
        <v>144</v>
      </c>
      <c r="C93" s="72">
        <v>0.9</v>
      </c>
      <c r="D93" s="66">
        <v>99.999999999999986</v>
      </c>
      <c r="E93" s="56">
        <v>111.1111111111111</v>
      </c>
      <c r="F93" s="56">
        <v>1000</v>
      </c>
      <c r="G93" s="121"/>
      <c r="H93" s="122"/>
    </row>
    <row r="94" spans="1:8">
      <c r="B94" s="18" t="s">
        <v>62</v>
      </c>
      <c r="C94" s="72">
        <v>1</v>
      </c>
      <c r="D94" s="66">
        <v>200</v>
      </c>
      <c r="E94" s="56">
        <v>200</v>
      </c>
      <c r="F94" s="56">
        <v>0</v>
      </c>
      <c r="G94" s="121">
        <v>32</v>
      </c>
      <c r="H94" s="122">
        <v>0.46</v>
      </c>
    </row>
    <row r="95" spans="1:8">
      <c r="B95" s="18" t="s">
        <v>64</v>
      </c>
      <c r="C95" s="72">
        <v>0.63</v>
      </c>
      <c r="D95" s="66">
        <v>317.46031746031747</v>
      </c>
      <c r="E95" s="56">
        <v>500</v>
      </c>
      <c r="F95" s="56">
        <v>869.56521739130437</v>
      </c>
      <c r="G95" s="121"/>
      <c r="H95" s="122"/>
    </row>
    <row r="96" spans="1:8">
      <c r="B96" s="18" t="s">
        <v>63</v>
      </c>
      <c r="C96" s="72">
        <v>0.67</v>
      </c>
      <c r="D96" s="66">
        <v>333.33333333333331</v>
      </c>
      <c r="E96" s="56">
        <v>500</v>
      </c>
      <c r="F96" s="56">
        <v>1000</v>
      </c>
      <c r="G96" s="121"/>
      <c r="H96" s="122"/>
    </row>
    <row r="97" spans="1:8">
      <c r="A97" s="6">
        <v>610440</v>
      </c>
      <c r="B97" s="6" t="s">
        <v>57</v>
      </c>
      <c r="C97" s="72">
        <v>1</v>
      </c>
      <c r="D97" s="66">
        <v>500</v>
      </c>
      <c r="E97" s="56">
        <v>500</v>
      </c>
      <c r="F97" s="56">
        <v>0</v>
      </c>
      <c r="G97" s="121">
        <v>296</v>
      </c>
      <c r="H97" s="122">
        <v>0.25</v>
      </c>
    </row>
    <row r="98" spans="1:8">
      <c r="A98" s="6">
        <v>610440</v>
      </c>
      <c r="B98" s="6" t="s">
        <v>60</v>
      </c>
      <c r="C98" s="72">
        <v>0.67</v>
      </c>
      <c r="D98" s="66">
        <v>333.33333333333331</v>
      </c>
      <c r="E98" s="56">
        <v>500</v>
      </c>
      <c r="F98" s="56">
        <v>1000</v>
      </c>
      <c r="G98" s="121"/>
      <c r="H98" s="122"/>
    </row>
    <row r="99" spans="1:8">
      <c r="A99" s="6">
        <v>610440</v>
      </c>
      <c r="B99" s="6" t="s">
        <v>159</v>
      </c>
      <c r="C99" s="72">
        <v>0.63</v>
      </c>
      <c r="D99" s="66">
        <v>317.46031746031747</v>
      </c>
      <c r="E99" s="56">
        <v>500</v>
      </c>
      <c r="F99" s="56">
        <v>869.56521739130437</v>
      </c>
      <c r="G99" s="121"/>
      <c r="H99" s="122"/>
    </row>
    <row r="100" spans="1:8">
      <c r="A100" s="6">
        <v>610440</v>
      </c>
      <c r="B100" s="6" t="s">
        <v>61</v>
      </c>
      <c r="C100" s="72">
        <v>0.61</v>
      </c>
      <c r="D100" s="66">
        <v>303.03030303030306</v>
      </c>
      <c r="E100" s="56">
        <v>500</v>
      </c>
      <c r="F100" s="56">
        <v>769.23076923076928</v>
      </c>
      <c r="G100" s="121"/>
      <c r="H100" s="122"/>
    </row>
    <row r="101" spans="1:8">
      <c r="A101" s="6">
        <v>610440</v>
      </c>
      <c r="B101" s="6" t="s">
        <v>58</v>
      </c>
      <c r="C101" s="72">
        <v>0.67</v>
      </c>
      <c r="D101" s="66">
        <v>333.33333333333331</v>
      </c>
      <c r="E101" s="56">
        <v>500</v>
      </c>
      <c r="F101" s="56">
        <v>1000</v>
      </c>
      <c r="G101" s="121"/>
      <c r="H101" s="122"/>
    </row>
    <row r="102" spans="1:8">
      <c r="A102" s="6">
        <v>610440</v>
      </c>
      <c r="B102" s="6" t="s">
        <v>158</v>
      </c>
      <c r="C102" s="72">
        <v>0.63</v>
      </c>
      <c r="D102" s="66">
        <v>317.46031746031747</v>
      </c>
      <c r="E102" s="56">
        <v>500</v>
      </c>
      <c r="F102" s="56">
        <v>869.56521739130437</v>
      </c>
      <c r="G102" s="121"/>
      <c r="H102" s="122"/>
    </row>
    <row r="103" spans="1:8">
      <c r="A103" s="6">
        <v>610440</v>
      </c>
      <c r="B103" s="6" t="s">
        <v>59</v>
      </c>
      <c r="C103" s="72">
        <v>0.61</v>
      </c>
      <c r="D103" s="66">
        <v>303.03030303030306</v>
      </c>
      <c r="E103" s="56">
        <v>500</v>
      </c>
      <c r="F103" s="56">
        <v>769.23076923076928</v>
      </c>
      <c r="G103" s="121"/>
      <c r="H103" s="122"/>
    </row>
    <row r="104" spans="1:8">
      <c r="B104" s="18" t="s">
        <v>65</v>
      </c>
      <c r="C104" s="72">
        <v>1</v>
      </c>
      <c r="D104" s="66">
        <v>44.444444444444443</v>
      </c>
      <c r="E104" s="56">
        <v>44.444444444444443</v>
      </c>
      <c r="F104" s="56">
        <v>0</v>
      </c>
      <c r="G104" s="121">
        <v>15</v>
      </c>
      <c r="H104" s="122">
        <v>0.24</v>
      </c>
    </row>
    <row r="105" spans="1:8">
      <c r="B105" s="18" t="s">
        <v>69</v>
      </c>
      <c r="C105" s="72">
        <v>0.14000000000000001</v>
      </c>
      <c r="D105" s="66">
        <v>13.25381047051027</v>
      </c>
      <c r="E105" s="56">
        <v>96.618357487922694</v>
      </c>
      <c r="F105" s="56">
        <v>15.360983102918585</v>
      </c>
      <c r="G105" s="121"/>
      <c r="H105" s="122"/>
    </row>
    <row r="106" spans="1:8">
      <c r="B106" s="18" t="s">
        <v>68</v>
      </c>
      <c r="C106" s="72">
        <v>0.37</v>
      </c>
      <c r="D106" s="66">
        <v>34.482758620689651</v>
      </c>
      <c r="E106" s="56">
        <v>94.339622641509422</v>
      </c>
      <c r="F106" s="56">
        <v>54.347826086956523</v>
      </c>
      <c r="G106" s="121"/>
      <c r="H106" s="122"/>
    </row>
    <row r="107" spans="1:8">
      <c r="B107" s="18" t="s">
        <v>67</v>
      </c>
      <c r="C107" s="72">
        <v>0.18</v>
      </c>
      <c r="D107" s="66">
        <v>13.440860215053764</v>
      </c>
      <c r="E107" s="56">
        <v>72.727272727272734</v>
      </c>
      <c r="F107" s="56">
        <v>16.488046166529266</v>
      </c>
      <c r="G107" s="121"/>
      <c r="H107" s="122"/>
    </row>
    <row r="108" spans="1:8">
      <c r="B108" s="18" t="s">
        <v>66</v>
      </c>
      <c r="C108" s="72">
        <v>0.26</v>
      </c>
      <c r="D108" s="66">
        <v>19.417475728155342</v>
      </c>
      <c r="E108" s="56">
        <v>74.07407407407409</v>
      </c>
      <c r="F108" s="56">
        <v>26.315789473684212</v>
      </c>
      <c r="G108" s="121"/>
      <c r="H108" s="122"/>
    </row>
    <row r="109" spans="1:8">
      <c r="A109" s="6">
        <v>610280</v>
      </c>
      <c r="B109" s="114" t="s">
        <v>70</v>
      </c>
      <c r="C109" s="72">
        <v>1</v>
      </c>
      <c r="D109" s="66">
        <v>44.444444444444443</v>
      </c>
      <c r="E109" s="56">
        <v>44.444444444444443</v>
      </c>
      <c r="F109" s="56">
        <v>0</v>
      </c>
      <c r="G109" s="121">
        <v>29</v>
      </c>
      <c r="H109" s="122">
        <v>0.08</v>
      </c>
    </row>
    <row r="110" spans="1:8">
      <c r="A110" s="6">
        <v>610280</v>
      </c>
      <c r="B110" s="114" t="s">
        <v>73</v>
      </c>
      <c r="C110" s="72">
        <v>0.37</v>
      </c>
      <c r="D110" s="66">
        <v>34.482758620689651</v>
      </c>
      <c r="E110" s="56">
        <v>94.339622641509422</v>
      </c>
      <c r="F110" s="56">
        <v>54.347826086956523</v>
      </c>
      <c r="G110" s="121"/>
      <c r="H110" s="122"/>
    </row>
    <row r="111" spans="1:8">
      <c r="A111" s="6">
        <v>610280</v>
      </c>
      <c r="B111" s="114" t="s">
        <v>161</v>
      </c>
      <c r="C111" s="72">
        <v>0.14000000000000001</v>
      </c>
      <c r="D111" s="66">
        <v>13.25381047051027</v>
      </c>
      <c r="E111" s="56">
        <v>96.618357487922694</v>
      </c>
      <c r="F111" s="56">
        <v>15.360983102918585</v>
      </c>
      <c r="G111" s="121"/>
      <c r="H111" s="122"/>
    </row>
    <row r="112" spans="1:8">
      <c r="A112" s="6">
        <v>610280</v>
      </c>
      <c r="B112" s="114" t="s">
        <v>74</v>
      </c>
      <c r="C112" s="72">
        <v>0.08</v>
      </c>
      <c r="D112" s="66">
        <v>8.2034454470877769</v>
      </c>
      <c r="E112" s="56">
        <v>99.009900990099013</v>
      </c>
      <c r="F112" s="56">
        <v>8.9445438282647594</v>
      </c>
      <c r="G112" s="121"/>
      <c r="H112" s="122"/>
    </row>
    <row r="113" spans="1:8">
      <c r="A113" s="6">
        <v>610280</v>
      </c>
      <c r="B113" s="114" t="s">
        <v>71</v>
      </c>
      <c r="C113" s="72">
        <v>0.23</v>
      </c>
      <c r="D113" s="66">
        <v>19.417475728155342</v>
      </c>
      <c r="E113" s="56">
        <v>83.857442348008405</v>
      </c>
      <c r="F113" s="56">
        <v>25.268477574226154</v>
      </c>
      <c r="G113" s="121"/>
      <c r="H113" s="122"/>
    </row>
    <row r="114" spans="1:8">
      <c r="A114" s="6">
        <v>610280</v>
      </c>
      <c r="B114" s="114" t="s">
        <v>160</v>
      </c>
      <c r="C114" s="72">
        <v>0.17</v>
      </c>
      <c r="D114" s="66">
        <v>13.440860215053764</v>
      </c>
      <c r="E114" s="56">
        <v>77.145612343297984</v>
      </c>
      <c r="F114" s="56">
        <v>16.276703967446593</v>
      </c>
      <c r="G114" s="121"/>
      <c r="H114" s="122"/>
    </row>
    <row r="115" spans="1:8">
      <c r="A115" s="6">
        <v>610280</v>
      </c>
      <c r="B115" s="114" t="s">
        <v>72</v>
      </c>
      <c r="C115" s="72">
        <v>0.14000000000000001</v>
      </c>
      <c r="D115" s="66">
        <v>10.277492291880781</v>
      </c>
      <c r="E115" s="56">
        <v>71.428571428571431</v>
      </c>
      <c r="F115" s="56">
        <v>12.004801920768308</v>
      </c>
      <c r="G115" s="121"/>
      <c r="H115" s="122"/>
    </row>
    <row r="116" spans="1:8">
      <c r="A116" s="6"/>
      <c r="B116" s="114" t="s">
        <v>75</v>
      </c>
      <c r="C116" s="72">
        <v>1</v>
      </c>
      <c r="D116" s="66">
        <v>88.888888888888886</v>
      </c>
      <c r="E116" s="56">
        <v>88.888888888888886</v>
      </c>
      <c r="F116" s="56">
        <v>0</v>
      </c>
      <c r="G116" s="121">
        <v>108</v>
      </c>
      <c r="H116" s="122">
        <v>0.06</v>
      </c>
    </row>
    <row r="117" spans="1:8">
      <c r="A117" s="6"/>
      <c r="B117" s="114" t="s">
        <v>78</v>
      </c>
      <c r="C117" s="72">
        <v>0.37</v>
      </c>
      <c r="D117" s="66">
        <v>68.965517241379303</v>
      </c>
      <c r="E117" s="56">
        <v>188.67924528301884</v>
      </c>
      <c r="F117" s="56">
        <v>108.69565217391305</v>
      </c>
      <c r="G117" s="121"/>
      <c r="H117" s="122"/>
    </row>
    <row r="118" spans="1:8">
      <c r="A118" s="6"/>
      <c r="B118" s="114" t="s">
        <v>163</v>
      </c>
      <c r="C118" s="72">
        <v>0.14000000000000001</v>
      </c>
      <c r="D118" s="66">
        <v>26.507620941020541</v>
      </c>
      <c r="E118" s="56">
        <v>193.23671497584539</v>
      </c>
      <c r="F118" s="56">
        <v>30.72196620583717</v>
      </c>
      <c r="G118" s="121"/>
      <c r="H118" s="122"/>
    </row>
    <row r="119" spans="1:8">
      <c r="A119" s="6"/>
      <c r="B119" s="114" t="s">
        <v>79</v>
      </c>
      <c r="C119" s="72">
        <v>0.08</v>
      </c>
      <c r="D119" s="66">
        <v>16.406890894175554</v>
      </c>
      <c r="E119" s="56">
        <v>198.01980198019803</v>
      </c>
      <c r="F119" s="56">
        <v>17.889087656529519</v>
      </c>
      <c r="G119" s="121"/>
      <c r="H119" s="122"/>
    </row>
    <row r="120" spans="1:8">
      <c r="A120" s="6"/>
      <c r="B120" s="114" t="s">
        <v>76</v>
      </c>
      <c r="C120" s="72">
        <v>0.23</v>
      </c>
      <c r="D120" s="66">
        <v>38.834951456310684</v>
      </c>
      <c r="E120" s="56">
        <v>167.71488469601681</v>
      </c>
      <c r="F120" s="56">
        <v>50.536955148452307</v>
      </c>
      <c r="G120" s="121"/>
      <c r="H120" s="122"/>
    </row>
    <row r="121" spans="1:8">
      <c r="A121" s="6"/>
      <c r="B121" s="114" t="s">
        <v>162</v>
      </c>
      <c r="C121" s="72">
        <v>0.17</v>
      </c>
      <c r="D121" s="66">
        <v>26.881720430107528</v>
      </c>
      <c r="E121" s="56">
        <v>154.29122468659597</v>
      </c>
      <c r="F121" s="56">
        <v>32.553407934893187</v>
      </c>
      <c r="G121" s="121"/>
      <c r="H121" s="122"/>
    </row>
    <row r="122" spans="1:8">
      <c r="A122" s="6"/>
      <c r="B122" s="114" t="s">
        <v>77</v>
      </c>
      <c r="C122" s="72">
        <v>0.14000000000000001</v>
      </c>
      <c r="D122" s="66">
        <v>20.554984583761563</v>
      </c>
      <c r="E122" s="56">
        <v>142.85714285714286</v>
      </c>
      <c r="F122" s="56">
        <v>24.009603841536617</v>
      </c>
      <c r="G122" s="121"/>
      <c r="H122" s="122"/>
    </row>
    <row r="123" spans="1:8">
      <c r="A123" s="6">
        <v>610270</v>
      </c>
      <c r="B123" s="114" t="s">
        <v>80</v>
      </c>
      <c r="C123" s="72">
        <v>1</v>
      </c>
      <c r="D123" s="66">
        <v>31.645569620253163</v>
      </c>
      <c r="E123" s="56">
        <v>31.645569620253163</v>
      </c>
      <c r="F123" s="56">
        <v>0</v>
      </c>
      <c r="G123" s="121">
        <v>22</v>
      </c>
      <c r="H123" s="122">
        <v>0.06</v>
      </c>
    </row>
    <row r="124" spans="1:8">
      <c r="A124" s="6">
        <v>610270</v>
      </c>
      <c r="B124" s="114" t="s">
        <v>83</v>
      </c>
      <c r="C124" s="72">
        <v>0.25</v>
      </c>
      <c r="D124" s="66">
        <v>16.366612111292962</v>
      </c>
      <c r="E124" s="56">
        <v>66.666666666666671</v>
      </c>
      <c r="F124" s="56">
        <v>21.691973969631235</v>
      </c>
      <c r="G124" s="121"/>
      <c r="H124" s="122"/>
    </row>
    <row r="125" spans="1:8">
      <c r="A125" s="6">
        <v>610270</v>
      </c>
      <c r="B125" s="114" t="s">
        <v>165</v>
      </c>
      <c r="C125" s="72">
        <v>0.11</v>
      </c>
      <c r="D125" s="66">
        <v>10.368066355624677</v>
      </c>
      <c r="E125" s="56">
        <v>90.909090909090921</v>
      </c>
      <c r="F125" s="56">
        <v>11.702750146284377</v>
      </c>
      <c r="G125" s="121"/>
      <c r="H125" s="122"/>
    </row>
    <row r="126" spans="1:8">
      <c r="A126" s="6">
        <v>610270</v>
      </c>
      <c r="B126" s="114" t="s">
        <v>84</v>
      </c>
      <c r="C126" s="72">
        <v>0.05</v>
      </c>
      <c r="D126" s="66">
        <v>7.587253414264036</v>
      </c>
      <c r="E126" s="56">
        <v>142.85714285714286</v>
      </c>
      <c r="F126" s="56">
        <v>8.0128205128205128</v>
      </c>
      <c r="G126" s="121"/>
      <c r="H126" s="122"/>
    </row>
    <row r="127" spans="1:8">
      <c r="A127" s="6">
        <v>610270</v>
      </c>
      <c r="B127" s="114" t="s">
        <v>81</v>
      </c>
      <c r="C127" s="72">
        <v>0.48</v>
      </c>
      <c r="D127" s="66">
        <v>11.013215859030838</v>
      </c>
      <c r="E127" s="56">
        <v>22.935779816513762</v>
      </c>
      <c r="F127" s="56">
        <v>21.186440677966104</v>
      </c>
      <c r="G127" s="121"/>
      <c r="H127" s="122"/>
    </row>
    <row r="128" spans="1:8">
      <c r="A128" s="6">
        <v>610270</v>
      </c>
      <c r="B128" s="114" t="s">
        <v>164</v>
      </c>
      <c r="C128" s="72">
        <v>0.26</v>
      </c>
      <c r="D128" s="66">
        <v>9.8039215686274499</v>
      </c>
      <c r="E128" s="56">
        <v>37.174721189591075</v>
      </c>
      <c r="F128" s="56">
        <v>13.315579227696405</v>
      </c>
      <c r="G128" s="121"/>
      <c r="H128" s="122"/>
    </row>
    <row r="129" spans="1:8">
      <c r="A129" s="6">
        <v>610270</v>
      </c>
      <c r="B129" s="114" t="s">
        <v>82</v>
      </c>
      <c r="C129" s="72">
        <v>0.09</v>
      </c>
      <c r="D129" s="66">
        <v>8.8339222614840995</v>
      </c>
      <c r="E129" s="56">
        <v>98.039215686274503</v>
      </c>
      <c r="F129" s="56">
        <v>9.7087378640776709</v>
      </c>
      <c r="G129" s="121"/>
      <c r="H129" s="122"/>
    </row>
    <row r="130" spans="1:8">
      <c r="A130" s="6">
        <v>7117290</v>
      </c>
      <c r="B130" s="6" t="s">
        <v>87</v>
      </c>
      <c r="C130" s="72">
        <v>0.17</v>
      </c>
      <c r="D130" s="66">
        <v>33.333333333333329</v>
      </c>
      <c r="E130" s="56">
        <v>200</v>
      </c>
      <c r="F130" s="56">
        <v>40</v>
      </c>
      <c r="G130" s="121">
        <v>88</v>
      </c>
      <c r="H130" s="122">
        <v>0.12</v>
      </c>
    </row>
    <row r="131" spans="1:8">
      <c r="A131" s="6"/>
      <c r="B131" s="6" t="s">
        <v>90</v>
      </c>
      <c r="C131" s="72">
        <v>0.17</v>
      </c>
      <c r="D131" s="66">
        <v>33.333333333333329</v>
      </c>
      <c r="E131" s="56">
        <v>200</v>
      </c>
      <c r="F131" s="56">
        <v>40</v>
      </c>
      <c r="G131" s="121"/>
      <c r="H131" s="122"/>
    </row>
    <row r="132" spans="1:8">
      <c r="A132" s="6"/>
      <c r="B132" s="6" t="s">
        <v>167</v>
      </c>
      <c r="C132" s="72">
        <v>0.12</v>
      </c>
      <c r="D132" s="66">
        <v>23.529411764705884</v>
      </c>
      <c r="E132" s="56">
        <v>200</v>
      </c>
      <c r="F132" s="56">
        <v>26.666666666666668</v>
      </c>
      <c r="G132" s="121"/>
      <c r="H132" s="122"/>
    </row>
    <row r="133" spans="1:8">
      <c r="A133" s="6"/>
      <c r="B133" s="6" t="s">
        <v>91</v>
      </c>
      <c r="C133" s="72">
        <v>0.09</v>
      </c>
      <c r="D133" s="66">
        <v>18.181818181818183</v>
      </c>
      <c r="E133" s="56">
        <v>200</v>
      </c>
      <c r="F133" s="56">
        <v>20</v>
      </c>
      <c r="G133" s="121"/>
      <c r="H133" s="122"/>
    </row>
    <row r="134" spans="1:8">
      <c r="A134" s="6"/>
      <c r="B134" s="6" t="s">
        <v>88</v>
      </c>
      <c r="C134" s="72">
        <v>0.18</v>
      </c>
      <c r="D134" s="66">
        <v>33.333333333333329</v>
      </c>
      <c r="E134" s="56">
        <v>200</v>
      </c>
      <c r="F134" s="56">
        <v>40</v>
      </c>
      <c r="G134" s="121"/>
      <c r="H134" s="122"/>
    </row>
    <row r="135" spans="1:8">
      <c r="A135" s="6"/>
      <c r="B135" s="6" t="s">
        <v>166</v>
      </c>
      <c r="C135" s="72">
        <v>0.12</v>
      </c>
      <c r="D135" s="66">
        <v>23.529411764705884</v>
      </c>
      <c r="E135" s="56">
        <v>200</v>
      </c>
      <c r="F135" s="56">
        <v>26.666666666666668</v>
      </c>
      <c r="G135" s="121"/>
      <c r="H135" s="122"/>
    </row>
    <row r="136" spans="1:8">
      <c r="A136" s="6"/>
      <c r="B136" s="6" t="s">
        <v>89</v>
      </c>
      <c r="C136" s="72">
        <v>0.09</v>
      </c>
      <c r="D136" s="66">
        <v>18.181818181818183</v>
      </c>
      <c r="E136" s="56">
        <v>200</v>
      </c>
      <c r="F136" s="56">
        <v>20</v>
      </c>
      <c r="G136" s="121"/>
      <c r="H136" s="122"/>
    </row>
    <row r="137" spans="1:8">
      <c r="B137" s="18" t="s">
        <v>97</v>
      </c>
      <c r="C137" s="72">
        <v>1</v>
      </c>
      <c r="D137" s="66">
        <v>30.303030303030301</v>
      </c>
      <c r="E137" s="56">
        <v>30.303030303030301</v>
      </c>
      <c r="F137" s="56">
        <v>0</v>
      </c>
      <c r="G137" s="121">
        <v>32</v>
      </c>
      <c r="H137" s="122">
        <v>0.46</v>
      </c>
    </row>
    <row r="138" spans="1:8">
      <c r="B138" s="18" t="s">
        <v>99</v>
      </c>
      <c r="C138" s="72">
        <v>0.08</v>
      </c>
      <c r="D138" s="66">
        <v>10.482180293501047</v>
      </c>
      <c r="E138" s="56">
        <v>133.33333333333331</v>
      </c>
      <c r="F138" s="56">
        <v>11.376564277588168</v>
      </c>
      <c r="G138" s="121"/>
      <c r="H138" s="122"/>
    </row>
    <row r="139" spans="1:8">
      <c r="B139" s="18" t="s">
        <v>98</v>
      </c>
      <c r="C139" s="72">
        <v>0.26</v>
      </c>
      <c r="D139" s="66">
        <v>11.019283746556475</v>
      </c>
      <c r="E139" s="56">
        <v>42.462845010615709</v>
      </c>
      <c r="F139" s="56">
        <v>14.880952380952381</v>
      </c>
      <c r="G139" s="121"/>
      <c r="H139" s="122"/>
    </row>
    <row r="140" spans="1:8">
      <c r="A140" s="6">
        <v>610310</v>
      </c>
      <c r="B140" s="6" t="s">
        <v>92</v>
      </c>
      <c r="C140" s="72">
        <v>1</v>
      </c>
      <c r="D140" s="66">
        <v>30.303030303030301</v>
      </c>
      <c r="E140" s="56">
        <v>30.303030303030301</v>
      </c>
      <c r="F140" s="56">
        <v>0</v>
      </c>
      <c r="G140" s="121">
        <v>21</v>
      </c>
      <c r="H140" s="122">
        <v>0.05</v>
      </c>
    </row>
    <row r="141" spans="1:8">
      <c r="A141" s="6">
        <v>610310</v>
      </c>
      <c r="B141" s="6" t="s">
        <v>95</v>
      </c>
      <c r="C141" s="72">
        <v>0.2</v>
      </c>
      <c r="D141" s="66">
        <v>15.290519877675841</v>
      </c>
      <c r="E141" s="56">
        <v>75.187969924812023</v>
      </c>
      <c r="F141" s="56">
        <v>19.193857965451055</v>
      </c>
      <c r="G141" s="121"/>
      <c r="H141" s="122"/>
    </row>
    <row r="142" spans="1:8">
      <c r="A142" s="6">
        <v>610310</v>
      </c>
      <c r="B142" s="6" t="s">
        <v>169</v>
      </c>
      <c r="C142" s="72">
        <v>0.08</v>
      </c>
      <c r="D142" s="66">
        <v>10.482180293501047</v>
      </c>
      <c r="E142" s="56">
        <v>133.33333333333331</v>
      </c>
      <c r="F142" s="56">
        <v>11.376564277588168</v>
      </c>
      <c r="G142" s="121"/>
      <c r="H142" s="122"/>
    </row>
    <row r="143" spans="1:8">
      <c r="A143" s="6">
        <v>610310</v>
      </c>
      <c r="B143" s="6" t="s">
        <v>96</v>
      </c>
      <c r="C143" s="72">
        <v>0.01</v>
      </c>
      <c r="D143" s="66">
        <v>7.9744816586921861</v>
      </c>
      <c r="E143" s="56">
        <v>588.23529411764707</v>
      </c>
      <c r="F143" s="56">
        <v>8.0840743734842366</v>
      </c>
      <c r="G143" s="121"/>
      <c r="H143" s="122"/>
    </row>
    <row r="144" spans="1:8">
      <c r="A144" s="6">
        <v>610310</v>
      </c>
      <c r="B144" s="6" t="s">
        <v>93</v>
      </c>
      <c r="C144" s="72">
        <v>0.26</v>
      </c>
      <c r="D144" s="66">
        <v>11.019283746556475</v>
      </c>
      <c r="E144" s="56">
        <v>42.462845010615709</v>
      </c>
      <c r="F144" s="56">
        <v>14.880952380952381</v>
      </c>
      <c r="G144" s="121"/>
      <c r="H144" s="122"/>
    </row>
    <row r="145" spans="1:8">
      <c r="A145" s="6">
        <v>610310</v>
      </c>
      <c r="B145" s="6" t="s">
        <v>168</v>
      </c>
      <c r="C145" s="72">
        <v>0.14000000000000001</v>
      </c>
      <c r="D145" s="66">
        <v>9.2336103416435815</v>
      </c>
      <c r="E145" s="56">
        <v>68.027210884353735</v>
      </c>
      <c r="F145" s="56">
        <v>10.683760683760683</v>
      </c>
      <c r="G145" s="121"/>
      <c r="H145" s="122"/>
    </row>
    <row r="146" spans="1:8">
      <c r="A146" s="6">
        <v>610310</v>
      </c>
      <c r="B146" s="6" t="s">
        <v>94</v>
      </c>
      <c r="C146" s="72">
        <v>0.05</v>
      </c>
      <c r="D146" s="66">
        <v>7.9459674215335703</v>
      </c>
      <c r="E146" s="56">
        <v>170.94017094017093</v>
      </c>
      <c r="F146" s="56">
        <v>8.3333333333333321</v>
      </c>
      <c r="G146" s="121"/>
      <c r="H146" s="122"/>
    </row>
  </sheetData>
  <autoFilter ref="A1:B130"/>
  <sortState ref="A2:F204">
    <sortCondition ref="B2:B204"/>
  </sortState>
  <mergeCells count="50">
    <mergeCell ref="G84:G90"/>
    <mergeCell ref="H84:H90"/>
    <mergeCell ref="G2:G4"/>
    <mergeCell ref="H2:H4"/>
    <mergeCell ref="G5:G9"/>
    <mergeCell ref="H5:H9"/>
    <mergeCell ref="G17:G19"/>
    <mergeCell ref="H17:H19"/>
    <mergeCell ref="G34:G40"/>
    <mergeCell ref="H34:H40"/>
    <mergeCell ref="G65:G69"/>
    <mergeCell ref="H65:H69"/>
    <mergeCell ref="G58:G64"/>
    <mergeCell ref="H58:H64"/>
    <mergeCell ref="G70:G76"/>
    <mergeCell ref="H70:H76"/>
    <mergeCell ref="G137:G139"/>
    <mergeCell ref="H137:H139"/>
    <mergeCell ref="G123:G129"/>
    <mergeCell ref="H123:H129"/>
    <mergeCell ref="G130:G136"/>
    <mergeCell ref="H130:H136"/>
    <mergeCell ref="G41:G43"/>
    <mergeCell ref="H41:H43"/>
    <mergeCell ref="G44:G50"/>
    <mergeCell ref="H44:H50"/>
    <mergeCell ref="G51:G57"/>
    <mergeCell ref="H51:H57"/>
    <mergeCell ref="G10:G16"/>
    <mergeCell ref="H10:H16"/>
    <mergeCell ref="G20:G26"/>
    <mergeCell ref="H20:H26"/>
    <mergeCell ref="G27:G33"/>
    <mergeCell ref="H27:H33"/>
    <mergeCell ref="G77:G83"/>
    <mergeCell ref="H77:H83"/>
    <mergeCell ref="G140:G146"/>
    <mergeCell ref="H140:H146"/>
    <mergeCell ref="G97:G103"/>
    <mergeCell ref="H97:H103"/>
    <mergeCell ref="G109:G115"/>
    <mergeCell ref="H109:H115"/>
    <mergeCell ref="G116:G122"/>
    <mergeCell ref="H116:H122"/>
    <mergeCell ref="G91:G93"/>
    <mergeCell ref="H91:H93"/>
    <mergeCell ref="G94:G96"/>
    <mergeCell ref="H94:H96"/>
    <mergeCell ref="G104:G108"/>
    <mergeCell ref="H104:H10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zoomScale="95" zoomScaleNormal="95" zoomScalePageLayoutView="9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I92" sqref="I92"/>
    </sheetView>
  </sheetViews>
  <sheetFormatPr baseColWidth="10" defaultRowHeight="15" x14ac:dyDescent="0"/>
  <cols>
    <col min="1" max="1" width="8.1640625" style="18" bestFit="1" customWidth="1"/>
    <col min="2" max="2" width="23.1640625" style="18" bestFit="1" customWidth="1"/>
    <col min="3" max="3" width="22.6640625" style="6" customWidth="1"/>
    <col min="4" max="4" width="13.83203125" style="6" customWidth="1"/>
    <col min="5" max="5" width="14.5" style="6" customWidth="1"/>
    <col min="6" max="6" width="10.83203125" style="6"/>
    <col min="7" max="7" width="14.1640625" style="6" customWidth="1"/>
    <col min="8" max="8" width="10.83203125" style="6"/>
    <col min="9" max="10" width="11.5" style="6" customWidth="1"/>
    <col min="11" max="11" width="12.5" style="6" customWidth="1"/>
    <col min="12" max="16" width="10.83203125" style="6"/>
    <col min="17" max="16384" width="10.83203125" style="18"/>
  </cols>
  <sheetData>
    <row r="1" spans="1:14">
      <c r="A1" s="126" t="s">
        <v>296</v>
      </c>
      <c r="B1" s="126"/>
      <c r="L1" s="6" t="s">
        <v>366</v>
      </c>
    </row>
    <row r="2" spans="1:14" ht="90">
      <c r="A2" s="111" t="s">
        <v>113</v>
      </c>
      <c r="B2" s="111" t="s">
        <v>1</v>
      </c>
      <c r="C2" s="9" t="s">
        <v>375</v>
      </c>
      <c r="D2" s="9" t="s">
        <v>379</v>
      </c>
      <c r="E2" s="9" t="s">
        <v>376</v>
      </c>
      <c r="F2" s="9" t="s">
        <v>377</v>
      </c>
      <c r="G2" s="9" t="s">
        <v>378</v>
      </c>
      <c r="H2" s="9" t="s">
        <v>380</v>
      </c>
      <c r="I2" s="9" t="s">
        <v>364</v>
      </c>
      <c r="J2" s="9" t="s">
        <v>374</v>
      </c>
      <c r="K2" s="9" t="s">
        <v>382</v>
      </c>
      <c r="L2" s="9"/>
      <c r="M2" s="9"/>
      <c r="N2" s="9"/>
    </row>
    <row r="3" spans="1:14" s="116" customFormat="1">
      <c r="A3" s="116">
        <v>610620</v>
      </c>
      <c r="B3" s="116" t="s">
        <v>4</v>
      </c>
      <c r="C3" s="116">
        <v>20</v>
      </c>
      <c r="D3" s="116">
        <v>1</v>
      </c>
      <c r="E3" s="116">
        <v>20</v>
      </c>
    </row>
    <row r="4" spans="1:14" s="116" customFormat="1">
      <c r="A4" s="116">
        <v>610620</v>
      </c>
      <c r="B4" s="116" t="s">
        <v>103</v>
      </c>
    </row>
    <row r="5" spans="1:14" s="116" customFormat="1">
      <c r="A5" s="116">
        <v>610620</v>
      </c>
      <c r="B5" s="116" t="s">
        <v>140</v>
      </c>
      <c r="C5" s="116">
        <v>120</v>
      </c>
      <c r="D5" s="116">
        <v>1</v>
      </c>
      <c r="E5" s="116">
        <v>120</v>
      </c>
    </row>
    <row r="6" spans="1:14">
      <c r="B6" s="18" t="s">
        <v>13</v>
      </c>
      <c r="C6" s="6">
        <v>10</v>
      </c>
      <c r="D6" s="6">
        <v>1</v>
      </c>
      <c r="E6" s="6">
        <v>10</v>
      </c>
      <c r="F6" s="6">
        <f>E6-C6</f>
        <v>0</v>
      </c>
    </row>
    <row r="7" spans="1:14">
      <c r="B7" s="18" t="s">
        <v>16</v>
      </c>
      <c r="C7" s="6">
        <v>70</v>
      </c>
      <c r="D7" s="6">
        <v>1</v>
      </c>
      <c r="E7" s="6">
        <v>70</v>
      </c>
      <c r="F7" s="6">
        <f>E7-C7</f>
        <v>0</v>
      </c>
    </row>
    <row r="8" spans="1:14">
      <c r="B8" s="18" t="s">
        <v>17</v>
      </c>
    </row>
    <row r="9" spans="1:14">
      <c r="B9" s="18" t="s">
        <v>15</v>
      </c>
      <c r="C9" s="6">
        <v>100</v>
      </c>
      <c r="D9" s="6">
        <v>1</v>
      </c>
      <c r="E9" s="6">
        <v>100</v>
      </c>
      <c r="F9" s="6">
        <f>E9-C9</f>
        <v>0</v>
      </c>
    </row>
    <row r="10" spans="1:14">
      <c r="B10" s="18" t="s">
        <v>14</v>
      </c>
      <c r="C10" s="6">
        <v>50</v>
      </c>
      <c r="D10" s="6">
        <v>0.6</v>
      </c>
      <c r="E10" s="6">
        <v>100</v>
      </c>
      <c r="F10" s="115">
        <f>C10+(5/D10)</f>
        <v>58.333333333333336</v>
      </c>
    </row>
    <row r="11" spans="1:14" s="116" customFormat="1">
      <c r="A11" s="116">
        <v>610581</v>
      </c>
      <c r="B11" s="116" t="s">
        <v>8</v>
      </c>
      <c r="C11" s="116">
        <v>10</v>
      </c>
      <c r="D11" s="116">
        <v>0.6</v>
      </c>
      <c r="E11" s="116">
        <v>40</v>
      </c>
      <c r="F11" s="117">
        <f>C11+(5/D11)</f>
        <v>18.333333333333336</v>
      </c>
    </row>
    <row r="12" spans="1:14" s="116" customFormat="1">
      <c r="A12" s="116">
        <v>610581</v>
      </c>
      <c r="B12" s="116" t="s">
        <v>11</v>
      </c>
    </row>
    <row r="13" spans="1:14" s="116" customFormat="1">
      <c r="A13" s="116">
        <v>610581</v>
      </c>
      <c r="B13" s="116" t="s">
        <v>147</v>
      </c>
      <c r="G13" s="116">
        <v>25</v>
      </c>
      <c r="H13" s="116">
        <v>0.7</v>
      </c>
    </row>
    <row r="14" spans="1:14" s="116" customFormat="1">
      <c r="A14" s="116">
        <v>610581</v>
      </c>
      <c r="B14" s="116" t="s">
        <v>12</v>
      </c>
      <c r="G14" s="116">
        <v>25</v>
      </c>
      <c r="H14" s="116">
        <v>0.7</v>
      </c>
      <c r="I14" s="116">
        <f>50/2</f>
        <v>25</v>
      </c>
      <c r="J14" s="117">
        <f>G14+(5/H14)</f>
        <v>32.142857142857146</v>
      </c>
      <c r="K14" s="117"/>
    </row>
    <row r="15" spans="1:14" s="116" customFormat="1">
      <c r="A15" s="116">
        <v>610581</v>
      </c>
      <c r="B15" s="116" t="s">
        <v>9</v>
      </c>
      <c r="C15" s="116">
        <v>40</v>
      </c>
      <c r="D15" s="116">
        <v>0.6</v>
      </c>
      <c r="E15" s="116">
        <v>80</v>
      </c>
      <c r="F15" s="117">
        <f>C15+(5/D15)</f>
        <v>48.333333333333336</v>
      </c>
    </row>
    <row r="16" spans="1:14" s="116" customFormat="1">
      <c r="A16" s="116">
        <v>610581</v>
      </c>
      <c r="B16" s="116" t="s">
        <v>146</v>
      </c>
      <c r="C16" s="116">
        <v>45</v>
      </c>
      <c r="D16" s="116">
        <v>0.55000000000000004</v>
      </c>
      <c r="E16" s="116">
        <v>90</v>
      </c>
      <c r="F16" s="117">
        <f>C16+(5/D16)</f>
        <v>54.090909090909093</v>
      </c>
      <c r="G16" s="116">
        <v>10</v>
      </c>
      <c r="H16" s="116">
        <v>0.8</v>
      </c>
    </row>
    <row r="17" spans="1:11" s="116" customFormat="1">
      <c r="A17" s="116">
        <v>610581</v>
      </c>
      <c r="B17" s="116" t="s">
        <v>10</v>
      </c>
      <c r="C17" s="116">
        <v>50</v>
      </c>
      <c r="D17" s="116">
        <v>0.5</v>
      </c>
      <c r="E17" s="116">
        <v>100</v>
      </c>
      <c r="F17" s="117">
        <f>C17+(5/D17)</f>
        <v>60</v>
      </c>
      <c r="G17" s="116">
        <v>10</v>
      </c>
      <c r="H17" s="116">
        <v>0.8</v>
      </c>
      <c r="I17" s="116">
        <f>15/2</f>
        <v>7.5</v>
      </c>
      <c r="J17" s="117">
        <f>G17+(5/H17)</f>
        <v>16.25</v>
      </c>
      <c r="K17" s="117"/>
    </row>
    <row r="18" spans="1:11">
      <c r="A18" s="18">
        <v>610790</v>
      </c>
      <c r="B18" s="18" t="s">
        <v>18</v>
      </c>
      <c r="C18" s="6">
        <v>20</v>
      </c>
      <c r="D18" s="6">
        <v>1</v>
      </c>
      <c r="E18" s="6">
        <v>20</v>
      </c>
      <c r="F18" s="115">
        <f>E18-C18</f>
        <v>0</v>
      </c>
    </row>
    <row r="19" spans="1:11">
      <c r="A19" s="18">
        <v>610790</v>
      </c>
      <c r="B19" s="18" t="s">
        <v>19</v>
      </c>
    </row>
    <row r="20" spans="1:11">
      <c r="A20" s="18">
        <v>610790</v>
      </c>
      <c r="B20" s="18" t="s">
        <v>142</v>
      </c>
      <c r="C20" s="6">
        <v>120</v>
      </c>
      <c r="D20" s="6">
        <v>1</v>
      </c>
      <c r="E20" s="6">
        <v>120</v>
      </c>
      <c r="F20" s="115">
        <f>E20-C20</f>
        <v>0</v>
      </c>
    </row>
    <row r="21" spans="1:11" s="116" customFormat="1">
      <c r="A21" s="116">
        <v>610430</v>
      </c>
      <c r="B21" s="120" t="s">
        <v>114</v>
      </c>
      <c r="C21" s="116">
        <v>20</v>
      </c>
      <c r="D21" s="116">
        <v>0.8</v>
      </c>
      <c r="E21" s="116">
        <v>40</v>
      </c>
      <c r="F21" s="117">
        <f>C21+(5/D21)</f>
        <v>26.25</v>
      </c>
    </row>
    <row r="22" spans="1:11" s="116" customFormat="1">
      <c r="A22" s="116">
        <v>610430</v>
      </c>
      <c r="B22" s="120" t="s">
        <v>117</v>
      </c>
    </row>
    <row r="23" spans="1:11" s="116" customFormat="1">
      <c r="A23" s="116">
        <v>610430</v>
      </c>
      <c r="B23" s="120" t="s">
        <v>135</v>
      </c>
      <c r="G23" s="116">
        <v>15</v>
      </c>
      <c r="H23" s="116">
        <v>0.8</v>
      </c>
      <c r="J23" s="117">
        <f>G23+(5/H23)</f>
        <v>21.25</v>
      </c>
      <c r="K23" s="117"/>
    </row>
    <row r="24" spans="1:11" s="116" customFormat="1">
      <c r="A24" s="116">
        <v>610430</v>
      </c>
      <c r="B24" s="120" t="s">
        <v>118</v>
      </c>
      <c r="G24" s="116">
        <v>15</v>
      </c>
      <c r="H24" s="116">
        <v>0.8</v>
      </c>
      <c r="J24" s="117">
        <f>G24+(5/H24)</f>
        <v>21.25</v>
      </c>
      <c r="K24" s="117"/>
    </row>
    <row r="25" spans="1:11" s="116" customFormat="1">
      <c r="A25" s="116">
        <v>610430</v>
      </c>
      <c r="B25" s="120" t="s">
        <v>115</v>
      </c>
      <c r="C25" s="116">
        <v>20</v>
      </c>
      <c r="D25" s="116">
        <v>0.8</v>
      </c>
      <c r="E25" s="116">
        <v>40</v>
      </c>
      <c r="F25" s="117">
        <f>C25+(5/D25)</f>
        <v>26.25</v>
      </c>
    </row>
    <row r="26" spans="1:11" s="116" customFormat="1">
      <c r="A26" s="116">
        <v>610430</v>
      </c>
      <c r="B26" s="120" t="s">
        <v>134</v>
      </c>
      <c r="C26" s="116">
        <v>20</v>
      </c>
      <c r="D26" s="116">
        <v>0.8</v>
      </c>
      <c r="E26" s="116">
        <v>40</v>
      </c>
      <c r="F26" s="117">
        <f>E26-C26</f>
        <v>20</v>
      </c>
      <c r="G26" s="116">
        <v>15</v>
      </c>
      <c r="H26" s="116">
        <v>0.8</v>
      </c>
      <c r="J26" s="117">
        <f>G26+(5/H26)</f>
        <v>21.25</v>
      </c>
      <c r="K26" s="117"/>
    </row>
    <row r="27" spans="1:11" s="116" customFormat="1">
      <c r="A27" s="116">
        <v>610430</v>
      </c>
      <c r="B27" s="120" t="s">
        <v>116</v>
      </c>
      <c r="C27" s="116">
        <v>20</v>
      </c>
      <c r="D27" s="116">
        <v>0.8</v>
      </c>
      <c r="E27" s="116">
        <v>40</v>
      </c>
      <c r="F27" s="117">
        <f>E27-C27</f>
        <v>20</v>
      </c>
      <c r="G27" s="116">
        <v>15</v>
      </c>
      <c r="H27" s="116">
        <v>0.8</v>
      </c>
      <c r="J27" s="117">
        <f>G27+(5/H27)</f>
        <v>21.25</v>
      </c>
      <c r="K27" s="117"/>
    </row>
    <row r="28" spans="1:11">
      <c r="B28" s="6" t="s">
        <v>119</v>
      </c>
      <c r="C28" s="6">
        <v>30</v>
      </c>
      <c r="D28" s="6">
        <v>0.4</v>
      </c>
      <c r="E28" s="6">
        <v>80</v>
      </c>
      <c r="F28" s="115">
        <f>C28+(5/D28)</f>
        <v>42.5</v>
      </c>
    </row>
    <row r="29" spans="1:11">
      <c r="B29" s="6" t="s">
        <v>120</v>
      </c>
    </row>
    <row r="30" spans="1:11">
      <c r="B30" s="6" t="s">
        <v>139</v>
      </c>
      <c r="G30" s="6">
        <v>20</v>
      </c>
      <c r="H30" s="6">
        <v>0.7</v>
      </c>
      <c r="J30" s="115">
        <f>G30+(5/H30)</f>
        <v>27.142857142857142</v>
      </c>
      <c r="K30" s="115"/>
    </row>
    <row r="31" spans="1:11">
      <c r="B31" s="6" t="s">
        <v>121</v>
      </c>
      <c r="G31" s="6">
        <v>20</v>
      </c>
      <c r="H31" s="6">
        <v>0.7</v>
      </c>
      <c r="J31" s="115">
        <f>G31+(5/H31)</f>
        <v>27.142857142857142</v>
      </c>
      <c r="K31" s="115"/>
    </row>
    <row r="32" spans="1:11">
      <c r="B32" s="6" t="s">
        <v>136</v>
      </c>
      <c r="C32" s="6">
        <v>30</v>
      </c>
      <c r="D32" s="6">
        <v>0.4</v>
      </c>
      <c r="E32" s="6">
        <v>80</v>
      </c>
      <c r="F32" s="115">
        <f>C32+(5/D32)</f>
        <v>42.5</v>
      </c>
    </row>
    <row r="33" spans="1:11">
      <c r="B33" s="6" t="s">
        <v>137</v>
      </c>
      <c r="C33" s="6">
        <v>30</v>
      </c>
      <c r="D33" s="6">
        <v>0.4</v>
      </c>
      <c r="E33" s="6">
        <v>80</v>
      </c>
      <c r="F33" s="115">
        <f>C33+(5/D33)</f>
        <v>42.5</v>
      </c>
      <c r="G33" s="6">
        <v>20</v>
      </c>
      <c r="H33" s="6">
        <v>0.7</v>
      </c>
      <c r="J33" s="115">
        <f>G33+(5/H33)</f>
        <v>27.142857142857142</v>
      </c>
      <c r="K33" s="115"/>
    </row>
    <row r="34" spans="1:11">
      <c r="B34" s="6" t="s">
        <v>138</v>
      </c>
      <c r="C34" s="6">
        <v>30</v>
      </c>
      <c r="D34" s="6">
        <v>0.4</v>
      </c>
      <c r="E34" s="6">
        <v>80</v>
      </c>
      <c r="F34" s="115">
        <f>C34+(5/D34)</f>
        <v>42.5</v>
      </c>
      <c r="G34" s="6">
        <v>20</v>
      </c>
      <c r="H34" s="6">
        <v>0.7</v>
      </c>
      <c r="J34" s="115">
        <f>G34+(5/H34)</f>
        <v>27.142857142857142</v>
      </c>
      <c r="K34" s="115"/>
    </row>
    <row r="35" spans="1:11" s="116" customFormat="1">
      <c r="A35" s="116">
        <v>610430</v>
      </c>
      <c r="B35" s="120" t="s">
        <v>122</v>
      </c>
      <c r="C35" s="116">
        <v>20</v>
      </c>
      <c r="D35" s="116">
        <v>0.8</v>
      </c>
      <c r="E35" s="116">
        <v>40</v>
      </c>
      <c r="F35" s="117">
        <f>C35+(5/D35)</f>
        <v>26.25</v>
      </c>
    </row>
    <row r="36" spans="1:11" s="116" customFormat="1">
      <c r="A36" s="116">
        <v>610430</v>
      </c>
      <c r="B36" s="120" t="s">
        <v>123</v>
      </c>
    </row>
    <row r="37" spans="1:11" s="116" customFormat="1">
      <c r="A37" s="116">
        <v>610430</v>
      </c>
      <c r="B37" s="120" t="s">
        <v>133</v>
      </c>
      <c r="G37" s="116">
        <v>15</v>
      </c>
      <c r="H37" s="116">
        <v>0.8</v>
      </c>
      <c r="J37" s="117">
        <f>G37+(5/H37)</f>
        <v>21.25</v>
      </c>
      <c r="K37" s="117"/>
    </row>
    <row r="38" spans="1:11" s="116" customFormat="1">
      <c r="A38" s="116">
        <v>610430</v>
      </c>
      <c r="B38" s="120" t="s">
        <v>124</v>
      </c>
      <c r="G38" s="116">
        <v>15</v>
      </c>
      <c r="H38" s="116">
        <v>0.8</v>
      </c>
      <c r="J38" s="117">
        <f>G38+(5/H38)</f>
        <v>21.25</v>
      </c>
      <c r="K38" s="117"/>
    </row>
    <row r="39" spans="1:11" s="116" customFormat="1">
      <c r="A39" s="116">
        <v>610430</v>
      </c>
      <c r="B39" s="120" t="s">
        <v>130</v>
      </c>
      <c r="C39" s="116">
        <v>20</v>
      </c>
      <c r="D39" s="116">
        <v>0.8</v>
      </c>
      <c r="E39" s="116">
        <v>40</v>
      </c>
      <c r="F39" s="117">
        <f>C39+(5/D39)</f>
        <v>26.25</v>
      </c>
    </row>
    <row r="40" spans="1:11" s="116" customFormat="1">
      <c r="A40" s="116">
        <v>610430</v>
      </c>
      <c r="B40" s="120" t="s">
        <v>131</v>
      </c>
      <c r="C40" s="116">
        <v>20</v>
      </c>
      <c r="D40" s="116">
        <v>0.8</v>
      </c>
      <c r="E40" s="116">
        <v>40</v>
      </c>
      <c r="F40" s="117">
        <f>C40+(5/D40)</f>
        <v>26.25</v>
      </c>
      <c r="G40" s="116">
        <v>15</v>
      </c>
      <c r="H40" s="116">
        <v>0.8</v>
      </c>
      <c r="J40" s="117">
        <f>G40+(5/H40)</f>
        <v>21.25</v>
      </c>
      <c r="K40" s="117"/>
    </row>
    <row r="41" spans="1:11" s="116" customFormat="1">
      <c r="A41" s="116">
        <v>610430</v>
      </c>
      <c r="B41" s="120" t="s">
        <v>132</v>
      </c>
      <c r="C41" s="116">
        <v>20</v>
      </c>
      <c r="D41" s="116">
        <v>0.8</v>
      </c>
      <c r="E41" s="116">
        <v>40</v>
      </c>
      <c r="F41" s="117">
        <f>C41+(5/D41)</f>
        <v>26.25</v>
      </c>
      <c r="G41" s="116">
        <v>15</v>
      </c>
      <c r="H41" s="116">
        <v>0.8</v>
      </c>
      <c r="J41" s="117">
        <f>G41+(5/H41)</f>
        <v>21.25</v>
      </c>
      <c r="K41" s="117"/>
    </row>
    <row r="42" spans="1:11">
      <c r="A42" s="6">
        <v>611520</v>
      </c>
      <c r="B42" s="6" t="s">
        <v>22</v>
      </c>
      <c r="C42" s="6">
        <v>10</v>
      </c>
      <c r="D42" s="6">
        <v>1</v>
      </c>
      <c r="E42" s="6">
        <v>10</v>
      </c>
      <c r="F42" s="115">
        <f>E42-C42</f>
        <v>0</v>
      </c>
    </row>
    <row r="43" spans="1:11">
      <c r="A43" s="6">
        <v>611520</v>
      </c>
      <c r="B43" s="6" t="s">
        <v>126</v>
      </c>
    </row>
    <row r="44" spans="1:11">
      <c r="A44" s="6">
        <v>611520</v>
      </c>
      <c r="B44" s="6" t="s">
        <v>125</v>
      </c>
      <c r="C44" s="6">
        <v>20</v>
      </c>
      <c r="D44" s="6">
        <v>1</v>
      </c>
      <c r="E44" s="6">
        <v>20</v>
      </c>
      <c r="F44" s="115">
        <f>E44-C44</f>
        <v>0</v>
      </c>
    </row>
    <row r="45" spans="1:11" s="116" customFormat="1">
      <c r="A45" s="116">
        <v>611140</v>
      </c>
      <c r="B45" s="116" t="s">
        <v>23</v>
      </c>
      <c r="C45" s="116">
        <v>20</v>
      </c>
      <c r="D45" s="116">
        <v>0.6</v>
      </c>
      <c r="E45" s="116">
        <v>60</v>
      </c>
      <c r="F45" s="117">
        <f>C45+(5/D45)</f>
        <v>28.333333333333336</v>
      </c>
    </row>
    <row r="46" spans="1:11" s="116" customFormat="1">
      <c r="A46" s="116">
        <v>611140</v>
      </c>
      <c r="B46" s="116" t="s">
        <v>24</v>
      </c>
    </row>
    <row r="47" spans="1:11" s="116" customFormat="1">
      <c r="A47" s="116">
        <v>611140</v>
      </c>
      <c r="B47" s="116" t="s">
        <v>148</v>
      </c>
      <c r="G47" s="116">
        <v>10</v>
      </c>
      <c r="H47" s="116">
        <v>0.7</v>
      </c>
      <c r="J47" s="117">
        <f>G47+(5/H47)</f>
        <v>17.142857142857142</v>
      </c>
      <c r="K47" s="117"/>
    </row>
    <row r="48" spans="1:11" s="116" customFormat="1">
      <c r="A48" s="116">
        <v>611140</v>
      </c>
      <c r="B48" s="116" t="s">
        <v>25</v>
      </c>
      <c r="G48" s="116">
        <v>10</v>
      </c>
      <c r="H48" s="116">
        <v>0.7</v>
      </c>
      <c r="I48" s="116">
        <f>24/2</f>
        <v>12</v>
      </c>
      <c r="J48" s="117">
        <f>G48+(5/H48)</f>
        <v>17.142857142857142</v>
      </c>
      <c r="K48" s="117"/>
    </row>
    <row r="49" spans="1:12" s="116" customFormat="1">
      <c r="A49" s="116">
        <v>611140</v>
      </c>
      <c r="B49" s="116" t="s">
        <v>127</v>
      </c>
      <c r="C49" s="116">
        <v>40</v>
      </c>
      <c r="D49" s="116">
        <v>0.7</v>
      </c>
      <c r="E49" s="116">
        <v>70</v>
      </c>
      <c r="F49" s="117">
        <f>C49+(5/D49)</f>
        <v>47.142857142857146</v>
      </c>
    </row>
    <row r="50" spans="1:12" s="116" customFormat="1">
      <c r="A50" s="116">
        <v>611140</v>
      </c>
      <c r="B50" s="116" t="s">
        <v>128</v>
      </c>
      <c r="C50" s="116">
        <v>40</v>
      </c>
      <c r="D50" s="116">
        <v>0.7</v>
      </c>
      <c r="E50" s="116">
        <v>70</v>
      </c>
      <c r="F50" s="117">
        <f>C50+(5/D50)</f>
        <v>47.142857142857146</v>
      </c>
      <c r="G50" s="116">
        <v>15</v>
      </c>
      <c r="H50" s="116">
        <v>0.7</v>
      </c>
      <c r="J50" s="117">
        <f>G50+(5/H50)</f>
        <v>22.142857142857142</v>
      </c>
      <c r="K50" s="117"/>
    </row>
    <row r="51" spans="1:12" s="116" customFormat="1">
      <c r="A51" s="116">
        <v>611140</v>
      </c>
      <c r="B51" s="116" t="s">
        <v>129</v>
      </c>
      <c r="C51" s="116">
        <v>40</v>
      </c>
      <c r="D51" s="116">
        <v>0.7</v>
      </c>
      <c r="E51" s="116">
        <v>70</v>
      </c>
      <c r="F51" s="117">
        <f>C51+(5/D51)</f>
        <v>47.142857142857146</v>
      </c>
      <c r="G51" s="116">
        <v>15</v>
      </c>
      <c r="H51" s="116">
        <v>0.7</v>
      </c>
      <c r="I51" s="116" t="s">
        <v>365</v>
      </c>
      <c r="J51" s="117">
        <f>G51+(5/H51)</f>
        <v>22.142857142857142</v>
      </c>
      <c r="K51" s="117"/>
    </row>
    <row r="52" spans="1:12">
      <c r="A52" s="6">
        <v>610300</v>
      </c>
      <c r="B52" s="114" t="s">
        <v>26</v>
      </c>
      <c r="C52" s="6">
        <v>20</v>
      </c>
      <c r="D52" s="6" t="s">
        <v>221</v>
      </c>
      <c r="E52" s="6">
        <v>40</v>
      </c>
      <c r="F52" s="115">
        <f>C52+(5/0.7)</f>
        <v>27.142857142857142</v>
      </c>
    </row>
    <row r="53" spans="1:12">
      <c r="A53" s="6">
        <v>610300</v>
      </c>
      <c r="B53" s="114" t="s">
        <v>108</v>
      </c>
    </row>
    <row r="54" spans="1:12">
      <c r="A54" s="6">
        <v>610300</v>
      </c>
      <c r="B54" s="114" t="s">
        <v>150</v>
      </c>
      <c r="G54" s="6">
        <v>15</v>
      </c>
      <c r="H54" s="6">
        <v>0.7</v>
      </c>
      <c r="J54" s="115">
        <f>G54+(5/H54)</f>
        <v>22.142857142857142</v>
      </c>
      <c r="K54" s="115"/>
    </row>
    <row r="55" spans="1:12">
      <c r="A55" s="6">
        <v>610300</v>
      </c>
      <c r="B55" s="114" t="s">
        <v>109</v>
      </c>
      <c r="G55" s="6">
        <v>15</v>
      </c>
      <c r="H55" s="6">
        <v>0.7</v>
      </c>
      <c r="I55" s="6">
        <f>30/2</f>
        <v>15</v>
      </c>
      <c r="J55" s="115">
        <f>G55+(5/H55)</f>
        <v>22.142857142857142</v>
      </c>
      <c r="K55" s="115"/>
      <c r="L55" s="6" t="s">
        <v>367</v>
      </c>
    </row>
    <row r="56" spans="1:12">
      <c r="A56" s="6">
        <v>610300</v>
      </c>
      <c r="B56" s="114" t="s">
        <v>27</v>
      </c>
      <c r="C56" s="6">
        <v>80</v>
      </c>
      <c r="D56" s="6">
        <v>0.3</v>
      </c>
      <c r="E56" s="6">
        <v>150</v>
      </c>
      <c r="F56" s="115">
        <f>C56+(5/D56)</f>
        <v>96.666666666666671</v>
      </c>
      <c r="L56" s="6" t="s">
        <v>281</v>
      </c>
    </row>
    <row r="57" spans="1:12">
      <c r="A57" s="6">
        <v>610300</v>
      </c>
      <c r="B57" s="114" t="s">
        <v>149</v>
      </c>
      <c r="C57" s="6">
        <v>110</v>
      </c>
      <c r="D57" s="6">
        <v>0.3</v>
      </c>
      <c r="E57" s="6">
        <v>180</v>
      </c>
      <c r="F57" s="115">
        <f>C57+(5/D57)</f>
        <v>126.66666666666667</v>
      </c>
      <c r="G57" s="6">
        <v>15</v>
      </c>
      <c r="H57" s="6">
        <v>0.7</v>
      </c>
      <c r="J57" s="115">
        <f>G57+(5/H57)</f>
        <v>22.142857142857142</v>
      </c>
      <c r="K57" s="115"/>
    </row>
    <row r="58" spans="1:12">
      <c r="A58" s="6">
        <v>610300</v>
      </c>
      <c r="B58" s="114" t="s">
        <v>28</v>
      </c>
      <c r="C58" s="6">
        <v>150</v>
      </c>
      <c r="D58" s="6">
        <v>0.3</v>
      </c>
      <c r="E58" s="6">
        <v>230</v>
      </c>
      <c r="F58" s="115">
        <f>C58+(5/D58)</f>
        <v>166.66666666666666</v>
      </c>
      <c r="G58" s="6">
        <v>15</v>
      </c>
      <c r="H58" s="6">
        <v>0.7</v>
      </c>
      <c r="I58" s="6">
        <f>30/2</f>
        <v>15</v>
      </c>
      <c r="J58" s="115">
        <f>G58+(5/H58)</f>
        <v>22.142857142857142</v>
      </c>
      <c r="K58" s="115"/>
      <c r="L58" s="6" t="s">
        <v>367</v>
      </c>
    </row>
    <row r="59" spans="1:12" s="116" customFormat="1">
      <c r="B59" s="116" t="s">
        <v>29</v>
      </c>
      <c r="C59" s="116">
        <v>50</v>
      </c>
      <c r="D59" s="116">
        <v>0.2</v>
      </c>
      <c r="E59" s="116">
        <v>100</v>
      </c>
      <c r="F59" s="117">
        <f>C59+(5/D59)</f>
        <v>75</v>
      </c>
    </row>
    <row r="60" spans="1:12" s="116" customFormat="1">
      <c r="B60" s="116" t="s">
        <v>176</v>
      </c>
      <c r="G60" s="116">
        <v>25</v>
      </c>
      <c r="H60" s="116">
        <v>0.7</v>
      </c>
      <c r="J60" s="117">
        <f>G60+(5/H60)</f>
        <v>32.142857142857146</v>
      </c>
      <c r="K60" s="117"/>
    </row>
    <row r="61" spans="1:12" s="116" customFormat="1">
      <c r="B61" s="116" t="s">
        <v>175</v>
      </c>
    </row>
    <row r="62" spans="1:12" s="116" customFormat="1">
      <c r="B62" s="116" t="s">
        <v>177</v>
      </c>
      <c r="G62" s="116">
        <v>25</v>
      </c>
      <c r="H62" s="116">
        <v>0.7</v>
      </c>
      <c r="J62" s="117">
        <f>G62+(5/H62)</f>
        <v>32.142857142857146</v>
      </c>
      <c r="K62" s="117"/>
    </row>
    <row r="63" spans="1:12" s="116" customFormat="1">
      <c r="B63" s="116" t="s">
        <v>30</v>
      </c>
      <c r="C63" s="116">
        <v>80</v>
      </c>
      <c r="D63" s="116">
        <v>0.15</v>
      </c>
      <c r="E63" s="116">
        <v>300</v>
      </c>
      <c r="F63" s="117">
        <f>C63+(5/D63)</f>
        <v>113.33333333333334</v>
      </c>
      <c r="L63" s="116" t="s">
        <v>282</v>
      </c>
    </row>
    <row r="64" spans="1:12" s="116" customFormat="1">
      <c r="B64" s="116" t="s">
        <v>151</v>
      </c>
      <c r="C64" s="116">
        <v>130</v>
      </c>
      <c r="D64" s="116">
        <v>0.2</v>
      </c>
      <c r="E64" s="116">
        <v>250</v>
      </c>
      <c r="F64" s="117">
        <f>C64+(5/D64)</f>
        <v>155</v>
      </c>
      <c r="G64" s="116">
        <v>30</v>
      </c>
      <c r="H64" s="116">
        <v>0.1</v>
      </c>
      <c r="J64" s="117">
        <f>G64+(5/H64)</f>
        <v>80</v>
      </c>
      <c r="K64" s="117"/>
      <c r="L64" s="116" t="s">
        <v>283</v>
      </c>
    </row>
    <row r="65" spans="1:12" s="116" customFormat="1">
      <c r="B65" s="116" t="s">
        <v>31</v>
      </c>
      <c r="C65" s="116">
        <v>200</v>
      </c>
      <c r="D65" s="116">
        <v>0.3</v>
      </c>
      <c r="E65" s="116">
        <v>280</v>
      </c>
      <c r="F65" s="117">
        <f>C65+(5/D65)</f>
        <v>216.66666666666666</v>
      </c>
      <c r="G65" s="116">
        <v>30</v>
      </c>
      <c r="H65" s="116">
        <v>0.1</v>
      </c>
      <c r="J65" s="117">
        <f>G65+(5/H65)</f>
        <v>80</v>
      </c>
      <c r="K65" s="117"/>
      <c r="L65" s="116" t="s">
        <v>284</v>
      </c>
    </row>
    <row r="66" spans="1:12">
      <c r="B66" s="18" t="s">
        <v>32</v>
      </c>
      <c r="C66" s="6">
        <v>10</v>
      </c>
      <c r="D66" s="6">
        <v>1</v>
      </c>
      <c r="E66" s="6">
        <v>10</v>
      </c>
      <c r="F66" s="115">
        <f>E66-C66</f>
        <v>0</v>
      </c>
    </row>
    <row r="67" spans="1:12">
      <c r="B67" s="18" t="s">
        <v>36</v>
      </c>
      <c r="C67" s="6">
        <v>70</v>
      </c>
      <c r="D67" s="6">
        <v>1</v>
      </c>
      <c r="E67" s="6">
        <v>70</v>
      </c>
      <c r="F67" s="115">
        <f>E67-C67</f>
        <v>0</v>
      </c>
    </row>
    <row r="68" spans="1:12">
      <c r="B68" s="18" t="s">
        <v>35</v>
      </c>
    </row>
    <row r="69" spans="1:12">
      <c r="B69" s="18" t="s">
        <v>34</v>
      </c>
      <c r="C69" s="6">
        <v>100</v>
      </c>
      <c r="D69" s="6">
        <v>1</v>
      </c>
      <c r="E69" s="6">
        <v>100</v>
      </c>
      <c r="F69" s="115">
        <f>E69-C69</f>
        <v>0</v>
      </c>
    </row>
    <row r="70" spans="1:12">
      <c r="B70" s="18" t="s">
        <v>33</v>
      </c>
      <c r="C70" s="6">
        <v>50</v>
      </c>
      <c r="D70" s="6">
        <v>0.6</v>
      </c>
      <c r="E70" s="6">
        <v>100</v>
      </c>
      <c r="F70" s="115">
        <f>C70+(5/D70)</f>
        <v>58.333333333333336</v>
      </c>
    </row>
    <row r="71" spans="1:12" s="116" customFormat="1">
      <c r="A71" s="116">
        <v>610321</v>
      </c>
      <c r="B71" s="120" t="s">
        <v>37</v>
      </c>
      <c r="C71" s="116">
        <v>30</v>
      </c>
      <c r="D71" s="116">
        <v>0.6</v>
      </c>
      <c r="E71" s="116">
        <v>70</v>
      </c>
      <c r="F71" s="117">
        <f>C71+(5/D71)</f>
        <v>38.333333333333336</v>
      </c>
    </row>
    <row r="72" spans="1:12" s="116" customFormat="1">
      <c r="A72" s="116">
        <v>610321</v>
      </c>
      <c r="B72" s="120" t="s">
        <v>40</v>
      </c>
    </row>
    <row r="73" spans="1:12" s="116" customFormat="1">
      <c r="A73" s="116">
        <v>610321</v>
      </c>
      <c r="B73" s="120" t="s">
        <v>153</v>
      </c>
      <c r="G73" s="116">
        <v>10</v>
      </c>
      <c r="H73" s="116">
        <v>0.9</v>
      </c>
      <c r="I73" s="118">
        <f>65/2</f>
        <v>32.5</v>
      </c>
      <c r="J73" s="117">
        <f>G73+(5/H73)</f>
        <v>15.555555555555555</v>
      </c>
      <c r="K73" s="119">
        <f>1/((I73-G73)/5)</f>
        <v>0.22222222222222221</v>
      </c>
      <c r="L73" s="118" t="s">
        <v>383</v>
      </c>
    </row>
    <row r="74" spans="1:12" s="116" customFormat="1">
      <c r="A74" s="116">
        <v>610321</v>
      </c>
      <c r="B74" s="120" t="s">
        <v>41</v>
      </c>
      <c r="G74" s="116">
        <v>10</v>
      </c>
      <c r="H74" s="116">
        <v>0.9</v>
      </c>
      <c r="I74" s="118">
        <f>65/2</f>
        <v>32.5</v>
      </c>
      <c r="J74" s="117">
        <f>G74+(5/H74)</f>
        <v>15.555555555555555</v>
      </c>
      <c r="K74" s="119">
        <f>1/((I74-G74)/5)</f>
        <v>0.22222222222222221</v>
      </c>
      <c r="L74" s="116" t="s">
        <v>381</v>
      </c>
    </row>
    <row r="75" spans="1:12" s="116" customFormat="1">
      <c r="A75" s="116">
        <v>610321</v>
      </c>
      <c r="B75" s="120" t="s">
        <v>38</v>
      </c>
      <c r="C75" s="116">
        <v>80</v>
      </c>
      <c r="D75" s="116">
        <v>1</v>
      </c>
      <c r="E75" s="116">
        <v>80</v>
      </c>
      <c r="F75" s="117">
        <f>C75+(5/D75)</f>
        <v>85</v>
      </c>
    </row>
    <row r="76" spans="1:12" s="116" customFormat="1">
      <c r="A76" s="116">
        <v>610321</v>
      </c>
      <c r="B76" s="120" t="s">
        <v>152</v>
      </c>
      <c r="C76" s="116">
        <v>80</v>
      </c>
      <c r="D76" s="116">
        <v>1</v>
      </c>
      <c r="E76" s="116">
        <v>80</v>
      </c>
      <c r="F76" s="117">
        <f>C76+(5/D76)</f>
        <v>85</v>
      </c>
      <c r="G76" s="116">
        <v>10</v>
      </c>
      <c r="H76" s="116">
        <v>0.9</v>
      </c>
      <c r="I76" s="118">
        <f>65/2</f>
        <v>32.5</v>
      </c>
      <c r="J76" s="117">
        <f>G76+(5/H76)</f>
        <v>15.555555555555555</v>
      </c>
      <c r="K76" s="119">
        <f>1/((I76-G76)/5)</f>
        <v>0.22222222222222221</v>
      </c>
      <c r="L76" s="116" t="s">
        <v>381</v>
      </c>
    </row>
    <row r="77" spans="1:12" s="116" customFormat="1">
      <c r="A77" s="116">
        <v>610321</v>
      </c>
      <c r="B77" s="120" t="s">
        <v>39</v>
      </c>
      <c r="C77" s="116">
        <v>80</v>
      </c>
      <c r="D77" s="116">
        <v>1</v>
      </c>
      <c r="E77" s="116">
        <v>80</v>
      </c>
      <c r="F77" s="117">
        <f>C77+(5/D77)</f>
        <v>85</v>
      </c>
      <c r="G77" s="116">
        <v>10</v>
      </c>
      <c r="H77" s="116">
        <v>0.9</v>
      </c>
      <c r="I77" s="118">
        <f>65/2</f>
        <v>32.5</v>
      </c>
      <c r="J77" s="117">
        <f>G77+(5/H77)</f>
        <v>15.555555555555555</v>
      </c>
      <c r="K77" s="119">
        <f>1/((I77-G77)/5)</f>
        <v>0.22222222222222221</v>
      </c>
    </row>
    <row r="78" spans="1:12">
      <c r="A78" s="6"/>
      <c r="B78" s="114" t="s">
        <v>42</v>
      </c>
      <c r="C78" s="6">
        <v>80</v>
      </c>
      <c r="D78" s="6">
        <v>0.2</v>
      </c>
      <c r="E78" s="6">
        <v>150</v>
      </c>
      <c r="F78" s="115">
        <f>C78+(5/D78)</f>
        <v>105</v>
      </c>
    </row>
    <row r="79" spans="1:12">
      <c r="A79" s="6"/>
      <c r="B79" s="114" t="s">
        <v>45</v>
      </c>
    </row>
    <row r="80" spans="1:12">
      <c r="A80" s="6"/>
      <c r="B80" s="114" t="s">
        <v>155</v>
      </c>
      <c r="G80" s="6">
        <v>35</v>
      </c>
      <c r="H80" s="6">
        <v>0.2</v>
      </c>
      <c r="J80" s="115">
        <f>G80+(5/H80)</f>
        <v>60</v>
      </c>
      <c r="K80" s="115"/>
    </row>
    <row r="81" spans="1:12">
      <c r="A81" s="6"/>
      <c r="B81" s="114" t="s">
        <v>46</v>
      </c>
      <c r="G81" s="6">
        <v>35</v>
      </c>
      <c r="H81" s="6">
        <v>0.2</v>
      </c>
      <c r="J81" s="115">
        <f>G81+(5/H81)</f>
        <v>60</v>
      </c>
      <c r="K81" s="115"/>
    </row>
    <row r="82" spans="1:12">
      <c r="A82" s="6"/>
      <c r="B82" s="114" t="s">
        <v>43</v>
      </c>
      <c r="C82" s="6">
        <v>80</v>
      </c>
      <c r="D82" s="6">
        <v>0.3</v>
      </c>
      <c r="E82" s="6">
        <v>150</v>
      </c>
      <c r="F82" s="115">
        <f>C82+(5/D82)</f>
        <v>96.666666666666671</v>
      </c>
    </row>
    <row r="83" spans="1:12">
      <c r="A83" s="6"/>
      <c r="B83" s="114" t="s">
        <v>154</v>
      </c>
      <c r="C83" s="6">
        <v>100</v>
      </c>
      <c r="D83" s="6">
        <v>0.3</v>
      </c>
      <c r="E83" s="6">
        <v>165</v>
      </c>
      <c r="F83" s="115">
        <f>C83+(5/D83)</f>
        <v>116.66666666666667</v>
      </c>
      <c r="G83" s="6">
        <v>40</v>
      </c>
      <c r="H83" s="6">
        <v>0.1</v>
      </c>
      <c r="J83" s="115">
        <f>G83+(5/H83)</f>
        <v>90</v>
      </c>
      <c r="K83" s="115"/>
      <c r="L83" s="6" t="s">
        <v>285</v>
      </c>
    </row>
    <row r="84" spans="1:12">
      <c r="A84" s="6"/>
      <c r="B84" s="114" t="s">
        <v>44</v>
      </c>
      <c r="C84" s="6">
        <v>120</v>
      </c>
      <c r="D84" s="6">
        <v>0.3</v>
      </c>
      <c r="E84" s="6">
        <v>180</v>
      </c>
      <c r="F84" s="115">
        <f>C84+(5/D84)</f>
        <v>136.66666666666666</v>
      </c>
      <c r="G84" s="6">
        <v>40</v>
      </c>
      <c r="H84" s="6">
        <v>0.1</v>
      </c>
      <c r="J84" s="115">
        <f>G84+(5/H84)</f>
        <v>90</v>
      </c>
      <c r="K84" s="115"/>
      <c r="L84" s="6" t="s">
        <v>286</v>
      </c>
    </row>
    <row r="85" spans="1:12" s="116" customFormat="1">
      <c r="A85" s="116">
        <v>610322</v>
      </c>
      <c r="B85" s="120" t="s">
        <v>47</v>
      </c>
      <c r="C85" s="116">
        <v>50</v>
      </c>
      <c r="D85" s="116">
        <v>0.3</v>
      </c>
      <c r="E85" s="116">
        <v>150</v>
      </c>
      <c r="F85" s="117">
        <f>C85+(5/D85)</f>
        <v>66.666666666666671</v>
      </c>
    </row>
    <row r="86" spans="1:12" s="116" customFormat="1">
      <c r="A86" s="116">
        <v>610322</v>
      </c>
      <c r="B86" s="120" t="s">
        <v>50</v>
      </c>
    </row>
    <row r="87" spans="1:12" s="116" customFormat="1">
      <c r="A87" s="116">
        <v>610322</v>
      </c>
      <c r="B87" s="120" t="s">
        <v>157</v>
      </c>
      <c r="G87" s="118">
        <v>25</v>
      </c>
      <c r="H87" s="116">
        <v>0.6</v>
      </c>
      <c r="I87" s="116">
        <f>100/2</f>
        <v>50</v>
      </c>
      <c r="J87" s="117">
        <f>G87+(5/H87)</f>
        <v>33.333333333333336</v>
      </c>
      <c r="K87" s="119">
        <f>1/((I87-G87)/5)</f>
        <v>0.2</v>
      </c>
    </row>
    <row r="88" spans="1:12" s="116" customFormat="1">
      <c r="A88" s="116">
        <v>610322</v>
      </c>
      <c r="B88" s="120" t="s">
        <v>51</v>
      </c>
      <c r="G88" s="118">
        <v>25</v>
      </c>
      <c r="H88" s="116">
        <v>0.6</v>
      </c>
      <c r="I88" s="116">
        <f>100/2</f>
        <v>50</v>
      </c>
      <c r="J88" s="117">
        <f>G88+(5/H88)</f>
        <v>33.333333333333336</v>
      </c>
      <c r="K88" s="119">
        <f>1/((I88-G88)/5)</f>
        <v>0.2</v>
      </c>
      <c r="L88" s="116" t="s">
        <v>381</v>
      </c>
    </row>
    <row r="89" spans="1:12" s="116" customFormat="1">
      <c r="A89" s="116">
        <v>610322</v>
      </c>
      <c r="B89" s="120" t="s">
        <v>48</v>
      </c>
      <c r="C89" s="116">
        <v>80</v>
      </c>
      <c r="D89" s="116">
        <v>0.7</v>
      </c>
      <c r="E89" s="116">
        <v>100</v>
      </c>
      <c r="F89" s="117">
        <f>C89+(5/D89)</f>
        <v>87.142857142857139</v>
      </c>
    </row>
    <row r="90" spans="1:12" s="116" customFormat="1">
      <c r="A90" s="116">
        <v>610322</v>
      </c>
      <c r="B90" s="120" t="s">
        <v>156</v>
      </c>
      <c r="C90" s="116">
        <v>80</v>
      </c>
      <c r="D90" s="116">
        <v>0.65</v>
      </c>
      <c r="E90" s="116">
        <v>100</v>
      </c>
      <c r="F90" s="117">
        <f>C90+(5/D90)</f>
        <v>87.692307692307693</v>
      </c>
      <c r="G90" s="118">
        <v>25</v>
      </c>
      <c r="H90" s="116">
        <v>0.3</v>
      </c>
      <c r="I90" s="116">
        <f>100/2</f>
        <v>50</v>
      </c>
      <c r="J90" s="117">
        <f>G90+(5/H90)</f>
        <v>41.666666666666671</v>
      </c>
      <c r="K90" s="119">
        <f>1/((I90-G90)/5)</f>
        <v>0.2</v>
      </c>
    </row>
    <row r="91" spans="1:12" s="116" customFormat="1">
      <c r="A91" s="116">
        <v>610322</v>
      </c>
      <c r="B91" s="120" t="s">
        <v>49</v>
      </c>
      <c r="C91" s="116">
        <v>80</v>
      </c>
      <c r="D91" s="116">
        <v>0.6</v>
      </c>
      <c r="E91" s="116">
        <v>100</v>
      </c>
      <c r="F91" s="117">
        <f>C91+(5/D91)</f>
        <v>88.333333333333329</v>
      </c>
      <c r="G91" s="118">
        <v>25</v>
      </c>
      <c r="H91" s="116">
        <v>0.3</v>
      </c>
      <c r="I91" s="116">
        <f>100/2</f>
        <v>50</v>
      </c>
      <c r="J91" s="117">
        <f>G91+(5/H91)</f>
        <v>41.666666666666671</v>
      </c>
      <c r="K91" s="119">
        <f>1/((I91-G91)/5)</f>
        <v>0.2</v>
      </c>
      <c r="L91" s="116" t="s">
        <v>381</v>
      </c>
    </row>
    <row r="92" spans="1:12">
      <c r="A92" s="18">
        <v>610800</v>
      </c>
      <c r="B92" s="18" t="s">
        <v>52</v>
      </c>
      <c r="C92" s="6">
        <v>20</v>
      </c>
      <c r="D92" s="6">
        <v>1</v>
      </c>
      <c r="E92" s="6">
        <v>20</v>
      </c>
      <c r="F92" s="115">
        <f>E92-C92</f>
        <v>0</v>
      </c>
    </row>
    <row r="93" spans="1:12">
      <c r="A93" s="18">
        <v>610800</v>
      </c>
      <c r="B93" s="18" t="s">
        <v>55</v>
      </c>
    </row>
    <row r="94" spans="1:12">
      <c r="A94" s="18">
        <v>610800</v>
      </c>
      <c r="B94" s="6" t="s">
        <v>144</v>
      </c>
      <c r="C94" s="6">
        <v>40</v>
      </c>
      <c r="D94" s="6">
        <v>1</v>
      </c>
      <c r="E94" s="6">
        <v>40</v>
      </c>
      <c r="F94" s="115">
        <f>E94-C94</f>
        <v>0</v>
      </c>
    </row>
    <row r="95" spans="1:12" s="116" customFormat="1">
      <c r="B95" s="116" t="s">
        <v>62</v>
      </c>
      <c r="C95" s="116">
        <v>10</v>
      </c>
      <c r="D95" s="116">
        <v>1</v>
      </c>
      <c r="E95" s="116">
        <v>10</v>
      </c>
      <c r="F95" s="117">
        <f>E95-C95</f>
        <v>0</v>
      </c>
    </row>
    <row r="96" spans="1:12" s="116" customFormat="1">
      <c r="B96" s="116" t="s">
        <v>64</v>
      </c>
    </row>
    <row r="97" spans="1:11" s="116" customFormat="1">
      <c r="B97" s="116" t="s">
        <v>63</v>
      </c>
      <c r="C97" s="116">
        <v>80</v>
      </c>
      <c r="D97" s="116">
        <v>0.3</v>
      </c>
      <c r="E97" s="116">
        <v>200</v>
      </c>
      <c r="F97" s="117">
        <f>E97-C97</f>
        <v>120</v>
      </c>
    </row>
    <row r="98" spans="1:11">
      <c r="A98" s="6">
        <v>610440</v>
      </c>
      <c r="B98" s="6" t="s">
        <v>57</v>
      </c>
      <c r="C98" s="6">
        <v>20</v>
      </c>
      <c r="D98" s="6" t="s">
        <v>223</v>
      </c>
      <c r="E98" s="6">
        <v>80</v>
      </c>
      <c r="F98" s="115">
        <f>C98+(5/0.4)</f>
        <v>32.5</v>
      </c>
      <c r="G98" s="6" t="s">
        <v>224</v>
      </c>
    </row>
    <row r="99" spans="1:11">
      <c r="A99" s="6">
        <v>610440</v>
      </c>
      <c r="B99" s="6" t="s">
        <v>60</v>
      </c>
    </row>
    <row r="100" spans="1:11">
      <c r="A100" s="6">
        <v>610440</v>
      </c>
      <c r="B100" s="6" t="s">
        <v>159</v>
      </c>
      <c r="G100" s="6">
        <v>40</v>
      </c>
      <c r="H100" s="6">
        <v>0.3</v>
      </c>
      <c r="J100" s="115">
        <f>G100+(5/H100)</f>
        <v>56.666666666666671</v>
      </c>
      <c r="K100" s="115"/>
    </row>
    <row r="101" spans="1:11">
      <c r="A101" s="6">
        <v>610440</v>
      </c>
      <c r="B101" s="6" t="s">
        <v>61</v>
      </c>
      <c r="G101" s="6">
        <v>40</v>
      </c>
      <c r="H101" s="6">
        <v>0.3</v>
      </c>
      <c r="I101" s="6" t="s">
        <v>368</v>
      </c>
      <c r="J101" s="115">
        <f>G101+(5/H101)</f>
        <v>56.666666666666671</v>
      </c>
      <c r="K101" s="115"/>
    </row>
    <row r="102" spans="1:11">
      <c r="A102" s="6">
        <v>610440</v>
      </c>
      <c r="B102" s="6" t="s">
        <v>58</v>
      </c>
      <c r="C102" s="6">
        <v>60</v>
      </c>
      <c r="D102" s="6">
        <v>0.45</v>
      </c>
      <c r="E102" s="6">
        <v>130</v>
      </c>
      <c r="F102" s="115">
        <f>C102+(5/D102)</f>
        <v>71.111111111111114</v>
      </c>
    </row>
    <row r="103" spans="1:11">
      <c r="A103" s="6">
        <v>610440</v>
      </c>
      <c r="B103" s="6" t="s">
        <v>158</v>
      </c>
      <c r="C103" s="6">
        <v>60</v>
      </c>
      <c r="D103" s="6">
        <v>0.45</v>
      </c>
      <c r="E103" s="6">
        <v>130</v>
      </c>
      <c r="F103" s="115">
        <f>C103+(5/D103)</f>
        <v>71.111111111111114</v>
      </c>
      <c r="G103" s="6">
        <v>40</v>
      </c>
      <c r="H103" s="6">
        <v>0.3</v>
      </c>
      <c r="J103" s="115">
        <f>G103+(5/H103)</f>
        <v>56.666666666666671</v>
      </c>
      <c r="K103" s="115"/>
    </row>
    <row r="104" spans="1:11">
      <c r="A104" s="6">
        <v>610440</v>
      </c>
      <c r="B104" s="6" t="s">
        <v>59</v>
      </c>
      <c r="C104" s="6">
        <v>60</v>
      </c>
      <c r="D104" s="6">
        <v>0.45</v>
      </c>
      <c r="E104" s="6">
        <v>130</v>
      </c>
      <c r="F104" s="115">
        <f>C104+(5/D104)</f>
        <v>71.111111111111114</v>
      </c>
      <c r="G104" s="6">
        <v>40</v>
      </c>
      <c r="H104" s="6">
        <v>0.3</v>
      </c>
      <c r="I104" s="6" t="s">
        <v>368</v>
      </c>
      <c r="J104" s="115">
        <f>G104+(5/H104)</f>
        <v>56.666666666666671</v>
      </c>
      <c r="K104" s="115"/>
    </row>
    <row r="105" spans="1:11" s="116" customFormat="1">
      <c r="B105" s="116" t="s">
        <v>65</v>
      </c>
      <c r="C105" s="116">
        <v>10</v>
      </c>
      <c r="D105" s="116">
        <v>1</v>
      </c>
      <c r="E105" s="116">
        <v>10</v>
      </c>
      <c r="F105" s="117">
        <f>E105-C105</f>
        <v>0</v>
      </c>
    </row>
    <row r="106" spans="1:11" s="116" customFormat="1">
      <c r="B106" s="116" t="s">
        <v>69</v>
      </c>
      <c r="C106" s="116">
        <v>70</v>
      </c>
      <c r="D106" s="116">
        <v>1</v>
      </c>
      <c r="E106" s="116">
        <v>70</v>
      </c>
      <c r="F106" s="117">
        <f>E106-C106</f>
        <v>0</v>
      </c>
    </row>
    <row r="107" spans="1:11" s="116" customFormat="1">
      <c r="B107" s="116" t="s">
        <v>68</v>
      </c>
    </row>
    <row r="108" spans="1:11" s="116" customFormat="1">
      <c r="B108" s="116" t="s">
        <v>67</v>
      </c>
      <c r="C108" s="116">
        <v>100</v>
      </c>
      <c r="D108" s="116">
        <v>1</v>
      </c>
      <c r="E108" s="116">
        <v>100</v>
      </c>
      <c r="F108" s="117">
        <f>E108-C108</f>
        <v>0</v>
      </c>
    </row>
    <row r="109" spans="1:11" s="116" customFormat="1">
      <c r="B109" s="116" t="s">
        <v>66</v>
      </c>
      <c r="C109" s="116">
        <v>50</v>
      </c>
      <c r="D109" s="116">
        <v>0.6</v>
      </c>
      <c r="E109" s="116">
        <v>100</v>
      </c>
      <c r="F109" s="117">
        <f>C109+(5/D109)</f>
        <v>58.333333333333336</v>
      </c>
    </row>
    <row r="110" spans="1:11">
      <c r="A110" s="6">
        <v>610280</v>
      </c>
      <c r="B110" s="114" t="s">
        <v>70</v>
      </c>
      <c r="C110" s="6">
        <v>20</v>
      </c>
      <c r="D110" s="6" t="s">
        <v>225</v>
      </c>
      <c r="E110" s="6">
        <v>40</v>
      </c>
      <c r="F110" s="115">
        <f>C110+(5/0.9)</f>
        <v>25.555555555555557</v>
      </c>
      <c r="G110" s="6" t="s">
        <v>226</v>
      </c>
    </row>
    <row r="111" spans="1:11">
      <c r="A111" s="6">
        <v>610280</v>
      </c>
      <c r="B111" s="114" t="s">
        <v>73</v>
      </c>
    </row>
    <row r="112" spans="1:11">
      <c r="A112" s="6">
        <v>610280</v>
      </c>
      <c r="B112" s="114" t="s">
        <v>161</v>
      </c>
      <c r="G112" s="6">
        <v>15</v>
      </c>
      <c r="H112" s="6">
        <v>0.9</v>
      </c>
      <c r="J112" s="115">
        <f>G112+(5/H112)</f>
        <v>20.555555555555557</v>
      </c>
      <c r="K112" s="115"/>
    </row>
    <row r="113" spans="1:13">
      <c r="A113" s="6">
        <v>610280</v>
      </c>
      <c r="B113" s="114" t="s">
        <v>74</v>
      </c>
      <c r="G113" s="6">
        <v>15</v>
      </c>
      <c r="H113" s="6">
        <v>0.9</v>
      </c>
      <c r="I113" s="6">
        <f>25/2</f>
        <v>12.5</v>
      </c>
      <c r="J113" s="115">
        <f>G113+(5/H113)</f>
        <v>20.555555555555557</v>
      </c>
      <c r="K113" s="115"/>
      <c r="L113" s="6" t="s">
        <v>369</v>
      </c>
    </row>
    <row r="114" spans="1:13">
      <c r="A114" s="6">
        <v>610280</v>
      </c>
      <c r="B114" s="114" t="s">
        <v>71</v>
      </c>
      <c r="C114" s="6">
        <v>100</v>
      </c>
      <c r="D114" s="6">
        <v>0.4</v>
      </c>
      <c r="E114" s="6">
        <v>150</v>
      </c>
      <c r="F114" s="115">
        <f>C114+(5/D114)</f>
        <v>112.5</v>
      </c>
      <c r="L114" s="6" t="s">
        <v>287</v>
      </c>
    </row>
    <row r="115" spans="1:13">
      <c r="A115" s="6">
        <v>610280</v>
      </c>
      <c r="B115" s="114" t="s">
        <v>160</v>
      </c>
      <c r="C115" s="6">
        <v>100</v>
      </c>
      <c r="D115" s="6">
        <v>0.4</v>
      </c>
      <c r="E115" s="6">
        <v>150</v>
      </c>
      <c r="F115" s="115">
        <f>C115+(5/D115)</f>
        <v>112.5</v>
      </c>
      <c r="G115" s="6">
        <v>15</v>
      </c>
      <c r="H115" s="6">
        <v>0.9</v>
      </c>
      <c r="J115" s="115">
        <f>G115+(5/H115)</f>
        <v>20.555555555555557</v>
      </c>
      <c r="K115" s="115"/>
      <c r="L115" s="6" t="s">
        <v>287</v>
      </c>
    </row>
    <row r="116" spans="1:13">
      <c r="A116" s="6">
        <v>610280</v>
      </c>
      <c r="B116" s="114" t="s">
        <v>72</v>
      </c>
      <c r="C116" s="6">
        <v>100</v>
      </c>
      <c r="D116" s="6">
        <v>0.4</v>
      </c>
      <c r="E116" s="6">
        <v>150</v>
      </c>
      <c r="F116" s="115">
        <f>C116+(5/D116)</f>
        <v>112.5</v>
      </c>
      <c r="G116" s="6">
        <v>15</v>
      </c>
      <c r="H116" s="6">
        <v>0.9</v>
      </c>
      <c r="I116" s="6">
        <f>25/2</f>
        <v>12.5</v>
      </c>
      <c r="J116" s="115">
        <f>G116+(5/H116)</f>
        <v>20.555555555555557</v>
      </c>
      <c r="K116" s="115"/>
      <c r="L116" s="6" t="s">
        <v>369</v>
      </c>
      <c r="M116" s="6" t="s">
        <v>287</v>
      </c>
    </row>
    <row r="117" spans="1:13" s="116" customFormat="1">
      <c r="B117" s="120" t="s">
        <v>75</v>
      </c>
      <c r="C117" s="116">
        <v>80</v>
      </c>
      <c r="D117" s="116">
        <v>0.2</v>
      </c>
      <c r="E117" s="116">
        <v>150</v>
      </c>
      <c r="F117" s="117">
        <f>C117+(5/D117)</f>
        <v>105</v>
      </c>
    </row>
    <row r="118" spans="1:13" s="116" customFormat="1">
      <c r="B118" s="120" t="s">
        <v>78</v>
      </c>
    </row>
    <row r="119" spans="1:13" s="116" customFormat="1">
      <c r="B119" s="120" t="s">
        <v>163</v>
      </c>
      <c r="G119" s="116">
        <v>25</v>
      </c>
      <c r="H119" s="116">
        <v>0.2</v>
      </c>
      <c r="J119" s="117">
        <f>G119+(5/H119)</f>
        <v>50</v>
      </c>
      <c r="K119" s="117"/>
    </row>
    <row r="120" spans="1:13" s="116" customFormat="1">
      <c r="B120" s="120" t="s">
        <v>79</v>
      </c>
      <c r="G120" s="116">
        <v>25</v>
      </c>
      <c r="H120" s="116">
        <v>0.2</v>
      </c>
      <c r="J120" s="117">
        <f>G120+(5/H120)</f>
        <v>50</v>
      </c>
      <c r="K120" s="117"/>
    </row>
    <row r="121" spans="1:13" s="116" customFormat="1">
      <c r="B121" s="120" t="s">
        <v>76</v>
      </c>
      <c r="C121" s="116">
        <v>200</v>
      </c>
      <c r="D121" s="116">
        <v>0.4</v>
      </c>
      <c r="E121" s="116">
        <v>260</v>
      </c>
      <c r="F121" s="117">
        <f>C121+(5/D121)</f>
        <v>212.5</v>
      </c>
    </row>
    <row r="122" spans="1:13" s="116" customFormat="1">
      <c r="B122" s="120" t="s">
        <v>162</v>
      </c>
      <c r="C122" s="116">
        <v>200</v>
      </c>
      <c r="D122" s="116">
        <v>0.4</v>
      </c>
      <c r="E122" s="116">
        <v>260</v>
      </c>
      <c r="F122" s="117">
        <f>C122+(5/D122)</f>
        <v>212.5</v>
      </c>
      <c r="G122" s="116">
        <v>40</v>
      </c>
      <c r="H122" s="116">
        <v>0.1</v>
      </c>
      <c r="J122" s="117">
        <f>G122+(5/H122)</f>
        <v>90</v>
      </c>
      <c r="K122" s="117"/>
    </row>
    <row r="123" spans="1:13" s="116" customFormat="1">
      <c r="B123" s="120" t="s">
        <v>77</v>
      </c>
      <c r="C123" s="116">
        <v>200</v>
      </c>
      <c r="D123" s="116">
        <v>0.4</v>
      </c>
      <c r="E123" s="116">
        <v>260</v>
      </c>
      <c r="F123" s="117">
        <f>C123+(5/D123)</f>
        <v>212.5</v>
      </c>
      <c r="G123" s="116">
        <v>40</v>
      </c>
      <c r="H123" s="116">
        <v>0.1</v>
      </c>
      <c r="J123" s="117">
        <f>G123+(5/H123)</f>
        <v>90</v>
      </c>
      <c r="K123" s="117"/>
    </row>
    <row r="124" spans="1:13">
      <c r="A124" s="6">
        <v>610270</v>
      </c>
      <c r="B124" s="114" t="s">
        <v>80</v>
      </c>
      <c r="C124" s="6">
        <v>40</v>
      </c>
      <c r="D124" s="6">
        <v>0.4</v>
      </c>
      <c r="E124" s="6">
        <v>80</v>
      </c>
      <c r="F124" s="115">
        <f>C124+(5/D124)</f>
        <v>52.5</v>
      </c>
    </row>
    <row r="125" spans="1:13">
      <c r="A125" s="6">
        <v>610270</v>
      </c>
      <c r="B125" s="114" t="s">
        <v>83</v>
      </c>
    </row>
    <row r="126" spans="1:13">
      <c r="A126" s="6">
        <v>610270</v>
      </c>
      <c r="B126" s="114" t="s">
        <v>165</v>
      </c>
      <c r="G126" s="6">
        <v>20</v>
      </c>
      <c r="H126" s="6">
        <v>0.6</v>
      </c>
      <c r="J126" s="115">
        <f>G126+(5/H126)</f>
        <v>28.333333333333336</v>
      </c>
      <c r="K126" s="115"/>
    </row>
    <row r="127" spans="1:13">
      <c r="A127" s="6">
        <v>610270</v>
      </c>
      <c r="B127" s="114" t="s">
        <v>84</v>
      </c>
      <c r="G127" s="6">
        <v>20</v>
      </c>
      <c r="H127" s="6">
        <v>0.6</v>
      </c>
      <c r="I127" s="6">
        <f>30/2</f>
        <v>15</v>
      </c>
      <c r="J127" s="115">
        <f>G127+(5/H127)</f>
        <v>28.333333333333336</v>
      </c>
      <c r="K127" s="115"/>
    </row>
    <row r="128" spans="1:13">
      <c r="A128" s="6">
        <v>610270</v>
      </c>
      <c r="B128" s="114" t="s">
        <v>81</v>
      </c>
      <c r="C128" s="6">
        <v>160</v>
      </c>
      <c r="D128" s="6">
        <v>0.4</v>
      </c>
      <c r="E128" s="6">
        <v>200</v>
      </c>
      <c r="F128" s="115">
        <f>C128+(5/D128)</f>
        <v>172.5</v>
      </c>
    </row>
    <row r="129" spans="1:12">
      <c r="A129" s="6">
        <v>610270</v>
      </c>
      <c r="B129" s="114" t="s">
        <v>164</v>
      </c>
      <c r="C129" s="6">
        <v>160</v>
      </c>
      <c r="D129" s="6">
        <v>0.4</v>
      </c>
      <c r="E129" s="6">
        <v>200</v>
      </c>
      <c r="F129" s="115">
        <f>C129+(5/D129)</f>
        <v>172.5</v>
      </c>
      <c r="G129" s="6">
        <v>40</v>
      </c>
      <c r="H129" s="6">
        <v>0.3</v>
      </c>
      <c r="J129" s="115">
        <f>G129+(5/H129)</f>
        <v>56.666666666666671</v>
      </c>
      <c r="K129" s="115"/>
    </row>
    <row r="130" spans="1:12">
      <c r="A130" s="6">
        <v>610270</v>
      </c>
      <c r="B130" s="114" t="s">
        <v>82</v>
      </c>
      <c r="C130" s="6">
        <v>160</v>
      </c>
      <c r="D130" s="6">
        <v>0.4</v>
      </c>
      <c r="E130" s="6">
        <v>200</v>
      </c>
      <c r="F130" s="115">
        <f>C130+(5/D130)</f>
        <v>172.5</v>
      </c>
      <c r="G130" s="6">
        <v>40</v>
      </c>
      <c r="H130" s="6">
        <v>0.3</v>
      </c>
      <c r="I130" s="6">
        <f>30/2</f>
        <v>15</v>
      </c>
      <c r="J130" s="115">
        <f>G130+(5/H130)</f>
        <v>56.666666666666671</v>
      </c>
      <c r="K130" s="115"/>
      <c r="L130" s="6" t="s">
        <v>370</v>
      </c>
    </row>
    <row r="131" spans="1:12">
      <c r="A131" s="6">
        <v>711720</v>
      </c>
      <c r="B131" s="6" t="s">
        <v>87</v>
      </c>
      <c r="C131" s="6">
        <v>30</v>
      </c>
      <c r="D131" s="6" t="s">
        <v>227</v>
      </c>
      <c r="E131" s="6">
        <v>70</v>
      </c>
      <c r="F131" s="115">
        <f>C131+(5/0.4)</f>
        <v>42.5</v>
      </c>
    </row>
    <row r="132" spans="1:12" s="116" customFormat="1">
      <c r="B132" s="116" t="s">
        <v>90</v>
      </c>
    </row>
    <row r="133" spans="1:12" s="116" customFormat="1">
      <c r="B133" s="116" t="s">
        <v>167</v>
      </c>
      <c r="G133" s="116">
        <v>15</v>
      </c>
      <c r="H133" s="116">
        <v>0.8</v>
      </c>
      <c r="J133" s="117">
        <f>G133+(5/H133)</f>
        <v>21.25</v>
      </c>
      <c r="K133" s="117"/>
    </row>
    <row r="134" spans="1:12" s="116" customFormat="1">
      <c r="B134" s="116" t="s">
        <v>91</v>
      </c>
      <c r="G134" s="116">
        <v>15</v>
      </c>
      <c r="H134" s="116">
        <v>0.8</v>
      </c>
      <c r="J134" s="117">
        <f>G134+(5/H134)</f>
        <v>21.25</v>
      </c>
      <c r="K134" s="117"/>
    </row>
    <row r="135" spans="1:12" s="116" customFormat="1">
      <c r="B135" s="116" t="s">
        <v>88</v>
      </c>
      <c r="C135" s="116">
        <v>70</v>
      </c>
      <c r="D135" s="116">
        <v>0.4</v>
      </c>
      <c r="E135" s="116">
        <v>120</v>
      </c>
      <c r="F135" s="117">
        <f>C135+(5/D135)</f>
        <v>82.5</v>
      </c>
      <c r="L135" s="116" t="s">
        <v>287</v>
      </c>
    </row>
    <row r="136" spans="1:12" s="116" customFormat="1">
      <c r="B136" s="116" t="s">
        <v>166</v>
      </c>
      <c r="C136" s="116">
        <v>70</v>
      </c>
      <c r="D136" s="116">
        <v>0.4</v>
      </c>
      <c r="E136" s="116">
        <v>120</v>
      </c>
      <c r="F136" s="117">
        <f>C136+(5/D136)</f>
        <v>82.5</v>
      </c>
      <c r="G136" s="116">
        <v>15</v>
      </c>
      <c r="H136" s="116">
        <v>0.8</v>
      </c>
      <c r="J136" s="117">
        <f>G136+(5/H136)</f>
        <v>21.25</v>
      </c>
      <c r="K136" s="117"/>
      <c r="L136" s="116" t="s">
        <v>287</v>
      </c>
    </row>
    <row r="137" spans="1:12" s="116" customFormat="1">
      <c r="B137" s="116" t="s">
        <v>89</v>
      </c>
      <c r="C137" s="116">
        <v>70</v>
      </c>
      <c r="D137" s="116">
        <v>0.4</v>
      </c>
      <c r="E137" s="116">
        <v>120</v>
      </c>
      <c r="F137" s="117">
        <f>C137+(5/D137)</f>
        <v>82.5</v>
      </c>
      <c r="G137" s="116">
        <v>15</v>
      </c>
      <c r="H137" s="116">
        <v>0.8</v>
      </c>
      <c r="J137" s="117">
        <f>G137+(5/H137)</f>
        <v>21.25</v>
      </c>
      <c r="K137" s="117"/>
      <c r="L137" s="116" t="s">
        <v>287</v>
      </c>
    </row>
    <row r="138" spans="1:12">
      <c r="B138" s="18" t="s">
        <v>97</v>
      </c>
      <c r="C138" s="6">
        <v>10</v>
      </c>
      <c r="D138" s="6">
        <v>1</v>
      </c>
      <c r="E138" s="6">
        <v>10</v>
      </c>
      <c r="F138" s="115">
        <f>E138-C138</f>
        <v>0</v>
      </c>
    </row>
    <row r="139" spans="1:12">
      <c r="B139" s="18" t="s">
        <v>99</v>
      </c>
    </row>
    <row r="140" spans="1:12">
      <c r="B140" s="18" t="s">
        <v>98</v>
      </c>
      <c r="C140" s="6">
        <v>80</v>
      </c>
      <c r="D140" s="6">
        <v>0.6</v>
      </c>
      <c r="E140" s="6">
        <v>130</v>
      </c>
      <c r="F140" s="115">
        <f>C140+(5/D140)</f>
        <v>88.333333333333329</v>
      </c>
    </row>
    <row r="141" spans="1:12" s="116" customFormat="1">
      <c r="A141" s="116">
        <v>610310</v>
      </c>
      <c r="B141" s="116" t="s">
        <v>92</v>
      </c>
      <c r="C141" s="116">
        <v>40</v>
      </c>
      <c r="D141" s="116" t="s">
        <v>228</v>
      </c>
      <c r="E141" s="116">
        <v>80</v>
      </c>
      <c r="F141" s="117">
        <f>C141+(5/0.7)</f>
        <v>47.142857142857146</v>
      </c>
    </row>
    <row r="142" spans="1:12" s="116" customFormat="1">
      <c r="A142" s="116">
        <v>610310</v>
      </c>
      <c r="B142" s="116" t="s">
        <v>95</v>
      </c>
    </row>
    <row r="143" spans="1:12" s="116" customFormat="1">
      <c r="A143" s="116">
        <v>610310</v>
      </c>
      <c r="B143" s="116" t="s">
        <v>169</v>
      </c>
      <c r="G143" s="116">
        <v>25</v>
      </c>
      <c r="H143" s="116">
        <v>0.7</v>
      </c>
      <c r="J143" s="117">
        <f>G143+(5/H143)</f>
        <v>32.142857142857146</v>
      </c>
      <c r="K143" s="117"/>
    </row>
    <row r="144" spans="1:12" s="116" customFormat="1">
      <c r="A144" s="116">
        <v>610310</v>
      </c>
      <c r="B144" s="116" t="s">
        <v>96</v>
      </c>
      <c r="G144" s="116">
        <v>25</v>
      </c>
      <c r="H144" s="116">
        <v>0.7</v>
      </c>
      <c r="J144" s="117">
        <f>G144+(5/H144)</f>
        <v>32.142857142857146</v>
      </c>
      <c r="K144" s="117"/>
    </row>
    <row r="145" spans="1:12" s="116" customFormat="1">
      <c r="A145" s="116">
        <v>610310</v>
      </c>
      <c r="B145" s="116" t="s">
        <v>93</v>
      </c>
      <c r="C145" s="116">
        <v>100</v>
      </c>
      <c r="D145" s="116">
        <v>0.2</v>
      </c>
      <c r="E145" s="116">
        <v>200</v>
      </c>
      <c r="F145" s="117">
        <f>C145+(5/D145)</f>
        <v>125</v>
      </c>
      <c r="L145" s="116" t="s">
        <v>288</v>
      </c>
    </row>
    <row r="146" spans="1:12" s="116" customFormat="1">
      <c r="A146" s="116">
        <v>610310</v>
      </c>
      <c r="B146" s="116" t="s">
        <v>168</v>
      </c>
      <c r="C146" s="116">
        <v>130</v>
      </c>
      <c r="D146" s="116">
        <v>0.3</v>
      </c>
      <c r="E146" s="116">
        <v>210</v>
      </c>
      <c r="F146" s="117">
        <f>C146+(5/D146)</f>
        <v>146.66666666666666</v>
      </c>
      <c r="G146" s="116">
        <v>20</v>
      </c>
      <c r="H146" s="116">
        <v>0.8</v>
      </c>
      <c r="J146" s="117">
        <f>G146+(5/H146)</f>
        <v>26.25</v>
      </c>
      <c r="K146" s="117"/>
      <c r="L146" s="116" t="s">
        <v>289</v>
      </c>
    </row>
    <row r="147" spans="1:12" s="116" customFormat="1">
      <c r="A147" s="116">
        <v>610310</v>
      </c>
      <c r="B147" s="116" t="s">
        <v>94</v>
      </c>
      <c r="C147" s="116">
        <v>170</v>
      </c>
      <c r="D147" s="116">
        <v>0.4</v>
      </c>
      <c r="E147" s="116">
        <v>230</v>
      </c>
      <c r="F147" s="117">
        <f>C147+(5/D147)</f>
        <v>182.5</v>
      </c>
      <c r="G147" s="116">
        <v>20</v>
      </c>
      <c r="H147" s="116">
        <v>0.8</v>
      </c>
      <c r="J147" s="117">
        <f>G147+(5/H147)</f>
        <v>26.25</v>
      </c>
      <c r="K147" s="117"/>
      <c r="L147" s="116" t="s">
        <v>287</v>
      </c>
    </row>
    <row r="154" spans="1:12">
      <c r="B154" s="6"/>
    </row>
    <row r="155" spans="1:12">
      <c r="B155" s="6"/>
    </row>
    <row r="156" spans="1:12">
      <c r="B156" s="6"/>
    </row>
    <row r="157" spans="1:12">
      <c r="B157" s="6"/>
    </row>
    <row r="158" spans="1:12">
      <c r="B158" s="6"/>
    </row>
    <row r="159" spans="1:12">
      <c r="B159" s="6"/>
    </row>
    <row r="160" spans="1:12">
      <c r="B160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6"/>
  <sheetViews>
    <sheetView workbookViewId="0">
      <pane xSplit="3" ySplit="1" topLeftCell="D130" activePane="bottomRight" state="frozen"/>
      <selection pane="topRight" activeCell="D1" sqref="D1"/>
      <selection pane="bottomLeft" activeCell="A2" sqref="A2"/>
      <selection pane="bottomRight" activeCell="G159" sqref="G159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3" width="23.1640625" bestFit="1" customWidth="1"/>
    <col min="4" max="4" width="10.83203125" style="2"/>
    <col min="5" max="9" width="10.83203125" style="2" customWidth="1"/>
    <col min="10" max="16" width="10.83203125" style="2"/>
    <col min="17" max="17" width="12.33203125" style="50" customWidth="1"/>
    <col min="18" max="18" width="10.83203125" style="36"/>
    <col min="19" max="23" width="10.83203125" style="2"/>
    <col min="24" max="24" width="10.83203125" style="70"/>
    <col min="25" max="25" width="10" style="68" bestFit="1" customWidth="1"/>
    <col min="26" max="26" width="8" bestFit="1" customWidth="1"/>
    <col min="27" max="27" width="7.5" bestFit="1" customWidth="1"/>
    <col min="29" max="29" width="11.83203125" customWidth="1"/>
  </cols>
  <sheetData>
    <row r="1" spans="1:29" ht="60">
      <c r="A1" s="1" t="s">
        <v>0</v>
      </c>
      <c r="B1" s="1" t="s">
        <v>113</v>
      </c>
      <c r="C1" s="1" t="s">
        <v>1</v>
      </c>
      <c r="D1" s="3" t="s">
        <v>107</v>
      </c>
      <c r="E1" s="3" t="s">
        <v>100</v>
      </c>
      <c r="F1" s="9" t="s">
        <v>111</v>
      </c>
      <c r="G1" s="9" t="s">
        <v>112</v>
      </c>
      <c r="H1" s="3" t="s">
        <v>101</v>
      </c>
      <c r="I1" s="3" t="s">
        <v>178</v>
      </c>
      <c r="J1" s="3" t="s">
        <v>102</v>
      </c>
      <c r="K1" s="9" t="s">
        <v>110</v>
      </c>
      <c r="L1" s="9" t="s">
        <v>173</v>
      </c>
      <c r="M1" s="3" t="s">
        <v>170</v>
      </c>
      <c r="N1" s="9" t="s">
        <v>171</v>
      </c>
      <c r="O1" s="9" t="s">
        <v>172</v>
      </c>
      <c r="P1" s="9" t="s">
        <v>243</v>
      </c>
      <c r="Q1" s="52" t="s">
        <v>174</v>
      </c>
      <c r="R1" s="53" t="s">
        <v>233</v>
      </c>
      <c r="S1" s="9" t="s">
        <v>234</v>
      </c>
      <c r="T1" s="9" t="s">
        <v>235</v>
      </c>
      <c r="U1" s="9" t="s">
        <v>236</v>
      </c>
      <c r="V1" s="9" t="s">
        <v>237</v>
      </c>
      <c r="W1" s="9" t="s">
        <v>238</v>
      </c>
      <c r="X1" s="69" t="s">
        <v>239</v>
      </c>
      <c r="Y1" s="63" t="s">
        <v>242</v>
      </c>
      <c r="Z1" s="9" t="s">
        <v>240</v>
      </c>
      <c r="AA1" s="9" t="s">
        <v>241</v>
      </c>
      <c r="AB1" s="60" t="s">
        <v>290</v>
      </c>
      <c r="AC1" s="60" t="s">
        <v>293</v>
      </c>
    </row>
    <row r="2" spans="1:29">
      <c r="B2">
        <v>610620</v>
      </c>
      <c r="C2" t="s">
        <v>4</v>
      </c>
      <c r="D2" s="2">
        <f t="shared" ref="D2:D8" si="0">E2/J2</f>
        <v>0.16666666666666666</v>
      </c>
      <c r="E2" s="7">
        <v>2E-3</v>
      </c>
      <c r="F2" s="7">
        <v>0</v>
      </c>
      <c r="G2" s="7">
        <v>0.01</v>
      </c>
      <c r="H2" s="7">
        <f t="shared" ref="H2:H8" si="1">F2+G2</f>
        <v>0.01</v>
      </c>
      <c r="I2" s="7">
        <f>G2/H2</f>
        <v>1</v>
      </c>
      <c r="J2" s="4">
        <f t="shared" ref="J2:J8" si="2">E2+H2</f>
        <v>1.2E-2</v>
      </c>
      <c r="L2" s="13"/>
      <c r="M2" s="7"/>
      <c r="N2" s="7"/>
      <c r="O2" s="7"/>
      <c r="P2" s="7"/>
      <c r="R2" s="88">
        <f>1/E2</f>
        <v>500</v>
      </c>
      <c r="S2" s="89">
        <f>1/H2</f>
        <v>100</v>
      </c>
      <c r="T2" s="89">
        <f>1/J2</f>
        <v>83.333333333333329</v>
      </c>
      <c r="U2" s="89"/>
      <c r="V2" s="89"/>
      <c r="W2" s="89"/>
      <c r="X2" s="70">
        <v>0.17</v>
      </c>
      <c r="Y2" s="64">
        <v>83.333333333333329</v>
      </c>
      <c r="Z2" s="54">
        <v>500</v>
      </c>
      <c r="AA2" s="54">
        <v>100</v>
      </c>
      <c r="AB2" s="137">
        <v>76</v>
      </c>
      <c r="AC2" s="128">
        <v>0.24</v>
      </c>
    </row>
    <row r="3" spans="1:29">
      <c r="B3" s="16">
        <v>610620</v>
      </c>
      <c r="C3" s="16" t="s">
        <v>5</v>
      </c>
      <c r="D3" s="58">
        <f t="shared" si="0"/>
        <v>0.28000000000000003</v>
      </c>
      <c r="E3" s="17">
        <v>7.0000000000000001E-3</v>
      </c>
      <c r="F3" s="17">
        <v>1.2999999999999999E-2</v>
      </c>
      <c r="G3" s="17">
        <v>5.0000000000000001E-3</v>
      </c>
      <c r="H3" s="17">
        <f t="shared" si="1"/>
        <v>1.7999999999999999E-2</v>
      </c>
      <c r="I3" s="17">
        <f t="shared" ref="I3:I68" si="3">G3/H3</f>
        <v>0.27777777777777779</v>
      </c>
      <c r="J3" s="90">
        <f t="shared" si="2"/>
        <v>2.4999999999999998E-2</v>
      </c>
      <c r="L3" s="13"/>
      <c r="M3" s="7"/>
      <c r="N3" s="7"/>
      <c r="O3" s="7"/>
      <c r="P3" s="7"/>
      <c r="R3" s="88">
        <f t="shared" ref="R3:R68" si="4">1/E3</f>
        <v>142.85714285714286</v>
      </c>
      <c r="S3" s="89">
        <f t="shared" ref="S3:S68" si="5">1/H3</f>
        <v>55.555555555555557</v>
      </c>
      <c r="T3" s="89">
        <f t="shared" ref="T3:T68" si="6">1/J3</f>
        <v>40</v>
      </c>
      <c r="U3" s="89"/>
      <c r="V3" s="89"/>
      <c r="W3" s="89"/>
      <c r="X3" s="70">
        <v>0.28000000000000003</v>
      </c>
      <c r="Y3" s="64">
        <v>40</v>
      </c>
      <c r="Z3" s="54">
        <v>142.85714285714286</v>
      </c>
      <c r="AA3" s="54">
        <v>55.555555555555557</v>
      </c>
      <c r="AB3" s="137"/>
      <c r="AC3" s="128"/>
    </row>
    <row r="4" spans="1:29">
      <c r="B4">
        <v>610620</v>
      </c>
      <c r="C4" t="s">
        <v>140</v>
      </c>
      <c r="D4" s="2">
        <f t="shared" si="0"/>
        <v>0.66956521739130437</v>
      </c>
      <c r="E4" s="7">
        <f>(E3+E5)/2</f>
        <v>3.8500000000000006E-2</v>
      </c>
      <c r="F4" s="7">
        <f>(F3+F5)/2</f>
        <v>6.4999999999999997E-3</v>
      </c>
      <c r="G4" s="7">
        <f>(G3+G5)/2</f>
        <v>1.2500000000000001E-2</v>
      </c>
      <c r="H4" s="7">
        <f t="shared" si="1"/>
        <v>1.9E-2</v>
      </c>
      <c r="I4" s="7">
        <f>G4/H4</f>
        <v>0.65789473684210531</v>
      </c>
      <c r="J4" s="4">
        <f t="shared" si="2"/>
        <v>5.7500000000000009E-2</v>
      </c>
      <c r="L4" s="13"/>
      <c r="M4" s="7"/>
      <c r="N4" s="7"/>
      <c r="O4" s="7"/>
      <c r="P4" s="7"/>
      <c r="R4" s="88">
        <f t="shared" si="4"/>
        <v>25.97402597402597</v>
      </c>
      <c r="S4" s="89">
        <f t="shared" si="5"/>
        <v>52.631578947368425</v>
      </c>
      <c r="T4" s="89">
        <f t="shared" si="6"/>
        <v>17.391304347826082</v>
      </c>
      <c r="U4" s="89"/>
      <c r="V4" s="89"/>
      <c r="W4" s="89"/>
      <c r="X4" s="70">
        <v>0.67</v>
      </c>
      <c r="Y4" s="64">
        <v>17.391304347826082</v>
      </c>
      <c r="Z4" s="54">
        <v>25.97402597402597</v>
      </c>
      <c r="AA4" s="54">
        <v>52.631578947368425</v>
      </c>
      <c r="AB4" s="137"/>
      <c r="AC4" s="128"/>
    </row>
    <row r="5" spans="1:29">
      <c r="B5" s="16">
        <v>610620</v>
      </c>
      <c r="C5" s="16" t="s">
        <v>6</v>
      </c>
      <c r="D5" s="58">
        <f t="shared" si="0"/>
        <v>0.77777777777777779</v>
      </c>
      <c r="E5" s="17">
        <v>7.0000000000000007E-2</v>
      </c>
      <c r="F5" s="17">
        <v>0</v>
      </c>
      <c r="G5" s="17">
        <v>0.02</v>
      </c>
      <c r="H5" s="17">
        <f t="shared" si="1"/>
        <v>0.02</v>
      </c>
      <c r="I5" s="17">
        <f t="shared" si="3"/>
        <v>1</v>
      </c>
      <c r="J5" s="90">
        <f t="shared" si="2"/>
        <v>9.0000000000000011E-2</v>
      </c>
      <c r="L5" s="13"/>
      <c r="M5" s="7"/>
      <c r="N5" s="7"/>
      <c r="O5" s="7"/>
      <c r="P5" s="7"/>
      <c r="R5" s="88">
        <f t="shared" si="4"/>
        <v>14.285714285714285</v>
      </c>
      <c r="S5" s="89">
        <f t="shared" si="5"/>
        <v>50</v>
      </c>
      <c r="T5" s="89">
        <f t="shared" si="6"/>
        <v>11.111111111111109</v>
      </c>
      <c r="U5" s="89"/>
      <c r="V5" s="89"/>
      <c r="W5" s="89"/>
      <c r="X5" s="70">
        <v>0.78</v>
      </c>
      <c r="Y5" s="64">
        <v>11.111111111111109</v>
      </c>
      <c r="Z5" s="54">
        <v>14.285714285714285</v>
      </c>
      <c r="AA5" s="54">
        <v>50</v>
      </c>
      <c r="AB5" s="137"/>
      <c r="AC5" s="128"/>
    </row>
    <row r="6" spans="1:29">
      <c r="B6">
        <v>610620</v>
      </c>
      <c r="C6" t="s">
        <v>103</v>
      </c>
      <c r="D6" s="2">
        <f t="shared" si="0"/>
        <v>1</v>
      </c>
      <c r="E6" s="7">
        <v>2E-3</v>
      </c>
      <c r="F6" s="7">
        <v>0</v>
      </c>
      <c r="G6" s="7">
        <v>0</v>
      </c>
      <c r="H6" s="7">
        <f t="shared" si="1"/>
        <v>0</v>
      </c>
      <c r="I6" s="7">
        <v>0</v>
      </c>
      <c r="J6" s="4">
        <f t="shared" si="2"/>
        <v>2E-3</v>
      </c>
      <c r="L6" s="13"/>
      <c r="M6" s="7"/>
      <c r="N6" s="7"/>
      <c r="O6" s="7"/>
      <c r="P6" s="7"/>
      <c r="R6" s="88">
        <f t="shared" si="4"/>
        <v>500</v>
      </c>
      <c r="S6" s="89">
        <v>0</v>
      </c>
      <c r="T6" s="89">
        <f t="shared" si="6"/>
        <v>500</v>
      </c>
      <c r="U6" s="89"/>
      <c r="V6" s="89"/>
      <c r="W6" s="89"/>
      <c r="X6" s="70">
        <v>1</v>
      </c>
      <c r="Y6" s="64">
        <v>500</v>
      </c>
      <c r="Z6" s="54">
        <v>500</v>
      </c>
      <c r="AA6" s="54">
        <v>0</v>
      </c>
      <c r="AB6" s="137"/>
      <c r="AC6" s="128"/>
    </row>
    <row r="7" spans="1:29">
      <c r="B7" s="16">
        <v>610620</v>
      </c>
      <c r="C7" s="16" t="s">
        <v>141</v>
      </c>
      <c r="D7" s="58">
        <f t="shared" si="0"/>
        <v>0.16666666666666666</v>
      </c>
      <c r="E7" s="17">
        <f>(E6+E8)/2</f>
        <v>2.5000000000000001E-3</v>
      </c>
      <c r="F7" s="17">
        <f>(F6+F8)/2</f>
        <v>0.01</v>
      </c>
      <c r="G7" s="17">
        <f>(G6+G8)/2</f>
        <v>2.5000000000000001E-3</v>
      </c>
      <c r="H7" s="17">
        <f t="shared" si="1"/>
        <v>1.2500000000000001E-2</v>
      </c>
      <c r="I7" s="17">
        <f t="shared" si="3"/>
        <v>0.19999999999999998</v>
      </c>
      <c r="J7" s="90">
        <f t="shared" si="2"/>
        <v>1.5000000000000001E-2</v>
      </c>
      <c r="L7" s="13"/>
      <c r="M7" s="5"/>
      <c r="N7" s="5"/>
      <c r="O7" s="5"/>
      <c r="P7" s="5"/>
      <c r="R7" s="88">
        <f t="shared" si="4"/>
        <v>400</v>
      </c>
      <c r="S7" s="89">
        <f t="shared" si="5"/>
        <v>80</v>
      </c>
      <c r="T7" s="89">
        <f t="shared" si="6"/>
        <v>66.666666666666657</v>
      </c>
      <c r="U7" s="89"/>
      <c r="V7" s="89"/>
      <c r="W7" s="89"/>
      <c r="X7" s="70">
        <v>0.17</v>
      </c>
      <c r="Y7" s="64">
        <v>66.666666666666657</v>
      </c>
      <c r="Z7" s="54">
        <v>400</v>
      </c>
      <c r="AA7" s="54">
        <v>80</v>
      </c>
      <c r="AB7" s="137"/>
      <c r="AC7" s="128"/>
    </row>
    <row r="8" spans="1:29">
      <c r="B8" s="16">
        <v>610620</v>
      </c>
      <c r="C8" s="16" t="s">
        <v>104</v>
      </c>
      <c r="D8" s="58">
        <f t="shared" si="0"/>
        <v>0.10714285714285714</v>
      </c>
      <c r="E8" s="17">
        <v>3.0000000000000001E-3</v>
      </c>
      <c r="F8" s="17">
        <v>0.02</v>
      </c>
      <c r="G8" s="17">
        <v>5.0000000000000001E-3</v>
      </c>
      <c r="H8" s="17">
        <f t="shared" si="1"/>
        <v>2.5000000000000001E-2</v>
      </c>
      <c r="I8" s="17">
        <f t="shared" si="3"/>
        <v>0.19999999999999998</v>
      </c>
      <c r="J8" s="90">
        <f t="shared" si="2"/>
        <v>2.8000000000000001E-2</v>
      </c>
      <c r="L8" s="13"/>
      <c r="M8" s="7"/>
      <c r="N8" s="7"/>
      <c r="O8" s="7"/>
      <c r="P8" s="7"/>
      <c r="R8" s="88">
        <f t="shared" si="4"/>
        <v>333.33333333333331</v>
      </c>
      <c r="S8" s="89">
        <f t="shared" si="5"/>
        <v>40</v>
      </c>
      <c r="T8" s="89">
        <f t="shared" si="6"/>
        <v>35.714285714285715</v>
      </c>
      <c r="U8" s="89"/>
      <c r="V8" s="89"/>
      <c r="W8" s="89"/>
      <c r="X8" s="70">
        <v>0.11</v>
      </c>
      <c r="Y8" s="64">
        <v>35.714285714285715</v>
      </c>
      <c r="Z8" s="54">
        <v>333.33333333333331</v>
      </c>
      <c r="AA8" s="54">
        <v>40</v>
      </c>
      <c r="AB8" s="137"/>
      <c r="AC8" s="128"/>
    </row>
    <row r="9" spans="1:29">
      <c r="A9">
        <v>840</v>
      </c>
      <c r="C9" t="s">
        <v>13</v>
      </c>
      <c r="I9" s="7"/>
      <c r="K9" s="2">
        <f>L9/Q9</f>
        <v>2.9411764705882353E-2</v>
      </c>
      <c r="L9" s="7">
        <v>1E-3</v>
      </c>
      <c r="M9" s="7">
        <v>0</v>
      </c>
      <c r="N9" s="7">
        <v>3.3000000000000002E-2</v>
      </c>
      <c r="O9" s="7">
        <f>M9+N9</f>
        <v>3.3000000000000002E-2</v>
      </c>
      <c r="P9" s="7">
        <f>N9/O9</f>
        <v>1</v>
      </c>
      <c r="Q9" s="91">
        <f>L9+O9</f>
        <v>3.4000000000000002E-2</v>
      </c>
      <c r="R9" s="88"/>
      <c r="S9" s="89"/>
      <c r="T9" s="89"/>
      <c r="U9" s="89">
        <f>1/L9</f>
        <v>1000</v>
      </c>
      <c r="V9" s="89">
        <f>1/O9</f>
        <v>30.303030303030301</v>
      </c>
      <c r="W9" s="89">
        <f t="shared" ref="W9:W68" si="7">1/Q9</f>
        <v>29.411764705882351</v>
      </c>
      <c r="X9" s="70">
        <v>0.03</v>
      </c>
      <c r="Y9" s="64">
        <v>29.411764705882351</v>
      </c>
      <c r="Z9" s="54">
        <v>1000</v>
      </c>
      <c r="AA9" s="54">
        <v>30.303030303030301</v>
      </c>
      <c r="AB9" s="137">
        <v>30</v>
      </c>
      <c r="AC9" s="128">
        <v>0.24</v>
      </c>
    </row>
    <row r="10" spans="1:29">
      <c r="A10">
        <v>841</v>
      </c>
      <c r="C10" t="s">
        <v>14</v>
      </c>
      <c r="I10" s="7"/>
      <c r="K10" s="2">
        <f>L10/Q10</f>
        <v>0.41176470588235292</v>
      </c>
      <c r="L10" s="7">
        <v>7.0000000000000001E-3</v>
      </c>
      <c r="M10" s="7">
        <v>0</v>
      </c>
      <c r="N10" s="7">
        <v>0.01</v>
      </c>
      <c r="O10" s="7">
        <f>M10+N10</f>
        <v>0.01</v>
      </c>
      <c r="P10" s="7">
        <f>N10/O10</f>
        <v>1</v>
      </c>
      <c r="Q10" s="91">
        <f>L10+O10</f>
        <v>1.7000000000000001E-2</v>
      </c>
      <c r="R10" s="88"/>
      <c r="S10" s="89"/>
      <c r="T10" s="89"/>
      <c r="U10" s="89">
        <f t="shared" ref="U10:U76" si="8">1/L10</f>
        <v>142.85714285714286</v>
      </c>
      <c r="V10" s="89">
        <f>1/O10</f>
        <v>100</v>
      </c>
      <c r="W10" s="89">
        <f t="shared" si="7"/>
        <v>58.823529411764703</v>
      </c>
      <c r="X10" s="70">
        <v>0.41</v>
      </c>
      <c r="Y10" s="64">
        <v>58.823529411764703</v>
      </c>
      <c r="Z10" s="54">
        <v>142.85714285714286</v>
      </c>
      <c r="AA10" s="54">
        <v>100</v>
      </c>
      <c r="AB10" s="137"/>
      <c r="AC10" s="128"/>
    </row>
    <row r="11" spans="1:29">
      <c r="A11">
        <v>842</v>
      </c>
      <c r="C11" t="s">
        <v>15</v>
      </c>
      <c r="I11" s="7"/>
      <c r="K11" s="2">
        <f>L11/Q11</f>
        <v>0.14864864864864866</v>
      </c>
      <c r="L11" s="7">
        <v>5.4999999999999997E-3</v>
      </c>
      <c r="M11" s="7">
        <v>0.01</v>
      </c>
      <c r="N11" s="7">
        <v>2.1500000000000002E-2</v>
      </c>
      <c r="O11" s="7">
        <f>M11+N11</f>
        <v>3.15E-2</v>
      </c>
      <c r="P11" s="7">
        <f>N11/O11</f>
        <v>0.68253968253968256</v>
      </c>
      <c r="Q11" s="91">
        <f>L11+O11</f>
        <v>3.6999999999999998E-2</v>
      </c>
      <c r="R11" s="88"/>
      <c r="S11" s="89"/>
      <c r="T11" s="89"/>
      <c r="U11" s="89">
        <f t="shared" si="8"/>
        <v>181.81818181818184</v>
      </c>
      <c r="V11" s="89">
        <f>1/O11</f>
        <v>31.746031746031747</v>
      </c>
      <c r="W11" s="89">
        <f t="shared" si="7"/>
        <v>27.027027027027028</v>
      </c>
      <c r="X11" s="70">
        <v>0.15</v>
      </c>
      <c r="Y11" s="64">
        <v>27.027027027027028</v>
      </c>
      <c r="Z11" s="54">
        <v>181.81818181818184</v>
      </c>
      <c r="AA11" s="54">
        <v>31.746031746031747</v>
      </c>
      <c r="AB11" s="137"/>
      <c r="AC11" s="128"/>
    </row>
    <row r="12" spans="1:29">
      <c r="A12">
        <v>843</v>
      </c>
      <c r="C12" t="s">
        <v>16</v>
      </c>
      <c r="I12" s="7"/>
      <c r="K12" s="2">
        <f>L12/Q12</f>
        <v>0.13095238095238093</v>
      </c>
      <c r="L12" s="7">
        <v>5.4999999999999997E-3</v>
      </c>
      <c r="M12" s="7">
        <v>0.01</v>
      </c>
      <c r="N12" s="7">
        <v>2.6500000000000003E-2</v>
      </c>
      <c r="O12" s="7">
        <f>M12+N12</f>
        <v>3.6500000000000005E-2</v>
      </c>
      <c r="P12" s="7">
        <f>N12/O12</f>
        <v>0.72602739726027399</v>
      </c>
      <c r="Q12" s="91">
        <f>L12+O12</f>
        <v>4.2000000000000003E-2</v>
      </c>
      <c r="R12" s="88"/>
      <c r="S12" s="89"/>
      <c r="T12" s="89"/>
      <c r="U12" s="89">
        <f t="shared" si="8"/>
        <v>181.81818181818184</v>
      </c>
      <c r="V12" s="89">
        <f>1/O12</f>
        <v>27.397260273972599</v>
      </c>
      <c r="W12" s="89">
        <f t="shared" si="7"/>
        <v>23.809523809523807</v>
      </c>
      <c r="X12" s="70">
        <v>0.13</v>
      </c>
      <c r="Y12" s="64">
        <v>23.809523809523807</v>
      </c>
      <c r="Z12" s="54">
        <v>181.81818181818184</v>
      </c>
      <c r="AA12" s="54">
        <v>27.397260273972599</v>
      </c>
      <c r="AB12" s="137"/>
      <c r="AC12" s="128"/>
    </row>
    <row r="13" spans="1:29">
      <c r="A13">
        <v>831</v>
      </c>
      <c r="C13" t="s">
        <v>17</v>
      </c>
      <c r="I13" s="7"/>
      <c r="K13" s="2">
        <f>L13/Q13</f>
        <v>0.25925925925925924</v>
      </c>
      <c r="L13" s="7">
        <f>0.007</f>
        <v>7.0000000000000001E-3</v>
      </c>
      <c r="M13" s="7">
        <v>0</v>
      </c>
      <c r="N13" s="7">
        <v>0.02</v>
      </c>
      <c r="O13" s="7">
        <f>M13+N13</f>
        <v>0.02</v>
      </c>
      <c r="P13" s="7">
        <f>N13/O13</f>
        <v>1</v>
      </c>
      <c r="Q13" s="91">
        <f>L13+O13</f>
        <v>2.7E-2</v>
      </c>
      <c r="R13" s="88"/>
      <c r="S13" s="89"/>
      <c r="T13" s="89"/>
      <c r="U13" s="89">
        <f t="shared" si="8"/>
        <v>142.85714285714286</v>
      </c>
      <c r="V13" s="89">
        <f>1/O13</f>
        <v>50</v>
      </c>
      <c r="W13" s="89">
        <f t="shared" si="7"/>
        <v>37.037037037037038</v>
      </c>
      <c r="X13" s="70">
        <v>0.26</v>
      </c>
      <c r="Y13" s="64">
        <v>37.037037037037038</v>
      </c>
      <c r="Z13" s="54">
        <v>142.85714285714286</v>
      </c>
      <c r="AA13" s="54">
        <v>50</v>
      </c>
      <c r="AB13" s="137"/>
      <c r="AC13" s="128"/>
    </row>
    <row r="14" spans="1:29">
      <c r="B14">
        <v>610790</v>
      </c>
      <c r="C14" t="s">
        <v>18</v>
      </c>
      <c r="D14" s="2">
        <f t="shared" ref="D14:D20" si="9">E14/J14</f>
        <v>1</v>
      </c>
      <c r="E14" s="7">
        <v>4.0000000000000001E-3</v>
      </c>
      <c r="F14" s="7">
        <v>0</v>
      </c>
      <c r="G14" s="7">
        <v>0</v>
      </c>
      <c r="H14" s="7">
        <f t="shared" ref="H14:H20" si="10">F14+G14</f>
        <v>0</v>
      </c>
      <c r="I14" s="7">
        <v>0</v>
      </c>
      <c r="J14" s="4">
        <f t="shared" ref="J14:J20" si="11">E14+H14</f>
        <v>4.0000000000000001E-3</v>
      </c>
      <c r="L14" s="13"/>
      <c r="M14" s="7"/>
      <c r="N14" s="7"/>
      <c r="O14" s="7"/>
      <c r="P14" s="7"/>
      <c r="R14" s="88">
        <f t="shared" si="4"/>
        <v>250</v>
      </c>
      <c r="S14" s="89">
        <v>0</v>
      </c>
      <c r="T14" s="89">
        <f t="shared" si="6"/>
        <v>250</v>
      </c>
      <c r="U14" s="89"/>
      <c r="V14" s="89"/>
      <c r="W14" s="89"/>
      <c r="X14" s="70">
        <v>1</v>
      </c>
      <c r="Y14" s="64">
        <v>250</v>
      </c>
      <c r="Z14">
        <v>250</v>
      </c>
      <c r="AA14" s="54">
        <v>0</v>
      </c>
      <c r="AB14" s="135">
        <v>82</v>
      </c>
      <c r="AC14" s="128">
        <v>0.37</v>
      </c>
    </row>
    <row r="15" spans="1:29">
      <c r="B15">
        <v>610790</v>
      </c>
      <c r="C15" t="s">
        <v>105</v>
      </c>
      <c r="D15" s="2">
        <f t="shared" si="9"/>
        <v>0.33333333333333331</v>
      </c>
      <c r="E15" s="7">
        <v>6.0000000000000001E-3</v>
      </c>
      <c r="F15" s="7">
        <v>0</v>
      </c>
      <c r="G15" s="7">
        <v>1.2E-2</v>
      </c>
      <c r="H15" s="7">
        <f t="shared" si="10"/>
        <v>1.2E-2</v>
      </c>
      <c r="I15" s="7">
        <f t="shared" si="3"/>
        <v>1</v>
      </c>
      <c r="J15" s="4">
        <f t="shared" si="11"/>
        <v>1.8000000000000002E-2</v>
      </c>
      <c r="L15" s="13"/>
      <c r="M15" s="7"/>
      <c r="N15" s="7"/>
      <c r="O15" s="7"/>
      <c r="P15" s="7"/>
      <c r="R15" s="88">
        <f t="shared" si="4"/>
        <v>166.66666666666666</v>
      </c>
      <c r="S15" s="89">
        <f t="shared" si="5"/>
        <v>83.333333333333329</v>
      </c>
      <c r="T15" s="89">
        <f t="shared" si="6"/>
        <v>55.55555555555555</v>
      </c>
      <c r="U15" s="89"/>
      <c r="V15" s="89"/>
      <c r="W15" s="89"/>
      <c r="X15" s="70">
        <v>0.33</v>
      </c>
      <c r="Y15" s="64">
        <v>55.55555555555555</v>
      </c>
      <c r="Z15">
        <v>166.66666666666666</v>
      </c>
      <c r="AA15" s="54">
        <v>83.333333333333329</v>
      </c>
      <c r="AB15" s="135"/>
      <c r="AC15" s="128"/>
    </row>
    <row r="16" spans="1:29">
      <c r="B16">
        <v>610790</v>
      </c>
      <c r="C16" t="s">
        <v>142</v>
      </c>
      <c r="D16" s="2">
        <f t="shared" si="9"/>
        <v>0.3125</v>
      </c>
      <c r="E16" s="7">
        <v>5.0000000000000001E-3</v>
      </c>
      <c r="F16" s="7">
        <v>0</v>
      </c>
      <c r="G16" s="7">
        <v>1.0999999999999999E-2</v>
      </c>
      <c r="H16" s="7">
        <f t="shared" si="10"/>
        <v>1.0999999999999999E-2</v>
      </c>
      <c r="I16" s="7">
        <f t="shared" si="3"/>
        <v>1</v>
      </c>
      <c r="J16" s="4">
        <f t="shared" si="11"/>
        <v>1.6E-2</v>
      </c>
      <c r="L16" s="13"/>
      <c r="M16" s="7"/>
      <c r="N16" s="7"/>
      <c r="O16" s="7"/>
      <c r="P16" s="7"/>
      <c r="R16" s="88">
        <f t="shared" si="4"/>
        <v>200</v>
      </c>
      <c r="S16" s="89">
        <f t="shared" si="5"/>
        <v>90.909090909090921</v>
      </c>
      <c r="T16" s="89">
        <f t="shared" si="6"/>
        <v>62.5</v>
      </c>
      <c r="U16" s="89"/>
      <c r="V16" s="89"/>
      <c r="W16" s="89"/>
      <c r="X16" s="70">
        <v>0.31</v>
      </c>
      <c r="Y16" s="64">
        <v>62.5</v>
      </c>
      <c r="Z16">
        <v>200</v>
      </c>
      <c r="AA16" s="54">
        <v>90.909090909090921</v>
      </c>
      <c r="AB16" s="135"/>
      <c r="AC16" s="128"/>
    </row>
    <row r="17" spans="1:29">
      <c r="B17">
        <v>610790</v>
      </c>
      <c r="C17" t="s">
        <v>106</v>
      </c>
      <c r="D17" s="2">
        <f t="shared" si="9"/>
        <v>0.2857142857142857</v>
      </c>
      <c r="E17" s="7">
        <v>4.0000000000000001E-3</v>
      </c>
      <c r="F17" s="7">
        <v>0</v>
      </c>
      <c r="G17" s="7">
        <v>0.01</v>
      </c>
      <c r="H17" s="7">
        <f t="shared" si="10"/>
        <v>0.01</v>
      </c>
      <c r="I17" s="7">
        <f t="shared" si="3"/>
        <v>1</v>
      </c>
      <c r="J17" s="4">
        <f t="shared" si="11"/>
        <v>1.4E-2</v>
      </c>
      <c r="L17" s="13"/>
      <c r="M17" s="7"/>
      <c r="N17" s="7"/>
      <c r="O17" s="7"/>
      <c r="P17" s="7"/>
      <c r="R17" s="88">
        <f t="shared" si="4"/>
        <v>250</v>
      </c>
      <c r="S17" s="89">
        <f t="shared" si="5"/>
        <v>100</v>
      </c>
      <c r="T17" s="89">
        <f t="shared" si="6"/>
        <v>71.428571428571431</v>
      </c>
      <c r="U17" s="89"/>
      <c r="V17" s="89"/>
      <c r="W17" s="89"/>
      <c r="X17" s="70">
        <v>0.28999999999999998</v>
      </c>
      <c r="Y17" s="64">
        <v>71.428571428571431</v>
      </c>
      <c r="Z17">
        <v>250</v>
      </c>
      <c r="AA17" s="54">
        <v>100</v>
      </c>
      <c r="AB17" s="135"/>
      <c r="AC17" s="128"/>
    </row>
    <row r="18" spans="1:29">
      <c r="B18">
        <v>610790</v>
      </c>
      <c r="C18" t="s">
        <v>19</v>
      </c>
      <c r="D18" s="2">
        <f t="shared" si="9"/>
        <v>1</v>
      </c>
      <c r="E18" s="7">
        <v>6.7000000000000002E-3</v>
      </c>
      <c r="F18" s="7">
        <v>0</v>
      </c>
      <c r="G18" s="7">
        <v>0</v>
      </c>
      <c r="H18" s="7">
        <f t="shared" si="10"/>
        <v>0</v>
      </c>
      <c r="I18" s="7">
        <v>0</v>
      </c>
      <c r="J18" s="4">
        <f t="shared" si="11"/>
        <v>6.7000000000000002E-3</v>
      </c>
      <c r="L18" s="13"/>
      <c r="M18" s="7"/>
      <c r="N18" s="7"/>
      <c r="O18" s="7"/>
      <c r="P18" s="7"/>
      <c r="R18" s="88">
        <f t="shared" si="4"/>
        <v>149.25373134328359</v>
      </c>
      <c r="S18" s="89">
        <v>0</v>
      </c>
      <c r="T18" s="89">
        <f t="shared" si="6"/>
        <v>149.25373134328359</v>
      </c>
      <c r="U18" s="89"/>
      <c r="V18" s="89"/>
      <c r="W18" s="89"/>
      <c r="X18" s="70">
        <v>1</v>
      </c>
      <c r="Y18" s="64">
        <v>149.25373134328359</v>
      </c>
      <c r="Z18">
        <v>149.25373134328359</v>
      </c>
      <c r="AA18" s="54">
        <v>0</v>
      </c>
      <c r="AB18" s="135"/>
      <c r="AC18" s="128"/>
    </row>
    <row r="19" spans="1:29">
      <c r="B19">
        <v>610790</v>
      </c>
      <c r="C19" t="s">
        <v>143</v>
      </c>
      <c r="D19" s="2">
        <f t="shared" si="9"/>
        <v>0.60309278350515461</v>
      </c>
      <c r="E19" s="7">
        <f>(E18+E20)/2</f>
        <v>5.8500000000000002E-3</v>
      </c>
      <c r="F19" s="7">
        <f>(F18+F20)/2</f>
        <v>0</v>
      </c>
      <c r="G19" s="7">
        <f>(G18+G20)/2</f>
        <v>3.8500000000000001E-3</v>
      </c>
      <c r="H19" s="7">
        <f t="shared" si="10"/>
        <v>3.8500000000000001E-3</v>
      </c>
      <c r="I19" s="7">
        <f t="shared" si="3"/>
        <v>1</v>
      </c>
      <c r="J19" s="4">
        <f t="shared" si="11"/>
        <v>9.7000000000000003E-3</v>
      </c>
      <c r="L19" s="13"/>
      <c r="M19" s="7"/>
      <c r="N19" s="7"/>
      <c r="O19" s="7"/>
      <c r="P19" s="7"/>
      <c r="R19" s="88">
        <f t="shared" si="4"/>
        <v>170.94017094017093</v>
      </c>
      <c r="S19" s="89">
        <f t="shared" si="5"/>
        <v>259.74025974025972</v>
      </c>
      <c r="T19" s="89">
        <f t="shared" si="6"/>
        <v>103.09278350515464</v>
      </c>
      <c r="U19" s="89"/>
      <c r="V19" s="89"/>
      <c r="W19" s="89"/>
      <c r="X19" s="70">
        <v>0.6</v>
      </c>
      <c r="Y19" s="64">
        <v>103.09278350515464</v>
      </c>
      <c r="Z19">
        <v>170.94017094017093</v>
      </c>
      <c r="AA19" s="54">
        <v>259.74025974025972</v>
      </c>
      <c r="AB19" s="135"/>
      <c r="AC19" s="128"/>
    </row>
    <row r="20" spans="1:29">
      <c r="B20">
        <v>610790</v>
      </c>
      <c r="C20" t="s">
        <v>20</v>
      </c>
      <c r="D20" s="2">
        <f t="shared" si="9"/>
        <v>0.39370078740157483</v>
      </c>
      <c r="E20" s="7">
        <v>5.0000000000000001E-3</v>
      </c>
      <c r="F20" s="7">
        <v>0</v>
      </c>
      <c r="G20" s="7">
        <v>7.7000000000000002E-3</v>
      </c>
      <c r="H20" s="7">
        <f t="shared" si="10"/>
        <v>7.7000000000000002E-3</v>
      </c>
      <c r="I20" s="7">
        <f t="shared" si="3"/>
        <v>1</v>
      </c>
      <c r="J20" s="4">
        <f t="shared" si="11"/>
        <v>1.2699999999999999E-2</v>
      </c>
      <c r="L20" s="13"/>
      <c r="M20" s="7"/>
      <c r="N20" s="7"/>
      <c r="O20" s="7"/>
      <c r="P20" s="7"/>
      <c r="R20" s="88">
        <f t="shared" si="4"/>
        <v>200</v>
      </c>
      <c r="S20" s="89">
        <f t="shared" si="5"/>
        <v>129.87012987012986</v>
      </c>
      <c r="T20" s="89">
        <f t="shared" si="6"/>
        <v>78.740157480314963</v>
      </c>
      <c r="U20" s="89"/>
      <c r="V20" s="89"/>
      <c r="W20" s="89"/>
      <c r="X20" s="70">
        <v>0.39</v>
      </c>
      <c r="Y20" s="64">
        <v>78.740157480314963</v>
      </c>
      <c r="Z20">
        <v>200</v>
      </c>
      <c r="AA20" s="54">
        <v>129.87012987012986</v>
      </c>
      <c r="AB20" s="135"/>
      <c r="AC20" s="128"/>
    </row>
    <row r="21" spans="1:29">
      <c r="A21">
        <v>1740</v>
      </c>
      <c r="C21" t="s">
        <v>32</v>
      </c>
      <c r="I21" s="7"/>
      <c r="K21" s="2">
        <f>L21/Q21</f>
        <v>1</v>
      </c>
      <c r="L21" s="14">
        <v>1.7099999785423328E-2</v>
      </c>
      <c r="M21" s="7">
        <v>0</v>
      </c>
      <c r="N21" s="11">
        <v>0</v>
      </c>
      <c r="O21" s="7">
        <f>M21+N21</f>
        <v>0</v>
      </c>
      <c r="P21" s="7">
        <v>0</v>
      </c>
      <c r="Q21" s="91">
        <f>L21+O21</f>
        <v>1.7099999785423328E-2</v>
      </c>
      <c r="R21" s="88"/>
      <c r="S21" s="89"/>
      <c r="T21" s="89"/>
      <c r="U21" s="89">
        <f t="shared" si="8"/>
        <v>58.479532897563949</v>
      </c>
      <c r="V21" s="89">
        <v>0</v>
      </c>
      <c r="W21" s="89">
        <f t="shared" si="7"/>
        <v>58.479532897563949</v>
      </c>
      <c r="X21" s="70">
        <v>1</v>
      </c>
      <c r="Y21" s="64">
        <v>58.479532897563949</v>
      </c>
      <c r="Z21" s="54">
        <v>58.479532897563949</v>
      </c>
      <c r="AA21" s="54">
        <v>0</v>
      </c>
      <c r="AB21" s="135">
        <v>30</v>
      </c>
      <c r="AC21" s="128">
        <v>0.24</v>
      </c>
    </row>
    <row r="22" spans="1:29">
      <c r="A22">
        <v>1741</v>
      </c>
      <c r="C22" t="s">
        <v>33</v>
      </c>
      <c r="I22" s="7"/>
      <c r="K22" s="2">
        <f>L22/Q22</f>
        <v>0.35020631796389895</v>
      </c>
      <c r="L22" s="13">
        <v>6.3649999308586103E-3</v>
      </c>
      <c r="M22" s="7">
        <v>9.7200003862381E-3</v>
      </c>
      <c r="N22" s="92">
        <v>2.0899999737739598E-3</v>
      </c>
      <c r="O22" s="7">
        <f>M22+N22</f>
        <v>1.1810000360012059E-2</v>
      </c>
      <c r="P22" s="7">
        <f>N22/O22</f>
        <v>0.17696866300280331</v>
      </c>
      <c r="Q22" s="91">
        <f>L22+O22</f>
        <v>1.8175000290870671E-2</v>
      </c>
      <c r="R22" s="88"/>
      <c r="S22" s="89"/>
      <c r="T22" s="89"/>
      <c r="U22" s="89">
        <f t="shared" si="8"/>
        <v>157.10919259430446</v>
      </c>
      <c r="V22" s="89">
        <f>1/O22</f>
        <v>84.67400249926655</v>
      </c>
      <c r="W22" s="89">
        <f t="shared" si="7"/>
        <v>55.020631856732429</v>
      </c>
      <c r="X22" s="70">
        <v>0.35</v>
      </c>
      <c r="Y22" s="64">
        <v>55.020631856732429</v>
      </c>
      <c r="Z22" s="54">
        <v>157.10919259430446</v>
      </c>
      <c r="AA22" s="54">
        <v>84.67400249926655</v>
      </c>
      <c r="AB22" s="135"/>
      <c r="AC22" s="128"/>
    </row>
    <row r="23" spans="1:29">
      <c r="A23">
        <v>1742</v>
      </c>
      <c r="C23" t="s">
        <v>34</v>
      </c>
      <c r="I23" s="7"/>
      <c r="K23" s="2">
        <f>L23/Q23</f>
        <v>0.16792516971197091</v>
      </c>
      <c r="L23" s="13">
        <v>4.8924999439716342E-3</v>
      </c>
      <c r="M23" s="13">
        <v>2.1060000836849203E-2</v>
      </c>
      <c r="N23" s="11">
        <v>3.1824999600648897E-3</v>
      </c>
      <c r="O23" s="7">
        <f>M23+N23</f>
        <v>2.4242500796914094E-2</v>
      </c>
      <c r="P23" s="7">
        <f>N23/O23</f>
        <v>0.13127770879438314</v>
      </c>
      <c r="Q23" s="91">
        <f>L23+O23</f>
        <v>2.9135000740885729E-2</v>
      </c>
      <c r="R23" s="88"/>
      <c r="S23" s="89"/>
      <c r="T23" s="89"/>
      <c r="U23" s="89">
        <f t="shared" si="8"/>
        <v>204.39448368970648</v>
      </c>
      <c r="V23" s="89">
        <f>1/O23</f>
        <v>41.249869738162211</v>
      </c>
      <c r="W23" s="89">
        <f t="shared" si="7"/>
        <v>34.322978361784628</v>
      </c>
      <c r="X23" s="70">
        <v>0.17</v>
      </c>
      <c r="Y23" s="64">
        <v>34.322978361784628</v>
      </c>
      <c r="Z23" s="54">
        <v>204.39448368970648</v>
      </c>
      <c r="AA23" s="54">
        <v>41.249869738162211</v>
      </c>
      <c r="AB23" s="135"/>
      <c r="AC23" s="128"/>
    </row>
    <row r="24" spans="1:29">
      <c r="A24">
        <v>1731</v>
      </c>
      <c r="C24" t="s">
        <v>35</v>
      </c>
      <c r="I24" s="7"/>
      <c r="K24" s="2">
        <f>L24/Q24</f>
        <v>0.40823193334368368</v>
      </c>
      <c r="L24" s="7">
        <v>7.8849999010562888E-3</v>
      </c>
      <c r="M24" s="7">
        <v>9.7200003862381E-3</v>
      </c>
      <c r="N24" s="7">
        <v>1.7099999785423301E-3</v>
      </c>
      <c r="O24" s="7">
        <f>M24+N24</f>
        <v>1.1430000364780431E-2</v>
      </c>
      <c r="P24" s="7">
        <f>N24/O24</f>
        <v>0.14960629256070712</v>
      </c>
      <c r="Q24" s="91">
        <f>L24+O24</f>
        <v>1.931500026583672E-2</v>
      </c>
      <c r="R24" s="88"/>
      <c r="S24" s="89"/>
      <c r="T24" s="89"/>
      <c r="U24" s="89">
        <f t="shared" si="8"/>
        <v>126.82308339230774</v>
      </c>
      <c r="V24" s="89">
        <f>1/O24</f>
        <v>87.489061074864622</v>
      </c>
      <c r="W24" s="89">
        <f t="shared" si="7"/>
        <v>51.773232525849011</v>
      </c>
      <c r="X24" s="70">
        <v>0.41</v>
      </c>
      <c r="Y24" s="64">
        <v>51.773232525849011</v>
      </c>
      <c r="Z24" s="54">
        <v>126.82308339230774</v>
      </c>
      <c r="AA24" s="54">
        <v>87.489061074864622</v>
      </c>
      <c r="AB24" s="135"/>
      <c r="AC24" s="128"/>
    </row>
    <row r="25" spans="1:29">
      <c r="A25">
        <v>1743</v>
      </c>
      <c r="C25" t="s">
        <v>36</v>
      </c>
      <c r="I25" s="7"/>
      <c r="K25" s="2">
        <f>L25/Q25</f>
        <v>0.15832076194969558</v>
      </c>
      <c r="L25" s="13">
        <v>4.987499937415125E-3</v>
      </c>
      <c r="M25" s="13">
        <v>2.3760000944137598E-2</v>
      </c>
      <c r="N25" s="11">
        <v>2.7549999654293052E-3</v>
      </c>
      <c r="O25" s="7">
        <f>M25+N25</f>
        <v>2.6515000909566905E-2</v>
      </c>
      <c r="P25" s="7">
        <f>N25/O25</f>
        <v>0.10390344600875616</v>
      </c>
      <c r="Q25" s="91">
        <f>L25+O25</f>
        <v>3.1502500846982029E-2</v>
      </c>
      <c r="R25" s="88"/>
      <c r="S25" s="89"/>
      <c r="T25" s="89"/>
      <c r="U25" s="89">
        <f t="shared" si="8"/>
        <v>200.50125564879119</v>
      </c>
      <c r="V25" s="89">
        <f>1/O25</f>
        <v>37.714499931968284</v>
      </c>
      <c r="W25" s="89">
        <f t="shared" si="7"/>
        <v>31.743511566187323</v>
      </c>
      <c r="X25" s="70">
        <v>0.16</v>
      </c>
      <c r="Y25" s="64">
        <v>31.743511566187323</v>
      </c>
      <c r="Z25" s="54">
        <v>200.50125564879119</v>
      </c>
      <c r="AA25" s="54">
        <v>37.714499931968284</v>
      </c>
      <c r="AB25" s="135"/>
      <c r="AC25" s="128"/>
    </row>
    <row r="26" spans="1:29">
      <c r="B26">
        <v>610800</v>
      </c>
      <c r="C26" t="s">
        <v>52</v>
      </c>
      <c r="D26" s="2">
        <f t="shared" ref="D26:D32" si="12">E26/J26</f>
        <v>0</v>
      </c>
      <c r="E26" s="7">
        <v>0</v>
      </c>
      <c r="F26" s="7">
        <v>5.0000000000000001E-3</v>
      </c>
      <c r="G26" s="7">
        <v>0</v>
      </c>
      <c r="H26" s="7">
        <f t="shared" ref="H26:H32" si="13">F26+G26</f>
        <v>5.0000000000000001E-3</v>
      </c>
      <c r="I26" s="7">
        <f t="shared" si="3"/>
        <v>0</v>
      </c>
      <c r="J26" s="4">
        <f t="shared" ref="J26:J32" si="14">E26+H26</f>
        <v>5.0000000000000001E-3</v>
      </c>
      <c r="L26" s="13"/>
      <c r="M26" s="7"/>
      <c r="N26" s="7"/>
      <c r="O26" s="7"/>
      <c r="P26" s="7"/>
      <c r="R26" s="88">
        <v>0</v>
      </c>
      <c r="S26" s="89">
        <f t="shared" si="5"/>
        <v>200</v>
      </c>
      <c r="T26" s="89">
        <f t="shared" si="6"/>
        <v>200</v>
      </c>
      <c r="U26" s="89"/>
      <c r="V26" s="89"/>
      <c r="W26" s="89"/>
      <c r="X26" s="70">
        <v>0</v>
      </c>
      <c r="Y26" s="64">
        <v>200</v>
      </c>
      <c r="Z26" s="54">
        <v>0</v>
      </c>
      <c r="AA26" s="54">
        <v>200</v>
      </c>
      <c r="AB26" s="135">
        <v>11</v>
      </c>
      <c r="AC26" s="128">
        <v>0.84</v>
      </c>
    </row>
    <row r="27" spans="1:29">
      <c r="B27">
        <v>610800</v>
      </c>
      <c r="C27" t="s">
        <v>53</v>
      </c>
      <c r="D27" s="2">
        <f t="shared" si="12"/>
        <v>1</v>
      </c>
      <c r="E27" s="7">
        <v>0.01</v>
      </c>
      <c r="F27" s="7">
        <v>0</v>
      </c>
      <c r="G27" s="7">
        <v>0</v>
      </c>
      <c r="H27" s="7">
        <f t="shared" si="13"/>
        <v>0</v>
      </c>
      <c r="I27" s="7">
        <v>0</v>
      </c>
      <c r="J27" s="4">
        <f t="shared" si="14"/>
        <v>0.01</v>
      </c>
      <c r="L27" s="13"/>
      <c r="M27" s="7"/>
      <c r="N27" s="7"/>
      <c r="O27" s="7"/>
      <c r="P27" s="7"/>
      <c r="R27" s="88">
        <f t="shared" si="4"/>
        <v>100</v>
      </c>
      <c r="S27" s="89">
        <v>0</v>
      </c>
      <c r="T27" s="89">
        <f t="shared" si="6"/>
        <v>100</v>
      </c>
      <c r="U27" s="89"/>
      <c r="V27" s="89"/>
      <c r="W27" s="89"/>
      <c r="X27" s="70">
        <v>1</v>
      </c>
      <c r="Y27" s="64">
        <v>100</v>
      </c>
      <c r="Z27" s="54">
        <v>100</v>
      </c>
      <c r="AA27" s="54">
        <v>0</v>
      </c>
      <c r="AB27" s="135"/>
      <c r="AC27" s="128"/>
    </row>
    <row r="28" spans="1:29">
      <c r="B28">
        <v>610800</v>
      </c>
      <c r="C28" s="2" t="s">
        <v>144</v>
      </c>
      <c r="D28" s="2">
        <f t="shared" si="12"/>
        <v>0.89999999999999991</v>
      </c>
      <c r="E28" s="7">
        <f>(E27+E29)/2</f>
        <v>9.0000000000000011E-3</v>
      </c>
      <c r="F28" s="7">
        <f>(F27+F29)/2</f>
        <v>0</v>
      </c>
      <c r="G28" s="7">
        <f>(G27+G29)/2</f>
        <v>1E-3</v>
      </c>
      <c r="H28" s="7">
        <f t="shared" si="13"/>
        <v>1E-3</v>
      </c>
      <c r="I28" s="7">
        <f t="shared" si="3"/>
        <v>1</v>
      </c>
      <c r="J28" s="4">
        <f t="shared" si="14"/>
        <v>1.0000000000000002E-2</v>
      </c>
      <c r="L28" s="14"/>
      <c r="R28" s="88">
        <f t="shared" si="4"/>
        <v>111.1111111111111</v>
      </c>
      <c r="S28" s="89">
        <f t="shared" si="5"/>
        <v>1000</v>
      </c>
      <c r="T28" s="89">
        <f t="shared" si="6"/>
        <v>99.999999999999986</v>
      </c>
      <c r="U28" s="89"/>
      <c r="V28" s="89"/>
      <c r="W28" s="89"/>
      <c r="X28" s="70">
        <v>0.9</v>
      </c>
      <c r="Y28" s="64">
        <v>99.999999999999986</v>
      </c>
      <c r="Z28" s="54">
        <v>111.1111111111111</v>
      </c>
      <c r="AA28" s="54">
        <v>1000</v>
      </c>
      <c r="AB28" s="135"/>
      <c r="AC28" s="128"/>
    </row>
    <row r="29" spans="1:29">
      <c r="B29">
        <v>610800</v>
      </c>
      <c r="C29" t="s">
        <v>54</v>
      </c>
      <c r="D29" s="2">
        <f t="shared" si="12"/>
        <v>0.8</v>
      </c>
      <c r="E29" s="7">
        <v>8.0000000000000002E-3</v>
      </c>
      <c r="F29" s="7">
        <v>0</v>
      </c>
      <c r="G29" s="7">
        <v>2E-3</v>
      </c>
      <c r="H29" s="7">
        <f t="shared" si="13"/>
        <v>2E-3</v>
      </c>
      <c r="I29" s="7">
        <f t="shared" si="3"/>
        <v>1</v>
      </c>
      <c r="J29" s="4">
        <f t="shared" si="14"/>
        <v>0.01</v>
      </c>
      <c r="L29" s="13"/>
      <c r="M29" s="7"/>
      <c r="N29" s="7"/>
      <c r="O29" s="7"/>
      <c r="P29" s="7"/>
      <c r="R29" s="88">
        <f t="shared" si="4"/>
        <v>125</v>
      </c>
      <c r="S29" s="89">
        <f t="shared" si="5"/>
        <v>500</v>
      </c>
      <c r="T29" s="89">
        <f t="shared" si="6"/>
        <v>100</v>
      </c>
      <c r="U29" s="89"/>
      <c r="V29" s="89"/>
      <c r="W29" s="89"/>
      <c r="X29" s="70">
        <v>0.8</v>
      </c>
      <c r="Y29" s="64">
        <v>100</v>
      </c>
      <c r="Z29" s="54">
        <v>125</v>
      </c>
      <c r="AA29" s="54">
        <v>500</v>
      </c>
      <c r="AB29" s="135"/>
      <c r="AC29" s="128"/>
    </row>
    <row r="30" spans="1:29">
      <c r="B30">
        <v>610800</v>
      </c>
      <c r="C30" t="s">
        <v>55</v>
      </c>
      <c r="D30" s="2">
        <f t="shared" si="12"/>
        <v>1</v>
      </c>
      <c r="E30" s="7">
        <v>8.0000000000000002E-3</v>
      </c>
      <c r="F30" s="7">
        <v>0</v>
      </c>
      <c r="G30" s="7">
        <v>0</v>
      </c>
      <c r="H30" s="7">
        <f t="shared" si="13"/>
        <v>0</v>
      </c>
      <c r="I30" s="7">
        <v>0</v>
      </c>
      <c r="J30" s="4">
        <f t="shared" si="14"/>
        <v>8.0000000000000002E-3</v>
      </c>
      <c r="L30" s="13"/>
      <c r="M30" s="7"/>
      <c r="N30" s="7"/>
      <c r="O30" s="7"/>
      <c r="P30" s="7"/>
      <c r="R30" s="88">
        <f t="shared" si="4"/>
        <v>125</v>
      </c>
      <c r="S30" s="89">
        <v>0</v>
      </c>
      <c r="T30" s="89">
        <f t="shared" si="6"/>
        <v>125</v>
      </c>
      <c r="U30" s="89"/>
      <c r="V30" s="89"/>
      <c r="W30" s="89"/>
      <c r="X30" s="70">
        <v>1</v>
      </c>
      <c r="Y30" s="64">
        <v>125</v>
      </c>
      <c r="Z30" s="54">
        <v>125</v>
      </c>
      <c r="AA30" s="54">
        <v>0</v>
      </c>
      <c r="AB30" s="135"/>
      <c r="AC30" s="128"/>
    </row>
    <row r="31" spans="1:29">
      <c r="B31">
        <v>610800</v>
      </c>
      <c r="C31" s="2" t="s">
        <v>145</v>
      </c>
      <c r="D31" s="2">
        <f t="shared" si="12"/>
        <v>1</v>
      </c>
      <c r="E31" s="2">
        <f>(E30+E32)/2</f>
        <v>8.150000000000001E-3</v>
      </c>
      <c r="F31" s="7">
        <v>0</v>
      </c>
      <c r="G31" s="7">
        <v>0</v>
      </c>
      <c r="H31" s="7">
        <f t="shared" si="13"/>
        <v>0</v>
      </c>
      <c r="I31" s="7">
        <v>0</v>
      </c>
      <c r="J31" s="4">
        <f t="shared" si="14"/>
        <v>8.150000000000001E-3</v>
      </c>
      <c r="L31" s="14"/>
      <c r="R31" s="88">
        <f t="shared" si="4"/>
        <v>122.69938650306747</v>
      </c>
      <c r="S31" s="89">
        <v>0</v>
      </c>
      <c r="T31" s="89">
        <f t="shared" si="6"/>
        <v>122.69938650306747</v>
      </c>
      <c r="U31" s="89"/>
      <c r="V31" s="89"/>
      <c r="W31" s="89"/>
      <c r="X31" s="70">
        <v>1</v>
      </c>
      <c r="Y31" s="64">
        <v>122.69938650306747</v>
      </c>
      <c r="Z31" s="54">
        <v>122.69938650306747</v>
      </c>
      <c r="AA31" s="54">
        <v>0</v>
      </c>
      <c r="AB31" s="135"/>
      <c r="AC31" s="128"/>
    </row>
    <row r="32" spans="1:29">
      <c r="B32">
        <v>610800</v>
      </c>
      <c r="C32" t="s">
        <v>56</v>
      </c>
      <c r="D32" s="2">
        <f t="shared" si="12"/>
        <v>1</v>
      </c>
      <c r="E32" s="7">
        <v>8.3000000000000001E-3</v>
      </c>
      <c r="F32" s="7">
        <v>0</v>
      </c>
      <c r="G32" s="7">
        <v>0</v>
      </c>
      <c r="H32" s="7">
        <f t="shared" si="13"/>
        <v>0</v>
      </c>
      <c r="I32" s="7">
        <v>0</v>
      </c>
      <c r="J32" s="4">
        <f t="shared" si="14"/>
        <v>8.3000000000000001E-3</v>
      </c>
      <c r="L32" s="13"/>
      <c r="M32" s="7"/>
      <c r="N32" s="7"/>
      <c r="O32" s="7"/>
      <c r="P32" s="7"/>
      <c r="R32" s="88">
        <f t="shared" si="4"/>
        <v>120.48192771084337</v>
      </c>
      <c r="S32" s="89">
        <v>0</v>
      </c>
      <c r="T32" s="89">
        <f t="shared" si="6"/>
        <v>120.48192771084337</v>
      </c>
      <c r="U32" s="89"/>
      <c r="V32" s="89"/>
      <c r="W32" s="89"/>
      <c r="X32" s="70">
        <v>1</v>
      </c>
      <c r="Y32" s="64">
        <v>120.48192771084337</v>
      </c>
      <c r="Z32" s="54">
        <v>120.48192771084337</v>
      </c>
      <c r="AA32" s="54">
        <v>0</v>
      </c>
      <c r="AB32" s="135"/>
      <c r="AC32" s="128"/>
    </row>
    <row r="33" spans="1:29">
      <c r="A33">
        <v>2340</v>
      </c>
      <c r="C33" t="s">
        <v>62</v>
      </c>
      <c r="I33" s="7"/>
      <c r="K33" s="2">
        <f t="shared" ref="K33:K43" si="15">L33/Q33</f>
        <v>1</v>
      </c>
      <c r="L33" s="7">
        <v>5.0000000000000001E-3</v>
      </c>
      <c r="M33" s="7">
        <v>2E-3</v>
      </c>
      <c r="N33" s="7">
        <v>0</v>
      </c>
      <c r="O33" s="7">
        <v>0</v>
      </c>
      <c r="P33" s="7">
        <v>0</v>
      </c>
      <c r="Q33" s="91">
        <f t="shared" ref="Q33:Q43" si="16">L33+O33</f>
        <v>5.0000000000000001E-3</v>
      </c>
      <c r="R33" s="88"/>
      <c r="S33" s="89"/>
      <c r="T33" s="89"/>
      <c r="U33" s="89">
        <f t="shared" si="8"/>
        <v>200</v>
      </c>
      <c r="V33" s="89">
        <v>0</v>
      </c>
      <c r="W33" s="89">
        <f t="shared" si="7"/>
        <v>200</v>
      </c>
      <c r="X33" s="70">
        <v>1</v>
      </c>
      <c r="Y33" s="64">
        <v>200</v>
      </c>
      <c r="Z33" s="54">
        <v>200</v>
      </c>
      <c r="AA33" s="54">
        <v>0</v>
      </c>
      <c r="AB33" s="135">
        <v>32</v>
      </c>
      <c r="AC33" s="128">
        <v>0.46</v>
      </c>
    </row>
    <row r="34" spans="1:29">
      <c r="A34">
        <v>2341</v>
      </c>
      <c r="C34" t="s">
        <v>63</v>
      </c>
      <c r="I34" s="7"/>
      <c r="K34" s="2">
        <f t="shared" si="15"/>
        <v>0.66666666666666663</v>
      </c>
      <c r="L34" s="7">
        <v>2E-3</v>
      </c>
      <c r="M34" s="7">
        <v>0</v>
      </c>
      <c r="N34" s="7">
        <v>1E-3</v>
      </c>
      <c r="O34" s="7">
        <f t="shared" ref="O34:O44" si="17">M34+N34</f>
        <v>1E-3</v>
      </c>
      <c r="P34" s="7">
        <f t="shared" ref="P34:P46" si="18">N34/O34</f>
        <v>1</v>
      </c>
      <c r="Q34" s="91">
        <f t="shared" si="16"/>
        <v>3.0000000000000001E-3</v>
      </c>
      <c r="R34" s="88"/>
      <c r="S34" s="89"/>
      <c r="T34" s="89"/>
      <c r="U34" s="89">
        <f t="shared" si="8"/>
        <v>500</v>
      </c>
      <c r="V34" s="89">
        <f>1/O34</f>
        <v>1000</v>
      </c>
      <c r="W34" s="89">
        <f t="shared" si="7"/>
        <v>333.33333333333331</v>
      </c>
      <c r="X34" s="70">
        <v>0.67</v>
      </c>
      <c r="Y34" s="64">
        <v>333.33333333333331</v>
      </c>
      <c r="Z34" s="54">
        <v>500</v>
      </c>
      <c r="AA34" s="54">
        <v>1000</v>
      </c>
      <c r="AB34" s="135"/>
      <c r="AC34" s="128"/>
    </row>
    <row r="35" spans="1:29">
      <c r="A35">
        <v>2343</v>
      </c>
      <c r="C35" t="s">
        <v>64</v>
      </c>
      <c r="I35" s="7"/>
      <c r="K35" s="2">
        <f t="shared" si="15"/>
        <v>0.63492063492063489</v>
      </c>
      <c r="L35" s="7">
        <v>2E-3</v>
      </c>
      <c r="M35" s="7">
        <v>0</v>
      </c>
      <c r="N35" s="7">
        <v>1.15E-3</v>
      </c>
      <c r="O35" s="7">
        <f t="shared" si="17"/>
        <v>1.15E-3</v>
      </c>
      <c r="P35" s="7">
        <f t="shared" si="18"/>
        <v>1</v>
      </c>
      <c r="Q35" s="91">
        <f t="shared" si="16"/>
        <v>3.15E-3</v>
      </c>
      <c r="R35" s="88"/>
      <c r="S35" s="89"/>
      <c r="T35" s="89"/>
      <c r="U35" s="89">
        <f t="shared" si="8"/>
        <v>500</v>
      </c>
      <c r="V35" s="89">
        <f>1/O35</f>
        <v>869.56521739130437</v>
      </c>
      <c r="W35" s="89">
        <f t="shared" si="7"/>
        <v>317.46031746031747</v>
      </c>
      <c r="X35" s="70">
        <v>0.63</v>
      </c>
      <c r="Y35" s="64">
        <v>317.46031746031747</v>
      </c>
      <c r="Z35" s="54">
        <v>500</v>
      </c>
      <c r="AA35" s="54">
        <v>869.56521739130437</v>
      </c>
      <c r="AB35" s="135"/>
      <c r="AC35" s="128"/>
    </row>
    <row r="36" spans="1:29">
      <c r="A36">
        <v>2440</v>
      </c>
      <c r="C36" t="s">
        <v>65</v>
      </c>
      <c r="I36" s="7"/>
      <c r="K36" s="2">
        <f t="shared" si="15"/>
        <v>1</v>
      </c>
      <c r="L36" s="7">
        <v>2.2499999999999999E-2</v>
      </c>
      <c r="M36" s="7">
        <v>0</v>
      </c>
      <c r="N36" s="7">
        <v>0</v>
      </c>
      <c r="O36" s="7">
        <f t="shared" si="17"/>
        <v>0</v>
      </c>
      <c r="P36" s="7">
        <v>0</v>
      </c>
      <c r="Q36" s="91">
        <f t="shared" si="16"/>
        <v>2.2499999999999999E-2</v>
      </c>
      <c r="R36" s="88"/>
      <c r="S36" s="89"/>
      <c r="T36" s="89"/>
      <c r="U36" s="89">
        <f t="shared" si="8"/>
        <v>44.444444444444443</v>
      </c>
      <c r="V36" s="89">
        <v>0</v>
      </c>
      <c r="W36" s="89">
        <f t="shared" si="7"/>
        <v>44.444444444444443</v>
      </c>
      <c r="X36" s="70">
        <v>1</v>
      </c>
      <c r="Y36" s="64">
        <v>44.444444444444443</v>
      </c>
      <c r="Z36" s="54">
        <v>44.444444444444443</v>
      </c>
      <c r="AA36" s="54">
        <v>0</v>
      </c>
      <c r="AB36" s="135">
        <v>15</v>
      </c>
      <c r="AC36" s="128">
        <v>0.24</v>
      </c>
    </row>
    <row r="37" spans="1:29">
      <c r="A37">
        <v>2441</v>
      </c>
      <c r="C37" t="s">
        <v>66</v>
      </c>
      <c r="I37" s="7"/>
      <c r="K37" s="2">
        <f t="shared" si="15"/>
        <v>0.26213592233009708</v>
      </c>
      <c r="L37" s="7">
        <v>1.3499999999999998E-2</v>
      </c>
      <c r="M37" s="7">
        <v>1.7999999999999999E-2</v>
      </c>
      <c r="N37" s="7">
        <v>0.02</v>
      </c>
      <c r="O37" s="7">
        <f t="shared" si="17"/>
        <v>3.7999999999999999E-2</v>
      </c>
      <c r="P37" s="7">
        <f t="shared" si="18"/>
        <v>0.52631578947368418</v>
      </c>
      <c r="Q37" s="91">
        <f t="shared" si="16"/>
        <v>5.1499999999999997E-2</v>
      </c>
      <c r="R37" s="88"/>
      <c r="S37" s="89"/>
      <c r="T37" s="89"/>
      <c r="U37" s="89">
        <f t="shared" si="8"/>
        <v>74.07407407407409</v>
      </c>
      <c r="V37" s="89">
        <f>1/O37</f>
        <v>26.315789473684212</v>
      </c>
      <c r="W37" s="89">
        <f t="shared" si="7"/>
        <v>19.417475728155342</v>
      </c>
      <c r="X37" s="70">
        <v>0.26</v>
      </c>
      <c r="Y37" s="64">
        <v>19.417475728155342</v>
      </c>
      <c r="Z37" s="54">
        <v>74.07407407407409</v>
      </c>
      <c r="AA37" s="54">
        <v>26.315789473684212</v>
      </c>
      <c r="AB37" s="135"/>
      <c r="AC37" s="128"/>
    </row>
    <row r="38" spans="1:29">
      <c r="A38">
        <v>2442</v>
      </c>
      <c r="C38" t="s">
        <v>67</v>
      </c>
      <c r="I38" s="7"/>
      <c r="K38" s="2">
        <f t="shared" si="15"/>
        <v>0.18481182795698925</v>
      </c>
      <c r="L38" s="7">
        <v>1.3749999999999998E-2</v>
      </c>
      <c r="M38" s="7">
        <v>3.9E-2</v>
      </c>
      <c r="N38" s="7">
        <v>2.1650000000000003E-2</v>
      </c>
      <c r="O38" s="7">
        <f t="shared" si="17"/>
        <v>6.0650000000000003E-2</v>
      </c>
      <c r="P38" s="7">
        <f t="shared" si="18"/>
        <v>0.35696619950535863</v>
      </c>
      <c r="Q38" s="91">
        <f t="shared" si="16"/>
        <v>7.4399999999999994E-2</v>
      </c>
      <c r="R38" s="88"/>
      <c r="S38" s="89"/>
      <c r="T38" s="89"/>
      <c r="U38" s="89">
        <f t="shared" si="8"/>
        <v>72.727272727272734</v>
      </c>
      <c r="V38" s="89">
        <f>1/O38</f>
        <v>16.488046166529266</v>
      </c>
      <c r="W38" s="89">
        <f t="shared" si="7"/>
        <v>13.440860215053764</v>
      </c>
      <c r="X38" s="70">
        <v>0.18</v>
      </c>
      <c r="Y38" s="64">
        <v>13.440860215053764</v>
      </c>
      <c r="Z38" s="54">
        <v>72.727272727272734</v>
      </c>
      <c r="AA38" s="54">
        <v>16.488046166529266</v>
      </c>
      <c r="AB38" s="135"/>
      <c r="AC38" s="128"/>
    </row>
    <row r="39" spans="1:29">
      <c r="A39">
        <v>2431</v>
      </c>
      <c r="C39" t="s">
        <v>68</v>
      </c>
      <c r="I39" s="7"/>
      <c r="K39" s="2">
        <f t="shared" si="15"/>
        <v>0.36551724137931041</v>
      </c>
      <c r="L39" s="7">
        <v>1.0600000000000002E-2</v>
      </c>
      <c r="M39" s="7">
        <v>8.3999999999999995E-3</v>
      </c>
      <c r="N39" s="7">
        <v>0.01</v>
      </c>
      <c r="O39" s="7">
        <f t="shared" si="17"/>
        <v>1.84E-2</v>
      </c>
      <c r="P39" s="7">
        <f t="shared" si="18"/>
        <v>0.54347826086956519</v>
      </c>
      <c r="Q39" s="91">
        <f t="shared" si="16"/>
        <v>2.9000000000000001E-2</v>
      </c>
      <c r="R39" s="88"/>
      <c r="S39" s="89"/>
      <c r="T39" s="89"/>
      <c r="U39" s="89">
        <f t="shared" si="8"/>
        <v>94.339622641509422</v>
      </c>
      <c r="V39" s="89">
        <f>1/O39</f>
        <v>54.347826086956523</v>
      </c>
      <c r="W39" s="89">
        <f t="shared" si="7"/>
        <v>34.482758620689651</v>
      </c>
      <c r="X39" s="70">
        <v>0.37</v>
      </c>
      <c r="Y39" s="64">
        <v>34.482758620689651</v>
      </c>
      <c r="Z39" s="54">
        <v>94.339622641509422</v>
      </c>
      <c r="AA39" s="54">
        <v>54.347826086956523</v>
      </c>
      <c r="AB39" s="135"/>
      <c r="AC39" s="128"/>
    </row>
    <row r="40" spans="1:29">
      <c r="A40">
        <v>2443</v>
      </c>
      <c r="C40" t="s">
        <v>69</v>
      </c>
      <c r="I40" s="7"/>
      <c r="K40" s="2">
        <f t="shared" si="15"/>
        <v>0.13717693836978131</v>
      </c>
      <c r="L40" s="7">
        <v>1.0350000000000002E-2</v>
      </c>
      <c r="M40" s="7">
        <v>4.9200000000000001E-2</v>
      </c>
      <c r="N40" s="7">
        <v>1.5900000000000001E-2</v>
      </c>
      <c r="O40" s="7">
        <f t="shared" si="17"/>
        <v>6.5100000000000005E-2</v>
      </c>
      <c r="P40" s="7">
        <f t="shared" si="18"/>
        <v>0.24423963133640553</v>
      </c>
      <c r="Q40" s="91">
        <f t="shared" si="16"/>
        <v>7.5450000000000003E-2</v>
      </c>
      <c r="R40" s="88"/>
      <c r="S40" s="89"/>
      <c r="T40" s="89"/>
      <c r="U40" s="89">
        <f t="shared" si="8"/>
        <v>96.618357487922694</v>
      </c>
      <c r="V40" s="89">
        <f>1/O40</f>
        <v>15.360983102918585</v>
      </c>
      <c r="W40" s="89">
        <f t="shared" si="7"/>
        <v>13.25381047051027</v>
      </c>
      <c r="X40" s="70">
        <v>0.14000000000000001</v>
      </c>
      <c r="Y40" s="64">
        <v>13.25381047051027</v>
      </c>
      <c r="Z40" s="54">
        <v>96.618357487922694</v>
      </c>
      <c r="AA40" s="54">
        <v>15.360983102918585</v>
      </c>
      <c r="AB40" s="135"/>
      <c r="AC40" s="128"/>
    </row>
    <row r="41" spans="1:29">
      <c r="A41">
        <v>3240</v>
      </c>
      <c r="C41" t="s">
        <v>97</v>
      </c>
      <c r="I41" s="7"/>
      <c r="K41" s="2">
        <f t="shared" si="15"/>
        <v>1</v>
      </c>
      <c r="L41" s="7">
        <v>3.3000000000000002E-2</v>
      </c>
      <c r="M41" s="7">
        <v>0</v>
      </c>
      <c r="N41" s="7">
        <v>0</v>
      </c>
      <c r="O41" s="7">
        <f t="shared" si="17"/>
        <v>0</v>
      </c>
      <c r="P41" s="7">
        <v>0</v>
      </c>
      <c r="Q41" s="91">
        <f t="shared" si="16"/>
        <v>3.3000000000000002E-2</v>
      </c>
      <c r="R41" s="88"/>
      <c r="S41" s="89"/>
      <c r="T41" s="89"/>
      <c r="U41" s="89">
        <f t="shared" si="8"/>
        <v>30.303030303030301</v>
      </c>
      <c r="V41" s="89">
        <v>0</v>
      </c>
      <c r="W41" s="89">
        <f t="shared" si="7"/>
        <v>30.303030303030301</v>
      </c>
      <c r="X41" s="70">
        <v>1</v>
      </c>
      <c r="Y41" s="64">
        <v>30.303030303030301</v>
      </c>
      <c r="Z41" s="54">
        <v>30.303030303030301</v>
      </c>
      <c r="AA41" s="54">
        <v>0</v>
      </c>
      <c r="AB41" s="135">
        <v>32</v>
      </c>
      <c r="AC41" s="128">
        <v>0.46</v>
      </c>
    </row>
    <row r="42" spans="1:29">
      <c r="A42">
        <v>3241</v>
      </c>
      <c r="C42" t="s">
        <v>98</v>
      </c>
      <c r="I42" s="7"/>
      <c r="K42" s="2">
        <f t="shared" si="15"/>
        <v>0.259504132231405</v>
      </c>
      <c r="L42" s="7">
        <v>2.3550000000000001E-2</v>
      </c>
      <c r="M42" s="7">
        <v>2.7199999999999998E-2</v>
      </c>
      <c r="N42" s="7">
        <v>0.04</v>
      </c>
      <c r="O42" s="7">
        <f t="shared" si="17"/>
        <v>6.7199999999999996E-2</v>
      </c>
      <c r="P42" s="7">
        <f t="shared" si="18"/>
        <v>0.59523809523809523</v>
      </c>
      <c r="Q42" s="91">
        <f t="shared" si="16"/>
        <v>9.0749999999999997E-2</v>
      </c>
      <c r="R42" s="88"/>
      <c r="S42" s="89"/>
      <c r="T42" s="89"/>
      <c r="U42" s="89">
        <f t="shared" si="8"/>
        <v>42.462845010615709</v>
      </c>
      <c r="V42" s="89">
        <f>1/O42</f>
        <v>14.880952380952381</v>
      </c>
      <c r="W42" s="89">
        <f t="shared" si="7"/>
        <v>11.019283746556475</v>
      </c>
      <c r="X42" s="70">
        <v>0.26</v>
      </c>
      <c r="Y42" s="64">
        <v>11.019283746556475</v>
      </c>
      <c r="Z42" s="54">
        <v>42.462845010615709</v>
      </c>
      <c r="AA42" s="54">
        <v>14.880952380952381</v>
      </c>
      <c r="AB42" s="135"/>
      <c r="AC42" s="128"/>
    </row>
    <row r="43" spans="1:29">
      <c r="A43">
        <v>3243</v>
      </c>
      <c r="C43" t="s">
        <v>99</v>
      </c>
      <c r="I43" s="7"/>
      <c r="K43" s="2">
        <f t="shared" si="15"/>
        <v>7.8616352201257858E-2</v>
      </c>
      <c r="L43" s="7">
        <v>7.5000000000000006E-3</v>
      </c>
      <c r="M43" s="7">
        <v>7.2050000000000003E-2</v>
      </c>
      <c r="N43" s="7">
        <v>1.585E-2</v>
      </c>
      <c r="O43" s="7">
        <f t="shared" si="17"/>
        <v>8.7900000000000006E-2</v>
      </c>
      <c r="P43" s="7">
        <f t="shared" si="18"/>
        <v>0.18031854379977244</v>
      </c>
      <c r="Q43" s="91">
        <f t="shared" si="16"/>
        <v>9.5400000000000013E-2</v>
      </c>
      <c r="R43" s="88"/>
      <c r="S43" s="89"/>
      <c r="T43" s="89"/>
      <c r="U43" s="89">
        <f t="shared" si="8"/>
        <v>133.33333333333331</v>
      </c>
      <c r="V43" s="89">
        <f>1/O43</f>
        <v>11.376564277588168</v>
      </c>
      <c r="W43" s="89">
        <f t="shared" si="7"/>
        <v>10.482180293501047</v>
      </c>
      <c r="X43" s="70">
        <v>0.08</v>
      </c>
      <c r="Y43" s="64">
        <v>10.482180293501047</v>
      </c>
      <c r="Z43" s="54">
        <v>133.33333333333331</v>
      </c>
      <c r="AA43" s="54">
        <v>11.376564277588168</v>
      </c>
      <c r="AB43" s="135"/>
      <c r="AC43" s="128"/>
    </row>
    <row r="44" spans="1:29">
      <c r="A44" s="6">
        <v>1310</v>
      </c>
      <c r="B44" s="6">
        <v>611520</v>
      </c>
      <c r="C44" s="6" t="s">
        <v>22</v>
      </c>
      <c r="D44" s="2">
        <f t="shared" ref="D44:D55" si="19">E44/J44</f>
        <v>1</v>
      </c>
      <c r="E44" s="7">
        <v>1.2500000000000001E-2</v>
      </c>
      <c r="F44" s="7">
        <v>0</v>
      </c>
      <c r="G44" s="7">
        <v>0</v>
      </c>
      <c r="H44" s="7">
        <f>F44+G44</f>
        <v>0</v>
      </c>
      <c r="I44" s="7">
        <v>0</v>
      </c>
      <c r="J44" s="4">
        <f t="shared" ref="J44:J55" si="20">E44+H44</f>
        <v>1.2500000000000001E-2</v>
      </c>
      <c r="K44" s="2">
        <f>L44/Q44</f>
        <v>1</v>
      </c>
      <c r="L44" s="13">
        <v>0.02</v>
      </c>
      <c r="M44" s="7">
        <v>0</v>
      </c>
      <c r="N44" s="7">
        <v>0</v>
      </c>
      <c r="O44" s="7">
        <f t="shared" si="17"/>
        <v>0</v>
      </c>
      <c r="P44" s="7">
        <v>0</v>
      </c>
      <c r="Q44" s="50">
        <v>0.02</v>
      </c>
      <c r="R44" s="88">
        <f t="shared" si="4"/>
        <v>80</v>
      </c>
      <c r="S44" s="89">
        <v>0</v>
      </c>
      <c r="T44" s="89">
        <f t="shared" si="6"/>
        <v>80</v>
      </c>
      <c r="U44" s="89">
        <f t="shared" si="8"/>
        <v>50</v>
      </c>
      <c r="V44" s="89">
        <v>0</v>
      </c>
      <c r="W44" s="89">
        <f t="shared" si="7"/>
        <v>50</v>
      </c>
      <c r="X44" s="70">
        <v>1</v>
      </c>
      <c r="Y44" s="64">
        <v>50</v>
      </c>
      <c r="Z44" s="54">
        <v>50</v>
      </c>
      <c r="AA44" s="54">
        <v>0</v>
      </c>
      <c r="AB44" s="135">
        <v>53</v>
      </c>
      <c r="AC44" s="128">
        <v>0.56000000000000005</v>
      </c>
    </row>
    <row r="45" spans="1:29">
      <c r="A45" s="6">
        <v>1320</v>
      </c>
      <c r="B45" s="6">
        <v>611520</v>
      </c>
      <c r="C45" s="6" t="s">
        <v>125</v>
      </c>
      <c r="D45" s="2">
        <f t="shared" si="19"/>
        <v>0.45454545454545459</v>
      </c>
      <c r="E45" s="7">
        <v>1.2500000000000001E-2</v>
      </c>
      <c r="F45" s="7">
        <v>0</v>
      </c>
      <c r="G45" s="7">
        <v>1.4999999999999999E-2</v>
      </c>
      <c r="H45" s="7">
        <f>F45+G45</f>
        <v>1.4999999999999999E-2</v>
      </c>
      <c r="I45" s="7">
        <f t="shared" si="3"/>
        <v>1</v>
      </c>
      <c r="J45" s="4">
        <f t="shared" si="20"/>
        <v>2.75E-2</v>
      </c>
      <c r="K45" s="2">
        <f>L45/Q45</f>
        <v>0.5</v>
      </c>
      <c r="L45" s="13">
        <v>0.01</v>
      </c>
      <c r="M45" s="7"/>
      <c r="N45" s="7"/>
      <c r="O45" s="7">
        <v>0.01</v>
      </c>
      <c r="P45" s="7">
        <f t="shared" si="18"/>
        <v>0</v>
      </c>
      <c r="Q45" s="50">
        <v>0.02</v>
      </c>
      <c r="R45" s="88">
        <f t="shared" si="4"/>
        <v>80</v>
      </c>
      <c r="S45" s="89">
        <f t="shared" si="5"/>
        <v>66.666666666666671</v>
      </c>
      <c r="T45" s="89">
        <f t="shared" si="6"/>
        <v>36.363636363636367</v>
      </c>
      <c r="U45" s="89">
        <f t="shared" si="8"/>
        <v>100</v>
      </c>
      <c r="V45" s="89">
        <f>1/O45</f>
        <v>100</v>
      </c>
      <c r="W45" s="89">
        <f t="shared" si="7"/>
        <v>50</v>
      </c>
      <c r="X45" s="70">
        <v>0.5</v>
      </c>
      <c r="Y45" s="64">
        <v>50</v>
      </c>
      <c r="Z45" s="54">
        <v>100</v>
      </c>
      <c r="AA45" s="54">
        <v>100</v>
      </c>
      <c r="AB45" s="135"/>
      <c r="AC45" s="128"/>
    </row>
    <row r="46" spans="1:29" ht="16" thickBot="1">
      <c r="A46" s="6">
        <v>1330</v>
      </c>
      <c r="B46" s="6">
        <v>611520</v>
      </c>
      <c r="C46" s="6" t="s">
        <v>126</v>
      </c>
      <c r="D46" s="2">
        <f t="shared" si="19"/>
        <v>0.5</v>
      </c>
      <c r="E46" s="7">
        <v>7.0000000000000001E-3</v>
      </c>
      <c r="F46" s="7">
        <v>0</v>
      </c>
      <c r="G46" s="7">
        <v>7.0000000000000001E-3</v>
      </c>
      <c r="H46" s="7">
        <f t="shared" ref="H46:H117" si="21">F46+G46</f>
        <v>7.0000000000000001E-3</v>
      </c>
      <c r="I46" s="7">
        <f t="shared" si="3"/>
        <v>1</v>
      </c>
      <c r="J46" s="4">
        <f t="shared" si="20"/>
        <v>1.4E-2</v>
      </c>
      <c r="K46" s="2">
        <f>L46/Q46</f>
        <v>0.5</v>
      </c>
      <c r="L46" s="13">
        <v>0.01</v>
      </c>
      <c r="M46" s="7"/>
      <c r="N46" s="7"/>
      <c r="O46" s="7">
        <v>0.01</v>
      </c>
      <c r="P46" s="7">
        <f t="shared" si="18"/>
        <v>0</v>
      </c>
      <c r="Q46" s="50">
        <v>0.02</v>
      </c>
      <c r="R46" s="88">
        <f t="shared" si="4"/>
        <v>142.85714285714286</v>
      </c>
      <c r="S46" s="89">
        <f t="shared" si="5"/>
        <v>142.85714285714286</v>
      </c>
      <c r="T46" s="89">
        <f t="shared" si="6"/>
        <v>71.428571428571431</v>
      </c>
      <c r="U46" s="89">
        <f t="shared" si="8"/>
        <v>100</v>
      </c>
      <c r="V46" s="89">
        <f>1/O46</f>
        <v>100</v>
      </c>
      <c r="W46" s="89">
        <f t="shared" si="7"/>
        <v>50</v>
      </c>
      <c r="X46" s="70">
        <v>0.5</v>
      </c>
      <c r="Y46" s="64">
        <v>50</v>
      </c>
      <c r="Z46" s="54">
        <v>100</v>
      </c>
      <c r="AA46" s="54">
        <v>100</v>
      </c>
      <c r="AB46" s="136"/>
      <c r="AC46" s="129"/>
    </row>
    <row r="47" spans="1:29" s="21" customFormat="1">
      <c r="A47" s="19">
        <v>710</v>
      </c>
      <c r="B47" s="20">
        <v>610581</v>
      </c>
      <c r="C47" s="20" t="s">
        <v>8</v>
      </c>
      <c r="D47" s="20">
        <f t="shared" si="19"/>
        <v>2.9411764705882353E-2</v>
      </c>
      <c r="E47" s="22">
        <v>1E-3</v>
      </c>
      <c r="F47" s="22">
        <v>0</v>
      </c>
      <c r="G47" s="22">
        <v>3.3000000000000002E-2</v>
      </c>
      <c r="H47" s="22">
        <f t="shared" si="21"/>
        <v>3.3000000000000002E-2</v>
      </c>
      <c r="I47" s="22">
        <f t="shared" si="3"/>
        <v>1</v>
      </c>
      <c r="J47" s="22">
        <f t="shared" si="20"/>
        <v>3.4000000000000002E-2</v>
      </c>
      <c r="K47" s="20"/>
      <c r="L47" s="23"/>
      <c r="M47" s="22"/>
      <c r="N47" s="20"/>
      <c r="O47" s="20"/>
      <c r="P47" s="20"/>
      <c r="Q47" s="93"/>
      <c r="R47" s="88">
        <f t="shared" si="4"/>
        <v>1000</v>
      </c>
      <c r="S47" s="89">
        <f t="shared" si="5"/>
        <v>30.303030303030301</v>
      </c>
      <c r="T47" s="89">
        <f t="shared" si="6"/>
        <v>29.411764705882351</v>
      </c>
      <c r="U47" s="89"/>
      <c r="V47" s="89"/>
      <c r="W47" s="89"/>
      <c r="X47" s="71">
        <v>0.03</v>
      </c>
      <c r="Y47" s="65">
        <v>29.411764705882351</v>
      </c>
      <c r="Z47" s="55">
        <v>1000</v>
      </c>
      <c r="AA47" s="55">
        <v>30.303030303030301</v>
      </c>
      <c r="AB47" s="132">
        <v>52</v>
      </c>
      <c r="AC47" s="130">
        <v>0.18</v>
      </c>
    </row>
    <row r="48" spans="1:29" s="18" customFormat="1">
      <c r="A48" s="24">
        <v>721</v>
      </c>
      <c r="B48" s="6">
        <v>610581</v>
      </c>
      <c r="C48" s="6" t="s">
        <v>9</v>
      </c>
      <c r="D48" s="6">
        <f t="shared" si="19"/>
        <v>0.41176470588235292</v>
      </c>
      <c r="E48" s="7">
        <v>7.0000000000000001E-3</v>
      </c>
      <c r="F48" s="7">
        <v>0</v>
      </c>
      <c r="G48" s="7">
        <v>0.01</v>
      </c>
      <c r="H48" s="7">
        <f t="shared" si="21"/>
        <v>0.01</v>
      </c>
      <c r="I48" s="7">
        <f t="shared" si="3"/>
        <v>1</v>
      </c>
      <c r="J48" s="7">
        <f t="shared" si="20"/>
        <v>1.7000000000000001E-2</v>
      </c>
      <c r="K48" s="6"/>
      <c r="L48" s="13"/>
      <c r="M48" s="7"/>
      <c r="N48" s="6"/>
      <c r="O48" s="6"/>
      <c r="P48" s="6"/>
      <c r="Q48" s="50"/>
      <c r="R48" s="88">
        <f t="shared" si="4"/>
        <v>142.85714285714286</v>
      </c>
      <c r="S48" s="89">
        <f t="shared" si="5"/>
        <v>100</v>
      </c>
      <c r="T48" s="89">
        <f t="shared" si="6"/>
        <v>58.823529411764703</v>
      </c>
      <c r="U48" s="89"/>
      <c r="V48" s="89"/>
      <c r="W48" s="89"/>
      <c r="X48" s="72">
        <v>0.41</v>
      </c>
      <c r="Y48" s="66">
        <v>58.823529411764703</v>
      </c>
      <c r="Z48" s="56">
        <v>142.85714285714286</v>
      </c>
      <c r="AA48" s="56">
        <v>100</v>
      </c>
      <c r="AB48" s="123"/>
      <c r="AC48" s="124"/>
    </row>
    <row r="49" spans="1:29" s="18" customFormat="1">
      <c r="A49" s="24"/>
      <c r="B49" s="6">
        <v>610581</v>
      </c>
      <c r="C49" s="6" t="s">
        <v>146</v>
      </c>
      <c r="D49" s="6">
        <f t="shared" si="19"/>
        <v>0.14864864864864866</v>
      </c>
      <c r="E49" s="7">
        <f>(E48+E50)/2</f>
        <v>5.4999999999999997E-3</v>
      </c>
      <c r="F49" s="7">
        <f>(F48+F50)/2</f>
        <v>0.01</v>
      </c>
      <c r="G49" s="7">
        <f>(G48+G50)/2</f>
        <v>2.1500000000000002E-2</v>
      </c>
      <c r="H49" s="7">
        <f t="shared" si="21"/>
        <v>3.15E-2</v>
      </c>
      <c r="I49" s="7">
        <f t="shared" si="3"/>
        <v>0.68253968253968256</v>
      </c>
      <c r="J49" s="7">
        <f t="shared" si="20"/>
        <v>3.6999999999999998E-2</v>
      </c>
      <c r="K49" s="6"/>
      <c r="L49" s="13"/>
      <c r="M49" s="7"/>
      <c r="N49" s="6"/>
      <c r="O49" s="6"/>
      <c r="P49" s="6"/>
      <c r="Q49" s="50"/>
      <c r="R49" s="88">
        <f t="shared" si="4"/>
        <v>181.81818181818184</v>
      </c>
      <c r="S49" s="89">
        <f t="shared" si="5"/>
        <v>31.746031746031747</v>
      </c>
      <c r="T49" s="89">
        <f t="shared" si="6"/>
        <v>27.027027027027028</v>
      </c>
      <c r="U49" s="89"/>
      <c r="V49" s="89"/>
      <c r="W49" s="89"/>
      <c r="X49" s="72">
        <v>0.15</v>
      </c>
      <c r="Y49" s="66">
        <v>27.027027027027028</v>
      </c>
      <c r="Z49" s="56">
        <v>181.81818181818184</v>
      </c>
      <c r="AA49" s="56">
        <v>31.746031746031747</v>
      </c>
      <c r="AB49" s="123"/>
      <c r="AC49" s="124"/>
    </row>
    <row r="50" spans="1:29" s="18" customFormat="1">
      <c r="A50" s="24">
        <v>722</v>
      </c>
      <c r="B50" s="6">
        <v>610581</v>
      </c>
      <c r="C50" s="6" t="s">
        <v>10</v>
      </c>
      <c r="D50" s="6">
        <f t="shared" si="19"/>
        <v>7.0175438596491224E-2</v>
      </c>
      <c r="E50" s="7">
        <v>4.0000000000000001E-3</v>
      </c>
      <c r="F50" s="7">
        <v>0.02</v>
      </c>
      <c r="G50" s="7">
        <v>3.3000000000000002E-2</v>
      </c>
      <c r="H50" s="7">
        <f t="shared" si="21"/>
        <v>5.3000000000000005E-2</v>
      </c>
      <c r="I50" s="7">
        <f t="shared" si="3"/>
        <v>0.62264150943396224</v>
      </c>
      <c r="J50" s="7">
        <f t="shared" si="20"/>
        <v>5.7000000000000009E-2</v>
      </c>
      <c r="K50" s="6"/>
      <c r="L50" s="13"/>
      <c r="M50" s="7"/>
      <c r="N50" s="6"/>
      <c r="O50" s="6"/>
      <c r="P50" s="6"/>
      <c r="Q50" s="50"/>
      <c r="R50" s="88">
        <f t="shared" si="4"/>
        <v>250</v>
      </c>
      <c r="S50" s="89">
        <f t="shared" si="5"/>
        <v>18.867924528301884</v>
      </c>
      <c r="T50" s="89">
        <f t="shared" si="6"/>
        <v>17.543859649122805</v>
      </c>
      <c r="U50" s="89"/>
      <c r="V50" s="89"/>
      <c r="W50" s="89"/>
      <c r="X50" s="72">
        <v>7.0000000000000007E-2</v>
      </c>
      <c r="Y50" s="66">
        <v>17.543859649122805</v>
      </c>
      <c r="Z50" s="56">
        <v>250</v>
      </c>
      <c r="AA50" s="56">
        <v>18.867924528301884</v>
      </c>
      <c r="AB50" s="123"/>
      <c r="AC50" s="124"/>
    </row>
    <row r="51" spans="1:29" s="18" customFormat="1">
      <c r="A51" s="24">
        <v>731</v>
      </c>
      <c r="B51" s="6">
        <v>610581</v>
      </c>
      <c r="C51" s="6" t="s">
        <v>11</v>
      </c>
      <c r="D51" s="6">
        <f t="shared" si="19"/>
        <v>0.25925925925925924</v>
      </c>
      <c r="E51" s="7">
        <f>0.007</f>
        <v>7.0000000000000001E-3</v>
      </c>
      <c r="F51" s="7">
        <v>0</v>
      </c>
      <c r="G51" s="7">
        <v>0.02</v>
      </c>
      <c r="H51" s="7">
        <f t="shared" si="21"/>
        <v>0.02</v>
      </c>
      <c r="I51" s="7">
        <f t="shared" si="3"/>
        <v>1</v>
      </c>
      <c r="J51" s="7">
        <f t="shared" si="20"/>
        <v>2.7E-2</v>
      </c>
      <c r="K51" s="6"/>
      <c r="L51" s="13"/>
      <c r="M51" s="7"/>
      <c r="N51" s="6"/>
      <c r="O51" s="6"/>
      <c r="P51" s="6"/>
      <c r="Q51" s="50"/>
      <c r="R51" s="88">
        <f t="shared" si="4"/>
        <v>142.85714285714286</v>
      </c>
      <c r="S51" s="89">
        <f t="shared" si="5"/>
        <v>50</v>
      </c>
      <c r="T51" s="89">
        <f t="shared" si="6"/>
        <v>37.037037037037038</v>
      </c>
      <c r="U51" s="89"/>
      <c r="V51" s="89"/>
      <c r="W51" s="89"/>
      <c r="X51" s="72">
        <v>0.26</v>
      </c>
      <c r="Y51" s="66">
        <v>37.037037037037038</v>
      </c>
      <c r="Z51" s="56">
        <v>142.85714285714286</v>
      </c>
      <c r="AA51" s="56">
        <v>50</v>
      </c>
      <c r="AB51" s="123"/>
      <c r="AC51" s="124"/>
    </row>
    <row r="52" spans="1:29" s="18" customFormat="1">
      <c r="A52" s="24"/>
      <c r="B52" s="6">
        <v>610581</v>
      </c>
      <c r="C52" s="6" t="s">
        <v>147</v>
      </c>
      <c r="D52" s="6">
        <f t="shared" si="19"/>
        <v>0.13095238095238093</v>
      </c>
      <c r="E52" s="7">
        <f>(E51+E53)/2</f>
        <v>5.4999999999999997E-3</v>
      </c>
      <c r="F52" s="7">
        <f>(F51+F53)/2</f>
        <v>0.01</v>
      </c>
      <c r="G52" s="7">
        <f>(G51+G53)/2</f>
        <v>2.6500000000000003E-2</v>
      </c>
      <c r="H52" s="7">
        <f t="shared" si="21"/>
        <v>3.6500000000000005E-2</v>
      </c>
      <c r="I52" s="7">
        <f t="shared" si="3"/>
        <v>0.72602739726027399</v>
      </c>
      <c r="J52" s="7">
        <f t="shared" si="20"/>
        <v>4.2000000000000003E-2</v>
      </c>
      <c r="K52" s="6"/>
      <c r="L52" s="13"/>
      <c r="M52" s="7"/>
      <c r="N52" s="6"/>
      <c r="O52" s="6"/>
      <c r="P52" s="6"/>
      <c r="Q52" s="50"/>
      <c r="R52" s="88">
        <f t="shared" si="4"/>
        <v>181.81818181818184</v>
      </c>
      <c r="S52" s="89">
        <f t="shared" si="5"/>
        <v>27.397260273972599</v>
      </c>
      <c r="T52" s="89">
        <f t="shared" si="6"/>
        <v>23.809523809523807</v>
      </c>
      <c r="U52" s="89"/>
      <c r="V52" s="89"/>
      <c r="W52" s="89"/>
      <c r="X52" s="72">
        <v>0.13</v>
      </c>
      <c r="Y52" s="66">
        <v>23.809523809523807</v>
      </c>
      <c r="Z52" s="56">
        <v>181.81818181818184</v>
      </c>
      <c r="AA52" s="56">
        <v>27.397260273972599</v>
      </c>
      <c r="AB52" s="123"/>
      <c r="AC52" s="124"/>
    </row>
    <row r="53" spans="1:29" s="27" customFormat="1" ht="16" thickBot="1">
      <c r="A53" s="25">
        <v>732</v>
      </c>
      <c r="B53" s="26">
        <v>610581</v>
      </c>
      <c r="C53" s="26" t="s">
        <v>12</v>
      </c>
      <c r="D53" s="26">
        <f t="shared" si="19"/>
        <v>7.0175438596491224E-2</v>
      </c>
      <c r="E53" s="28">
        <f>0.004</f>
        <v>4.0000000000000001E-3</v>
      </c>
      <c r="F53" s="28">
        <v>0.02</v>
      </c>
      <c r="G53" s="28">
        <v>3.3000000000000002E-2</v>
      </c>
      <c r="H53" s="28">
        <f t="shared" si="21"/>
        <v>5.3000000000000005E-2</v>
      </c>
      <c r="I53" s="28">
        <f t="shared" si="3"/>
        <v>0.62264150943396224</v>
      </c>
      <c r="J53" s="28">
        <f t="shared" si="20"/>
        <v>5.7000000000000009E-2</v>
      </c>
      <c r="K53" s="26"/>
      <c r="L53" s="29"/>
      <c r="M53" s="28"/>
      <c r="N53" s="26"/>
      <c r="O53" s="26"/>
      <c r="P53" s="26"/>
      <c r="Q53" s="94"/>
      <c r="R53" s="88">
        <f t="shared" si="4"/>
        <v>250</v>
      </c>
      <c r="S53" s="89">
        <f t="shared" si="5"/>
        <v>18.867924528301884</v>
      </c>
      <c r="T53" s="89">
        <f t="shared" si="6"/>
        <v>17.543859649122805</v>
      </c>
      <c r="U53" s="89"/>
      <c r="V53" s="89"/>
      <c r="W53" s="89"/>
      <c r="X53" s="73">
        <v>7.0000000000000007E-2</v>
      </c>
      <c r="Y53" s="67">
        <v>17.543859649122805</v>
      </c>
      <c r="Z53" s="57">
        <v>250</v>
      </c>
      <c r="AA53" s="57">
        <v>18.867924528301884</v>
      </c>
      <c r="AB53" s="133"/>
      <c r="AC53" s="131"/>
    </row>
    <row r="54" spans="1:29" s="18" customFormat="1" ht="16" thickBot="1">
      <c r="A54" s="6"/>
      <c r="B54" s="6"/>
      <c r="C54" s="6"/>
      <c r="D54" s="6"/>
      <c r="E54" s="7"/>
      <c r="F54" s="7"/>
      <c r="G54" s="7"/>
      <c r="H54" s="7"/>
      <c r="I54" s="7"/>
      <c r="J54" s="7"/>
      <c r="K54" s="6"/>
      <c r="L54" s="13"/>
      <c r="M54" s="7"/>
      <c r="N54" s="6"/>
      <c r="O54" s="6"/>
      <c r="P54" s="6"/>
      <c r="Q54" s="50"/>
      <c r="R54" s="88"/>
      <c r="S54" s="89"/>
      <c r="T54" s="89"/>
      <c r="U54" s="89"/>
      <c r="V54" s="89"/>
      <c r="W54" s="89"/>
      <c r="X54" s="77">
        <f>AVERAGE(X47:X53)</f>
        <v>0.15999999999999998</v>
      </c>
      <c r="Y54" s="77">
        <f>AVERAGE(Y47:Y53)</f>
        <v>30.170943041354359</v>
      </c>
      <c r="Z54" s="77">
        <f>AVERAGE(Z47:Z53)</f>
        <v>307.05009276437846</v>
      </c>
      <c r="AA54" s="77">
        <f>AVERAGE(AA47:AA53)</f>
        <v>39.597453054234066</v>
      </c>
      <c r="AB54" s="74"/>
      <c r="AC54" s="75"/>
    </row>
    <row r="55" spans="1:29">
      <c r="A55" s="6">
        <v>1410</v>
      </c>
      <c r="B55" s="6">
        <v>611140</v>
      </c>
      <c r="C55" s="6" t="s">
        <v>23</v>
      </c>
      <c r="D55" s="2">
        <f t="shared" si="19"/>
        <v>9.9009900990099011E-3</v>
      </c>
      <c r="E55" s="7">
        <v>1E-3</v>
      </c>
      <c r="F55" s="7">
        <v>0.1</v>
      </c>
      <c r="G55" s="7">
        <v>0</v>
      </c>
      <c r="H55" s="7">
        <f t="shared" si="21"/>
        <v>0.1</v>
      </c>
      <c r="I55" s="7">
        <f t="shared" si="3"/>
        <v>0</v>
      </c>
      <c r="J55" s="4">
        <f t="shared" si="20"/>
        <v>0.10100000000000001</v>
      </c>
      <c r="L55" s="13"/>
      <c r="M55" s="7"/>
      <c r="R55" s="88">
        <f t="shared" si="4"/>
        <v>1000</v>
      </c>
      <c r="S55" s="89">
        <f t="shared" si="5"/>
        <v>10</v>
      </c>
      <c r="T55" s="89">
        <f t="shared" si="6"/>
        <v>9.9009900990099009</v>
      </c>
      <c r="U55" s="89"/>
      <c r="V55" s="89"/>
      <c r="W55" s="89"/>
      <c r="X55" s="72">
        <v>0.01</v>
      </c>
      <c r="Y55" s="64">
        <v>9.9009900990099009</v>
      </c>
      <c r="Z55" s="54">
        <v>1000</v>
      </c>
      <c r="AA55" s="54">
        <v>10</v>
      </c>
      <c r="AB55" s="134">
        <v>26</v>
      </c>
      <c r="AC55" s="127">
        <v>0.06</v>
      </c>
    </row>
    <row r="56" spans="1:29">
      <c r="A56" s="6"/>
      <c r="B56" s="6">
        <v>611140</v>
      </c>
      <c r="C56" s="6" t="s">
        <v>127</v>
      </c>
      <c r="D56" s="2">
        <f>E56/J56</f>
        <v>6.9767441860465115E-2</v>
      </c>
      <c r="E56" s="7">
        <v>6.0000000000000001E-3</v>
      </c>
      <c r="F56" s="7">
        <v>0.08</v>
      </c>
      <c r="G56" s="7">
        <v>0</v>
      </c>
      <c r="H56" s="7">
        <f t="shared" si="21"/>
        <v>0.08</v>
      </c>
      <c r="I56" s="7">
        <f t="shared" si="3"/>
        <v>0</v>
      </c>
      <c r="J56" s="4">
        <f>E56+H56</f>
        <v>8.6000000000000007E-2</v>
      </c>
      <c r="L56" s="13"/>
      <c r="M56" s="7"/>
      <c r="R56" s="88">
        <f t="shared" si="4"/>
        <v>166.66666666666666</v>
      </c>
      <c r="S56" s="89">
        <f t="shared" si="5"/>
        <v>12.5</v>
      </c>
      <c r="T56" s="89">
        <f t="shared" si="6"/>
        <v>11.627906976744185</v>
      </c>
      <c r="U56" s="89"/>
      <c r="V56" s="89"/>
      <c r="W56" s="89"/>
      <c r="X56" s="72">
        <v>7.0000000000000007E-2</v>
      </c>
      <c r="Y56" s="64">
        <v>11.627906976744185</v>
      </c>
      <c r="Z56" s="54">
        <v>166.66666666666666</v>
      </c>
      <c r="AA56" s="54">
        <v>12.5</v>
      </c>
      <c r="AB56" s="135"/>
      <c r="AC56" s="128"/>
    </row>
    <row r="57" spans="1:29">
      <c r="A57" s="6"/>
      <c r="B57" s="6">
        <v>611140</v>
      </c>
      <c r="C57" s="6" t="s">
        <v>128</v>
      </c>
      <c r="D57" s="2">
        <f>E57/J57</f>
        <v>5.7591623036649213E-2</v>
      </c>
      <c r="E57" s="7">
        <v>5.4999999999999997E-3</v>
      </c>
      <c r="F57" s="7">
        <v>0.09</v>
      </c>
      <c r="G57" s="7">
        <v>0</v>
      </c>
      <c r="H57" s="7">
        <f t="shared" si="21"/>
        <v>0.09</v>
      </c>
      <c r="I57" s="7">
        <f t="shared" si="3"/>
        <v>0</v>
      </c>
      <c r="J57" s="4">
        <f>E57+H57</f>
        <v>9.5500000000000002E-2</v>
      </c>
      <c r="L57" s="13"/>
      <c r="M57" s="7"/>
      <c r="O57" s="7"/>
      <c r="P57" s="7"/>
      <c r="R57" s="88">
        <f t="shared" si="4"/>
        <v>181.81818181818184</v>
      </c>
      <c r="S57" s="89">
        <f t="shared" si="5"/>
        <v>11.111111111111111</v>
      </c>
      <c r="T57" s="89">
        <f t="shared" si="6"/>
        <v>10.471204188481675</v>
      </c>
      <c r="U57" s="89"/>
      <c r="V57" s="89"/>
      <c r="W57" s="89"/>
      <c r="X57" s="72">
        <v>0.06</v>
      </c>
      <c r="Y57" s="64">
        <v>10.471204188481675</v>
      </c>
      <c r="Z57" s="54">
        <v>181.81818181818184</v>
      </c>
      <c r="AA57" s="54">
        <v>11.111111111111111</v>
      </c>
      <c r="AB57" s="135"/>
      <c r="AC57" s="128"/>
    </row>
    <row r="58" spans="1:29">
      <c r="A58" s="6">
        <v>1420</v>
      </c>
      <c r="B58" s="6">
        <v>611140</v>
      </c>
      <c r="C58" s="6" t="s">
        <v>129</v>
      </c>
      <c r="D58" s="2">
        <f>E58/J58</f>
        <v>4.7619047619047616E-2</v>
      </c>
      <c r="E58" s="7">
        <v>5.0000000000000001E-3</v>
      </c>
      <c r="F58" s="7">
        <v>0.1</v>
      </c>
      <c r="G58" s="7">
        <v>0</v>
      </c>
      <c r="H58" s="7">
        <f t="shared" si="21"/>
        <v>0.1</v>
      </c>
      <c r="I58" s="7">
        <f t="shared" si="3"/>
        <v>0</v>
      </c>
      <c r="J58" s="4">
        <f t="shared" ref="J58:J93" si="22">E58+H58</f>
        <v>0.10500000000000001</v>
      </c>
      <c r="L58" s="13"/>
      <c r="M58" s="7"/>
      <c r="O58" s="7"/>
      <c r="P58" s="7"/>
      <c r="R58" s="88">
        <f t="shared" si="4"/>
        <v>200</v>
      </c>
      <c r="S58" s="89">
        <f t="shared" si="5"/>
        <v>10</v>
      </c>
      <c r="T58" s="89">
        <f t="shared" si="6"/>
        <v>9.5238095238095237</v>
      </c>
      <c r="U58" s="89"/>
      <c r="V58" s="89"/>
      <c r="W58" s="89"/>
      <c r="X58" s="72">
        <v>0.05</v>
      </c>
      <c r="Y58" s="64">
        <v>9.5238095238095237</v>
      </c>
      <c r="Z58" s="54">
        <v>200</v>
      </c>
      <c r="AA58" s="54">
        <v>10</v>
      </c>
      <c r="AB58" s="135"/>
      <c r="AC58" s="128"/>
    </row>
    <row r="59" spans="1:29">
      <c r="A59" s="6">
        <v>1431</v>
      </c>
      <c r="B59" s="6">
        <v>611140</v>
      </c>
      <c r="C59" s="6" t="s">
        <v>24</v>
      </c>
      <c r="D59" s="2">
        <f>E59/J59</f>
        <v>0.5</v>
      </c>
      <c r="E59" s="7">
        <v>0.02</v>
      </c>
      <c r="F59" s="7">
        <v>0</v>
      </c>
      <c r="G59" s="7">
        <v>0.02</v>
      </c>
      <c r="H59" s="7">
        <f t="shared" si="21"/>
        <v>0.02</v>
      </c>
      <c r="I59" s="7">
        <f t="shared" si="3"/>
        <v>1</v>
      </c>
      <c r="J59" s="4">
        <f t="shared" si="22"/>
        <v>0.04</v>
      </c>
      <c r="L59" s="13"/>
      <c r="M59" s="7"/>
      <c r="O59" s="7"/>
      <c r="P59" s="7"/>
      <c r="R59" s="88">
        <f t="shared" si="4"/>
        <v>50</v>
      </c>
      <c r="S59" s="89">
        <f t="shared" si="5"/>
        <v>50</v>
      </c>
      <c r="T59" s="89">
        <f t="shared" si="6"/>
        <v>25</v>
      </c>
      <c r="U59" s="89"/>
      <c r="V59" s="89"/>
      <c r="W59" s="89"/>
      <c r="X59" s="72">
        <v>0.5</v>
      </c>
      <c r="Y59" s="64">
        <v>25</v>
      </c>
      <c r="Z59" s="54">
        <v>50</v>
      </c>
      <c r="AA59" s="54">
        <v>50</v>
      </c>
      <c r="AB59" s="135"/>
      <c r="AC59" s="128"/>
    </row>
    <row r="60" spans="1:29">
      <c r="A60" s="6"/>
      <c r="B60" s="6">
        <v>611140</v>
      </c>
      <c r="C60" s="6" t="s">
        <v>148</v>
      </c>
      <c r="D60" s="2">
        <f t="shared" ref="D60:D96" si="23">E60/J60</f>
        <v>0.17647058823529413</v>
      </c>
      <c r="E60" s="7">
        <f>(E59+E61)/2</f>
        <v>1.4999999999999999E-2</v>
      </c>
      <c r="F60" s="7">
        <f>(F59+F61)/2</f>
        <v>0.06</v>
      </c>
      <c r="G60" s="7">
        <f>(G59+G61)/2</f>
        <v>0.01</v>
      </c>
      <c r="H60" s="7">
        <f t="shared" si="21"/>
        <v>6.9999999999999993E-2</v>
      </c>
      <c r="I60" s="7">
        <f t="shared" si="3"/>
        <v>0.14285714285714288</v>
      </c>
      <c r="J60" s="4">
        <f t="shared" si="22"/>
        <v>8.4999999999999992E-2</v>
      </c>
      <c r="L60" s="13"/>
      <c r="M60" s="7"/>
      <c r="O60" s="7"/>
      <c r="P60" s="7"/>
      <c r="R60" s="88">
        <f t="shared" si="4"/>
        <v>66.666666666666671</v>
      </c>
      <c r="S60" s="89">
        <f t="shared" si="5"/>
        <v>14.285714285714286</v>
      </c>
      <c r="T60" s="89">
        <f t="shared" si="6"/>
        <v>11.764705882352942</v>
      </c>
      <c r="U60" s="89"/>
      <c r="V60" s="89"/>
      <c r="W60" s="89"/>
      <c r="X60" s="72">
        <v>0.18</v>
      </c>
      <c r="Y60" s="64">
        <v>11.764705882352942</v>
      </c>
      <c r="Z60" s="54">
        <v>66.666666666666671</v>
      </c>
      <c r="AA60" s="54">
        <v>14.285714285714286</v>
      </c>
      <c r="AB60" s="135"/>
      <c r="AC60" s="128"/>
    </row>
    <row r="61" spans="1:29">
      <c r="A61" s="6">
        <v>1432</v>
      </c>
      <c r="B61" s="6">
        <v>611140</v>
      </c>
      <c r="C61" s="6" t="s">
        <v>25</v>
      </c>
      <c r="D61" s="2">
        <f t="shared" si="23"/>
        <v>7.6923076923076927E-2</v>
      </c>
      <c r="E61" s="7">
        <v>0.01</v>
      </c>
      <c r="F61" s="7">
        <v>0.12</v>
      </c>
      <c r="G61" s="7">
        <v>0</v>
      </c>
      <c r="H61" s="7">
        <f t="shared" si="21"/>
        <v>0.12</v>
      </c>
      <c r="I61" s="7">
        <f t="shared" si="3"/>
        <v>0</v>
      </c>
      <c r="J61" s="4">
        <f t="shared" si="22"/>
        <v>0.13</v>
      </c>
      <c r="L61" s="13"/>
      <c r="M61" s="7"/>
      <c r="O61" s="7"/>
      <c r="P61" s="7"/>
      <c r="R61" s="88">
        <f t="shared" si="4"/>
        <v>100</v>
      </c>
      <c r="S61" s="89">
        <f t="shared" si="5"/>
        <v>8.3333333333333339</v>
      </c>
      <c r="T61" s="89">
        <f t="shared" si="6"/>
        <v>7.6923076923076916</v>
      </c>
      <c r="U61" s="89"/>
      <c r="V61" s="89"/>
      <c r="W61" s="89"/>
      <c r="X61" s="72">
        <v>0.08</v>
      </c>
      <c r="Y61" s="64">
        <v>7.6923076923076916</v>
      </c>
      <c r="Z61" s="54">
        <v>100</v>
      </c>
      <c r="AA61" s="54">
        <v>8.3333333333333339</v>
      </c>
      <c r="AB61" s="135"/>
      <c r="AC61" s="128"/>
    </row>
    <row r="62" spans="1:29">
      <c r="A62" s="6"/>
      <c r="B62" s="6"/>
      <c r="C62" s="6"/>
      <c r="E62" s="7"/>
      <c r="F62" s="7"/>
      <c r="G62" s="7"/>
      <c r="H62" s="7"/>
      <c r="I62" s="7"/>
      <c r="J62" s="4"/>
      <c r="L62" s="13"/>
      <c r="M62" s="7"/>
      <c r="O62" s="7"/>
      <c r="P62" s="7"/>
      <c r="R62" s="88"/>
      <c r="S62" s="89"/>
      <c r="T62" s="89"/>
      <c r="U62" s="89"/>
      <c r="V62" s="89"/>
      <c r="W62" s="89"/>
      <c r="X62" s="77">
        <f>AVERAGE(X55:X61)</f>
        <v>0.1357142857142857</v>
      </c>
      <c r="Y62" s="77">
        <f>AVERAGE(Y55:Y61)</f>
        <v>12.282989194672277</v>
      </c>
      <c r="Z62" s="77">
        <f>AVERAGE(Z55:Z61)</f>
        <v>252.16450216450218</v>
      </c>
      <c r="AA62" s="77">
        <f>AVERAGE(AA55:AA61)</f>
        <v>16.604308390022677</v>
      </c>
      <c r="AB62" s="61"/>
      <c r="AC62" s="76"/>
    </row>
    <row r="63" spans="1:29">
      <c r="A63" s="6">
        <v>1510</v>
      </c>
      <c r="B63" s="6">
        <v>610300</v>
      </c>
      <c r="C63" s="6" t="s">
        <v>26</v>
      </c>
      <c r="D63" s="2">
        <f t="shared" si="23"/>
        <v>4.200442151805453E-2</v>
      </c>
      <c r="E63" s="7">
        <f>0.0057</f>
        <v>5.7000000000000002E-3</v>
      </c>
      <c r="F63" s="7">
        <v>0.13</v>
      </c>
      <c r="G63" s="7">
        <v>0</v>
      </c>
      <c r="H63" s="7">
        <f t="shared" si="21"/>
        <v>0.13</v>
      </c>
      <c r="I63" s="7">
        <f t="shared" si="3"/>
        <v>0</v>
      </c>
      <c r="J63" s="4">
        <f t="shared" si="22"/>
        <v>0.13570000000000002</v>
      </c>
      <c r="K63" s="2">
        <f t="shared" ref="K63:K101" si="24">L63/Q63</f>
        <v>1</v>
      </c>
      <c r="L63" s="11">
        <f>0.0066+0.0264</f>
        <v>3.3000000000000002E-2</v>
      </c>
      <c r="M63" s="7">
        <v>0</v>
      </c>
      <c r="N63" s="6">
        <v>0</v>
      </c>
      <c r="O63" s="7">
        <f>M63+N63</f>
        <v>0</v>
      </c>
      <c r="P63" s="7">
        <v>0</v>
      </c>
      <c r="Q63" s="95">
        <f t="shared" ref="Q63:Q101" si="25">L63+O63</f>
        <v>3.3000000000000002E-2</v>
      </c>
      <c r="R63" s="88">
        <f t="shared" si="4"/>
        <v>175.43859649122805</v>
      </c>
      <c r="S63" s="89">
        <f>1/H63</f>
        <v>7.6923076923076916</v>
      </c>
      <c r="T63" s="89">
        <f t="shared" si="6"/>
        <v>7.3691967575534258</v>
      </c>
      <c r="U63" s="89">
        <f t="shared" si="8"/>
        <v>30.303030303030301</v>
      </c>
      <c r="V63" s="89">
        <v>0</v>
      </c>
      <c r="W63" s="89">
        <f t="shared" si="7"/>
        <v>30.303030303030301</v>
      </c>
      <c r="X63" s="72">
        <v>1</v>
      </c>
      <c r="Y63" s="64">
        <v>30.303030303030301</v>
      </c>
      <c r="Z63" s="54">
        <v>30.303030303030301</v>
      </c>
      <c r="AA63" s="54">
        <v>0</v>
      </c>
      <c r="AB63" s="135">
        <v>21</v>
      </c>
      <c r="AC63" s="128">
        <v>0.05</v>
      </c>
    </row>
    <row r="64" spans="1:29">
      <c r="A64" s="6">
        <v>1521</v>
      </c>
      <c r="B64" s="6">
        <v>610300</v>
      </c>
      <c r="C64" s="6" t="s">
        <v>27</v>
      </c>
      <c r="D64" s="2">
        <f t="shared" si="23"/>
        <v>4.0511727078891252E-2</v>
      </c>
      <c r="E64" s="7">
        <f>0.0057</f>
        <v>5.7000000000000002E-3</v>
      </c>
      <c r="F64" s="7">
        <v>0.1</v>
      </c>
      <c r="G64" s="7">
        <v>3.5000000000000003E-2</v>
      </c>
      <c r="H64" s="7">
        <f t="shared" si="21"/>
        <v>0.13500000000000001</v>
      </c>
      <c r="I64" s="7">
        <f t="shared" si="3"/>
        <v>0.25925925925925924</v>
      </c>
      <c r="J64" s="4">
        <f t="shared" si="22"/>
        <v>0.14070000000000002</v>
      </c>
      <c r="K64" s="2">
        <f t="shared" si="24"/>
        <v>0.259504132231405</v>
      </c>
      <c r="L64" s="11">
        <f>0.01+0.01083+0.00272</f>
        <v>2.3550000000000001E-2</v>
      </c>
      <c r="M64" s="7">
        <v>2.7199999999999998E-2</v>
      </c>
      <c r="N64" s="7">
        <v>0.04</v>
      </c>
      <c r="O64" s="7">
        <f t="shared" ref="O64:O79" si="26">M64+N64</f>
        <v>6.7199999999999996E-2</v>
      </c>
      <c r="P64" s="7">
        <f t="shared" ref="P64:P101" si="27">N64/O64</f>
        <v>0.59523809523809523</v>
      </c>
      <c r="Q64" s="95">
        <f t="shared" si="25"/>
        <v>9.0749999999999997E-2</v>
      </c>
      <c r="R64" s="88">
        <f t="shared" si="4"/>
        <v>175.43859649122805</v>
      </c>
      <c r="S64" s="89">
        <f t="shared" si="5"/>
        <v>7.4074074074074066</v>
      </c>
      <c r="T64" s="89">
        <f t="shared" si="6"/>
        <v>7.1073205401563602</v>
      </c>
      <c r="U64" s="89">
        <f t="shared" si="8"/>
        <v>42.462845010615709</v>
      </c>
      <c r="V64" s="89">
        <f>1/O64</f>
        <v>14.880952380952381</v>
      </c>
      <c r="W64" s="89">
        <f t="shared" si="7"/>
        <v>11.019283746556475</v>
      </c>
      <c r="X64" s="72">
        <v>0.26</v>
      </c>
      <c r="Y64" s="64">
        <v>11.019283746556475</v>
      </c>
      <c r="Z64" s="54">
        <v>42.462845010615709</v>
      </c>
      <c r="AA64" s="54">
        <v>14.880952380952381</v>
      </c>
      <c r="AB64" s="135"/>
      <c r="AC64" s="128"/>
    </row>
    <row r="65" spans="1:29">
      <c r="A65" s="6"/>
      <c r="B65" s="6">
        <v>610300</v>
      </c>
      <c r="C65" s="6" t="s">
        <v>149</v>
      </c>
      <c r="D65" s="2">
        <f t="shared" si="23"/>
        <v>4.124457308248914E-2</v>
      </c>
      <c r="E65" s="7">
        <f>(E64+E66)/2</f>
        <v>5.7000000000000002E-3</v>
      </c>
      <c r="F65" s="7">
        <f>(F64+F66)/2</f>
        <v>0.1</v>
      </c>
      <c r="G65" s="7">
        <f>(G64+G66)/2</f>
        <v>3.2500000000000001E-2</v>
      </c>
      <c r="H65" s="7">
        <f t="shared" si="21"/>
        <v>0.13250000000000001</v>
      </c>
      <c r="I65" s="7">
        <f t="shared" si="3"/>
        <v>0.24528301886792453</v>
      </c>
      <c r="J65" s="4">
        <f t="shared" si="22"/>
        <v>0.13820000000000002</v>
      </c>
      <c r="K65" s="2">
        <f t="shared" si="24"/>
        <v>0.13573407202216067</v>
      </c>
      <c r="L65" s="11">
        <f>(L64+L66)/2</f>
        <v>1.4700000000000001E-2</v>
      </c>
      <c r="M65" s="7">
        <f>(M64+M66)/2</f>
        <v>6.3600000000000004E-2</v>
      </c>
      <c r="N65" s="7">
        <f>(N64+N66)/2</f>
        <v>0.03</v>
      </c>
      <c r="O65" s="7">
        <f t="shared" si="26"/>
        <v>9.3600000000000003E-2</v>
      </c>
      <c r="P65" s="7">
        <f t="shared" si="27"/>
        <v>0.32051282051282048</v>
      </c>
      <c r="Q65" s="95">
        <f t="shared" si="25"/>
        <v>0.10830000000000001</v>
      </c>
      <c r="R65" s="88">
        <f t="shared" si="4"/>
        <v>175.43859649122805</v>
      </c>
      <c r="S65" s="89">
        <f t="shared" si="5"/>
        <v>7.5471698113207539</v>
      </c>
      <c r="T65" s="89">
        <f t="shared" si="6"/>
        <v>7.2358900144717788</v>
      </c>
      <c r="U65" s="89">
        <f t="shared" si="8"/>
        <v>68.027210884353735</v>
      </c>
      <c r="V65" s="89">
        <f>1/O65</f>
        <v>10.683760683760683</v>
      </c>
      <c r="W65" s="89">
        <f t="shared" si="7"/>
        <v>9.2336103416435815</v>
      </c>
      <c r="X65" s="72">
        <v>0.14000000000000001</v>
      </c>
      <c r="Y65" s="64">
        <v>9.2336103416435815</v>
      </c>
      <c r="Z65" s="54">
        <v>68.027210884353735</v>
      </c>
      <c r="AA65" s="54">
        <v>10.683760683760683</v>
      </c>
      <c r="AB65" s="135"/>
      <c r="AC65" s="128"/>
    </row>
    <row r="66" spans="1:29">
      <c r="A66" s="6">
        <v>1522</v>
      </c>
      <c r="B66" s="6">
        <v>610300</v>
      </c>
      <c r="C66" s="6" t="s">
        <v>28</v>
      </c>
      <c r="D66" s="2">
        <f t="shared" si="23"/>
        <v>4.200442151805453E-2</v>
      </c>
      <c r="E66" s="7">
        <v>5.7000000000000002E-3</v>
      </c>
      <c r="F66" s="7">
        <v>0.1</v>
      </c>
      <c r="G66" s="7">
        <v>0.03</v>
      </c>
      <c r="H66" s="7">
        <f t="shared" si="21"/>
        <v>0.13</v>
      </c>
      <c r="I66" s="7">
        <f t="shared" si="3"/>
        <v>0.23076923076923075</v>
      </c>
      <c r="J66" s="4">
        <f t="shared" si="22"/>
        <v>0.13570000000000002</v>
      </c>
      <c r="K66" s="2">
        <f t="shared" si="24"/>
        <v>4.6483909415971386E-2</v>
      </c>
      <c r="L66" s="11">
        <f>0.0015+0.0012+0.003+0.00015</f>
        <v>5.8500000000000002E-3</v>
      </c>
      <c r="M66" s="7">
        <v>0.1</v>
      </c>
      <c r="N66" s="7">
        <v>0.02</v>
      </c>
      <c r="O66" s="7">
        <f t="shared" si="26"/>
        <v>0.12000000000000001</v>
      </c>
      <c r="P66" s="7">
        <f t="shared" si="27"/>
        <v>0.16666666666666666</v>
      </c>
      <c r="Q66" s="95">
        <f t="shared" si="25"/>
        <v>0.12585000000000002</v>
      </c>
      <c r="R66" s="88">
        <f t="shared" si="4"/>
        <v>175.43859649122805</v>
      </c>
      <c r="S66" s="89">
        <f t="shared" si="5"/>
        <v>7.6923076923076916</v>
      </c>
      <c r="T66" s="89">
        <f t="shared" si="6"/>
        <v>7.3691967575534258</v>
      </c>
      <c r="U66" s="89">
        <f t="shared" si="8"/>
        <v>170.94017094017093</v>
      </c>
      <c r="V66" s="89">
        <f>1/O66</f>
        <v>8.3333333333333321</v>
      </c>
      <c r="W66" s="89">
        <f t="shared" si="7"/>
        <v>7.9459674215335703</v>
      </c>
      <c r="X66" s="72">
        <v>0.05</v>
      </c>
      <c r="Y66" s="64">
        <v>7.9459674215335703</v>
      </c>
      <c r="Z66" s="54">
        <v>170.94017094017093</v>
      </c>
      <c r="AA66" s="54">
        <v>8.3333333333333321</v>
      </c>
      <c r="AB66" s="135"/>
      <c r="AC66" s="128"/>
    </row>
    <row r="67" spans="1:29">
      <c r="A67" s="6"/>
      <c r="B67" s="6">
        <v>610300</v>
      </c>
      <c r="C67" s="6" t="s">
        <v>108</v>
      </c>
      <c r="D67" s="2">
        <f t="shared" si="23"/>
        <v>4.0511727078891252E-2</v>
      </c>
      <c r="E67" s="7">
        <v>5.7000000000000002E-3</v>
      </c>
      <c r="F67" s="7">
        <v>0.1</v>
      </c>
      <c r="G67" s="7">
        <v>3.5000000000000003E-2</v>
      </c>
      <c r="H67" s="7">
        <f t="shared" si="21"/>
        <v>0.13500000000000001</v>
      </c>
      <c r="I67" s="7">
        <f t="shared" si="3"/>
        <v>0.25925925925925924</v>
      </c>
      <c r="J67" s="4">
        <f t="shared" si="22"/>
        <v>0.14070000000000002</v>
      </c>
      <c r="K67" s="2">
        <f t="shared" si="24"/>
        <v>0.20336391437308871</v>
      </c>
      <c r="L67" s="11">
        <f>0.007+0.00504+0.00126</f>
        <v>1.3300000000000001E-2</v>
      </c>
      <c r="M67" s="7">
        <v>2.2100000000000002E-2</v>
      </c>
      <c r="N67" s="7">
        <v>0.03</v>
      </c>
      <c r="O67" s="7">
        <f t="shared" si="26"/>
        <v>5.21E-2</v>
      </c>
      <c r="P67" s="7">
        <f t="shared" si="27"/>
        <v>0.57581573896353166</v>
      </c>
      <c r="Q67" s="95">
        <f t="shared" si="25"/>
        <v>6.54E-2</v>
      </c>
      <c r="R67" s="88">
        <f t="shared" si="4"/>
        <v>175.43859649122805</v>
      </c>
      <c r="S67" s="89">
        <f t="shared" si="5"/>
        <v>7.4074074074074066</v>
      </c>
      <c r="T67" s="89">
        <f t="shared" si="6"/>
        <v>7.1073205401563602</v>
      </c>
      <c r="U67" s="89">
        <f t="shared" si="8"/>
        <v>75.187969924812023</v>
      </c>
      <c r="V67" s="89">
        <f>1/O67</f>
        <v>19.193857965451055</v>
      </c>
      <c r="W67" s="89">
        <f t="shared" si="7"/>
        <v>15.290519877675841</v>
      </c>
      <c r="X67" s="72">
        <v>0.2</v>
      </c>
      <c r="Y67" s="64">
        <v>15.290519877675841</v>
      </c>
      <c r="Z67" s="54">
        <v>75.187969924812023</v>
      </c>
      <c r="AA67" s="54">
        <v>19.193857965451055</v>
      </c>
      <c r="AB67" s="135"/>
      <c r="AC67" s="128"/>
    </row>
    <row r="68" spans="1:29">
      <c r="A68" s="6"/>
      <c r="B68" s="6">
        <v>610300</v>
      </c>
      <c r="C68" s="6" t="s">
        <v>150</v>
      </c>
      <c r="D68" s="2">
        <f t="shared" si="23"/>
        <v>4.124457308248914E-2</v>
      </c>
      <c r="E68" s="7">
        <f>(E67+E69)/2</f>
        <v>5.7000000000000002E-3</v>
      </c>
      <c r="F68" s="7">
        <f>(F67+F69)/2</f>
        <v>0.1</v>
      </c>
      <c r="G68" s="7">
        <f>(G67+G69)/2</f>
        <v>3.2500000000000001E-2</v>
      </c>
      <c r="H68" s="7">
        <f t="shared" si="21"/>
        <v>0.13250000000000001</v>
      </c>
      <c r="I68" s="7">
        <f t="shared" si="3"/>
        <v>0.24528301886792453</v>
      </c>
      <c r="J68" s="4">
        <f t="shared" si="22"/>
        <v>0.13820000000000002</v>
      </c>
      <c r="K68" s="2">
        <f t="shared" si="24"/>
        <v>7.8616352201257858E-2</v>
      </c>
      <c r="L68" s="11">
        <f>(L67+L69)/2</f>
        <v>7.5000000000000006E-3</v>
      </c>
      <c r="M68" s="7">
        <f>(M67+M69)/2</f>
        <v>7.2050000000000003E-2</v>
      </c>
      <c r="N68" s="7">
        <f>(N67+N69)/2</f>
        <v>1.585E-2</v>
      </c>
      <c r="O68" s="7">
        <f t="shared" si="26"/>
        <v>8.7900000000000006E-2</v>
      </c>
      <c r="P68" s="7">
        <f t="shared" si="27"/>
        <v>0.18031854379977244</v>
      </c>
      <c r="Q68" s="95">
        <f t="shared" si="25"/>
        <v>9.5400000000000013E-2</v>
      </c>
      <c r="R68" s="88">
        <f t="shared" si="4"/>
        <v>175.43859649122805</v>
      </c>
      <c r="S68" s="89">
        <f t="shared" si="5"/>
        <v>7.5471698113207539</v>
      </c>
      <c r="T68" s="89">
        <f t="shared" si="6"/>
        <v>7.2358900144717788</v>
      </c>
      <c r="U68" s="89">
        <f t="shared" si="8"/>
        <v>133.33333333333331</v>
      </c>
      <c r="V68" s="89">
        <f>1/O68</f>
        <v>11.376564277588168</v>
      </c>
      <c r="W68" s="89">
        <f t="shared" si="7"/>
        <v>10.482180293501047</v>
      </c>
      <c r="X68" s="72">
        <v>0.08</v>
      </c>
      <c r="Y68" s="64">
        <v>10.482180293501047</v>
      </c>
      <c r="Z68" s="54">
        <v>133.33333333333331</v>
      </c>
      <c r="AA68" s="54">
        <v>11.376564277588168</v>
      </c>
      <c r="AB68" s="135"/>
      <c r="AC68" s="128"/>
    </row>
    <row r="69" spans="1:29">
      <c r="A69" s="8"/>
      <c r="B69" s="6">
        <v>610300</v>
      </c>
      <c r="C69" s="8" t="s">
        <v>109</v>
      </c>
      <c r="D69" s="2">
        <f t="shared" si="23"/>
        <v>4.200442151805453E-2</v>
      </c>
      <c r="E69" s="7">
        <v>5.7000000000000002E-3</v>
      </c>
      <c r="F69" s="7">
        <v>0.1</v>
      </c>
      <c r="G69" s="7">
        <v>0.03</v>
      </c>
      <c r="H69" s="7">
        <f t="shared" si="21"/>
        <v>0.13</v>
      </c>
      <c r="I69" s="7">
        <f t="shared" ref="I69:I141" si="28">G69/H69</f>
        <v>0.23076923076923075</v>
      </c>
      <c r="J69" s="4">
        <f t="shared" si="22"/>
        <v>0.13570000000000002</v>
      </c>
      <c r="K69" s="2">
        <f t="shared" si="24"/>
        <v>1.3556618819776716E-2</v>
      </c>
      <c r="L69" s="12">
        <f>0.00015+0.0004+0.00015+0.001</f>
        <v>1.7000000000000001E-3</v>
      </c>
      <c r="M69" s="10">
        <v>0.122</v>
      </c>
      <c r="N69" s="7">
        <v>1.6999999999999999E-3</v>
      </c>
      <c r="O69" s="7">
        <f t="shared" si="26"/>
        <v>0.12369999999999999</v>
      </c>
      <c r="P69" s="7">
        <f t="shared" si="27"/>
        <v>1.3742926434923202E-2</v>
      </c>
      <c r="Q69" s="95">
        <f t="shared" si="25"/>
        <v>0.12539999999999998</v>
      </c>
      <c r="R69" s="88">
        <f t="shared" ref="R69:R141" si="29">1/E69</f>
        <v>175.43859649122805</v>
      </c>
      <c r="S69" s="89">
        <f t="shared" ref="S69:S141" si="30">1/H69</f>
        <v>7.6923076923076916</v>
      </c>
      <c r="T69" s="89">
        <f t="shared" ref="T69:T141" si="31">1/J69</f>
        <v>7.3691967575534258</v>
      </c>
      <c r="U69" s="89">
        <f t="shared" si="8"/>
        <v>588.23529411764707</v>
      </c>
      <c r="V69" s="89">
        <f t="shared" ref="V69:V133" si="32">1/O69</f>
        <v>8.0840743734842366</v>
      </c>
      <c r="W69" s="89">
        <f t="shared" ref="W69:W133" si="33">1/Q69</f>
        <v>7.9744816586921861</v>
      </c>
      <c r="X69" s="72">
        <v>0.01</v>
      </c>
      <c r="Y69" s="64">
        <v>7.9744816586921861</v>
      </c>
      <c r="Z69" s="54">
        <v>588.23529411764707</v>
      </c>
      <c r="AA69" s="54">
        <v>8.0840743734842366</v>
      </c>
      <c r="AB69" s="135"/>
      <c r="AC69" s="128"/>
    </row>
    <row r="70" spans="1:29">
      <c r="A70" s="8"/>
      <c r="B70" s="6"/>
      <c r="C70" s="8"/>
      <c r="E70" s="7"/>
      <c r="F70" s="7"/>
      <c r="G70" s="7"/>
      <c r="H70" s="7"/>
      <c r="I70" s="7"/>
      <c r="J70" s="4"/>
      <c r="L70" s="12"/>
      <c r="M70" s="10"/>
      <c r="N70" s="7"/>
      <c r="O70" s="7"/>
      <c r="P70" s="7"/>
      <c r="Q70" s="95"/>
      <c r="R70" s="88"/>
      <c r="S70" s="89"/>
      <c r="T70" s="89"/>
      <c r="U70" s="89"/>
      <c r="V70" s="89"/>
      <c r="W70" s="89"/>
      <c r="X70" s="77">
        <f>AVERAGE(X63:X69)</f>
        <v>0.24857142857142858</v>
      </c>
      <c r="Y70" s="77">
        <f>AVERAGE(Y63:Y69)</f>
        <v>13.178439091804714</v>
      </c>
      <c r="Z70" s="77">
        <f>AVERAGE(Z63:Z69)</f>
        <v>158.35569350199472</v>
      </c>
      <c r="AA70" s="77">
        <f>AVERAGE(AA63:AA69)</f>
        <v>10.364649002081409</v>
      </c>
      <c r="AB70" s="61"/>
      <c r="AC70" s="76"/>
    </row>
    <row r="71" spans="1:29">
      <c r="A71" s="6">
        <v>1610</v>
      </c>
      <c r="B71" s="6"/>
      <c r="C71" s="6" t="s">
        <v>29</v>
      </c>
      <c r="D71" s="2">
        <f t="shared" si="23"/>
        <v>4.200442151805453E-2</v>
      </c>
      <c r="E71" s="7">
        <f t="shared" ref="E71:F77" si="34">2*E63</f>
        <v>1.14E-2</v>
      </c>
      <c r="F71" s="7">
        <f t="shared" si="34"/>
        <v>0.26</v>
      </c>
      <c r="G71" s="7">
        <f>2*G63</f>
        <v>0</v>
      </c>
      <c r="H71" s="7">
        <f t="shared" si="21"/>
        <v>0.26</v>
      </c>
      <c r="I71" s="7">
        <f t="shared" si="28"/>
        <v>0</v>
      </c>
      <c r="J71" s="4">
        <f t="shared" si="22"/>
        <v>0.27140000000000003</v>
      </c>
      <c r="K71" s="2">
        <f t="shared" si="24"/>
        <v>1</v>
      </c>
      <c r="L71" s="11">
        <f>L63/2</f>
        <v>1.6500000000000001E-2</v>
      </c>
      <c r="M71" s="11">
        <f>M63/2</f>
        <v>0</v>
      </c>
      <c r="N71" s="11">
        <f>N63/2</f>
        <v>0</v>
      </c>
      <c r="O71" s="7">
        <f t="shared" si="26"/>
        <v>0</v>
      </c>
      <c r="P71" s="7">
        <v>0</v>
      </c>
      <c r="Q71" s="95">
        <f t="shared" si="25"/>
        <v>1.6500000000000001E-2</v>
      </c>
      <c r="R71" s="88">
        <f t="shared" si="29"/>
        <v>87.719298245614027</v>
      </c>
      <c r="S71" s="89">
        <f t="shared" si="30"/>
        <v>3.8461538461538458</v>
      </c>
      <c r="T71" s="89">
        <f t="shared" si="31"/>
        <v>3.6845983787767129</v>
      </c>
      <c r="U71" s="89">
        <f>1/L71+Y139</f>
        <v>93.939393939393938</v>
      </c>
      <c r="V71" s="89">
        <v>0</v>
      </c>
      <c r="W71" s="89">
        <f t="shared" si="33"/>
        <v>60.606060606060602</v>
      </c>
      <c r="X71" s="72">
        <v>1</v>
      </c>
      <c r="Y71" s="64">
        <v>60.606060606060602</v>
      </c>
      <c r="Z71" s="54">
        <v>93.939393939393938</v>
      </c>
      <c r="AA71" s="54">
        <v>0</v>
      </c>
      <c r="AB71" s="135">
        <v>71</v>
      </c>
      <c r="AC71" s="128">
        <v>0.04</v>
      </c>
    </row>
    <row r="72" spans="1:29">
      <c r="A72" s="6">
        <v>1621</v>
      </c>
      <c r="B72" s="6"/>
      <c r="C72" s="6" t="s">
        <v>30</v>
      </c>
      <c r="D72" s="2">
        <f t="shared" si="23"/>
        <v>4.0511727078891252E-2</v>
      </c>
      <c r="E72" s="7">
        <f t="shared" si="34"/>
        <v>1.14E-2</v>
      </c>
      <c r="F72" s="7">
        <f t="shared" si="34"/>
        <v>0.2</v>
      </c>
      <c r="G72" s="7">
        <f t="shared" ref="G72:G77" si="35">2*G64</f>
        <v>7.0000000000000007E-2</v>
      </c>
      <c r="H72" s="7">
        <f t="shared" si="21"/>
        <v>0.27</v>
      </c>
      <c r="I72" s="7">
        <f t="shared" si="28"/>
        <v>0.25925925925925924</v>
      </c>
      <c r="J72" s="4">
        <f t="shared" si="22"/>
        <v>0.28140000000000004</v>
      </c>
      <c r="K72" s="2">
        <f t="shared" si="24"/>
        <v>0.259504132231405</v>
      </c>
      <c r="L72" s="11">
        <f t="shared" ref="L72:N77" si="36">L64/2</f>
        <v>1.1775000000000001E-2</v>
      </c>
      <c r="M72" s="11">
        <f t="shared" si="36"/>
        <v>1.3599999999999999E-2</v>
      </c>
      <c r="N72" s="11">
        <f t="shared" si="36"/>
        <v>0.02</v>
      </c>
      <c r="O72" s="7">
        <f>M72+N72</f>
        <v>3.3599999999999998E-2</v>
      </c>
      <c r="P72" s="7">
        <f t="shared" si="27"/>
        <v>0.59523809523809523</v>
      </c>
      <c r="Q72" s="95">
        <f t="shared" si="25"/>
        <v>4.5374999999999999E-2</v>
      </c>
      <c r="R72" s="88">
        <f t="shared" si="29"/>
        <v>87.719298245614027</v>
      </c>
      <c r="S72" s="89">
        <f t="shared" si="30"/>
        <v>3.7037037037037033</v>
      </c>
      <c r="T72" s="89">
        <f t="shared" si="31"/>
        <v>3.5536602700781801</v>
      </c>
      <c r="U72" s="89">
        <f t="shared" si="8"/>
        <v>84.925690021231418</v>
      </c>
      <c r="V72" s="89">
        <f>1/O72</f>
        <v>29.761904761904763</v>
      </c>
      <c r="W72" s="89">
        <f t="shared" si="33"/>
        <v>22.03856749311295</v>
      </c>
      <c r="X72" s="72">
        <v>0.26</v>
      </c>
      <c r="Y72" s="64">
        <v>22.03856749311295</v>
      </c>
      <c r="Z72" s="54">
        <v>84.925690021231418</v>
      </c>
      <c r="AA72" s="54">
        <v>29.761904761904763</v>
      </c>
      <c r="AB72" s="135"/>
      <c r="AC72" s="128"/>
    </row>
    <row r="73" spans="1:29">
      <c r="A73" s="6"/>
      <c r="B73" s="6"/>
      <c r="C73" s="6" t="s">
        <v>151</v>
      </c>
      <c r="D73" s="2">
        <f t="shared" si="23"/>
        <v>4.124457308248914E-2</v>
      </c>
      <c r="E73" s="7">
        <f t="shared" si="34"/>
        <v>1.14E-2</v>
      </c>
      <c r="F73" s="7">
        <f t="shared" si="34"/>
        <v>0.2</v>
      </c>
      <c r="G73" s="7">
        <f t="shared" si="35"/>
        <v>6.5000000000000002E-2</v>
      </c>
      <c r="H73" s="7">
        <f t="shared" si="21"/>
        <v>0.26500000000000001</v>
      </c>
      <c r="I73" s="7">
        <f t="shared" si="28"/>
        <v>0.24528301886792453</v>
      </c>
      <c r="J73" s="4">
        <f t="shared" si="22"/>
        <v>0.27640000000000003</v>
      </c>
      <c r="K73" s="2">
        <f t="shared" si="24"/>
        <v>0.13573407202216067</v>
      </c>
      <c r="L73" s="11">
        <f t="shared" si="36"/>
        <v>7.3500000000000006E-3</v>
      </c>
      <c r="M73" s="11">
        <f t="shared" si="36"/>
        <v>3.1800000000000002E-2</v>
      </c>
      <c r="N73" s="11">
        <f t="shared" si="36"/>
        <v>1.4999999999999999E-2</v>
      </c>
      <c r="O73" s="7">
        <f t="shared" si="26"/>
        <v>4.6800000000000001E-2</v>
      </c>
      <c r="P73" s="7">
        <f t="shared" si="27"/>
        <v>0.32051282051282048</v>
      </c>
      <c r="Q73" s="95">
        <f t="shared" si="25"/>
        <v>5.4150000000000004E-2</v>
      </c>
      <c r="R73" s="88">
        <f t="shared" si="29"/>
        <v>87.719298245614027</v>
      </c>
      <c r="S73" s="89">
        <f t="shared" si="30"/>
        <v>3.773584905660377</v>
      </c>
      <c r="T73" s="89">
        <f t="shared" si="31"/>
        <v>3.6179450072358894</v>
      </c>
      <c r="U73" s="89">
        <f t="shared" si="8"/>
        <v>136.05442176870747</v>
      </c>
      <c r="V73" s="89">
        <f t="shared" si="32"/>
        <v>21.367521367521366</v>
      </c>
      <c r="W73" s="89">
        <f t="shared" si="33"/>
        <v>18.467220683287163</v>
      </c>
      <c r="X73" s="72">
        <v>0.14000000000000001</v>
      </c>
      <c r="Y73" s="64">
        <v>18.467220683287163</v>
      </c>
      <c r="Z73" s="54">
        <v>136.05442176870747</v>
      </c>
      <c r="AA73" s="54">
        <v>21.367521367521366</v>
      </c>
      <c r="AB73" s="135"/>
      <c r="AC73" s="128"/>
    </row>
    <row r="74" spans="1:29">
      <c r="A74" s="6">
        <v>1622</v>
      </c>
      <c r="B74" s="6"/>
      <c r="C74" s="6" t="s">
        <v>31</v>
      </c>
      <c r="D74" s="2">
        <f t="shared" si="23"/>
        <v>4.200442151805453E-2</v>
      </c>
      <c r="E74" s="7">
        <f t="shared" si="34"/>
        <v>1.14E-2</v>
      </c>
      <c r="F74" s="7">
        <f t="shared" si="34"/>
        <v>0.2</v>
      </c>
      <c r="G74" s="7">
        <f t="shared" si="35"/>
        <v>0.06</v>
      </c>
      <c r="H74" s="7">
        <f t="shared" si="21"/>
        <v>0.26</v>
      </c>
      <c r="I74" s="7">
        <f t="shared" si="28"/>
        <v>0.23076923076923075</v>
      </c>
      <c r="J74" s="4">
        <f t="shared" si="22"/>
        <v>0.27140000000000003</v>
      </c>
      <c r="K74" s="2">
        <f t="shared" si="24"/>
        <v>4.6483909415971386E-2</v>
      </c>
      <c r="L74" s="11">
        <f t="shared" si="36"/>
        <v>2.9250000000000001E-3</v>
      </c>
      <c r="M74" s="11">
        <f t="shared" si="36"/>
        <v>0.05</v>
      </c>
      <c r="N74" s="11">
        <f t="shared" si="36"/>
        <v>0.01</v>
      </c>
      <c r="O74" s="7">
        <f t="shared" si="26"/>
        <v>6.0000000000000005E-2</v>
      </c>
      <c r="P74" s="7">
        <f t="shared" si="27"/>
        <v>0.16666666666666666</v>
      </c>
      <c r="Q74" s="95">
        <f t="shared" si="25"/>
        <v>6.2925000000000009E-2</v>
      </c>
      <c r="R74" s="88">
        <f t="shared" si="29"/>
        <v>87.719298245614027</v>
      </c>
      <c r="S74" s="89">
        <f t="shared" si="30"/>
        <v>3.8461538461538458</v>
      </c>
      <c r="T74" s="89">
        <f t="shared" si="31"/>
        <v>3.6845983787767129</v>
      </c>
      <c r="U74" s="89">
        <f t="shared" si="8"/>
        <v>341.88034188034186</v>
      </c>
      <c r="V74" s="89">
        <f t="shared" si="32"/>
        <v>16.666666666666664</v>
      </c>
      <c r="W74" s="89">
        <f t="shared" si="33"/>
        <v>15.891934843067141</v>
      </c>
      <c r="X74" s="72">
        <v>0.05</v>
      </c>
      <c r="Y74" s="64">
        <v>15.891934843067141</v>
      </c>
      <c r="Z74" s="54">
        <v>341.88034188034186</v>
      </c>
      <c r="AA74" s="54">
        <v>16.666666666666664</v>
      </c>
      <c r="AB74" s="135"/>
      <c r="AC74" s="128"/>
    </row>
    <row r="75" spans="1:29">
      <c r="A75" s="6"/>
      <c r="B75" s="6"/>
      <c r="C75" s="6" t="s">
        <v>175</v>
      </c>
      <c r="D75" s="2">
        <f t="shared" si="23"/>
        <v>4.0511727078891252E-2</v>
      </c>
      <c r="E75" s="7">
        <f t="shared" si="34"/>
        <v>1.14E-2</v>
      </c>
      <c r="F75" s="7">
        <f t="shared" si="34"/>
        <v>0.2</v>
      </c>
      <c r="G75" s="7">
        <f t="shared" si="35"/>
        <v>7.0000000000000007E-2</v>
      </c>
      <c r="H75" s="7">
        <f t="shared" si="21"/>
        <v>0.27</v>
      </c>
      <c r="I75" s="7">
        <f t="shared" si="28"/>
        <v>0.25925925925925924</v>
      </c>
      <c r="J75" s="4">
        <f t="shared" si="22"/>
        <v>0.28140000000000004</v>
      </c>
      <c r="K75" s="2">
        <f t="shared" si="24"/>
        <v>0.20336391437308871</v>
      </c>
      <c r="L75" s="11">
        <f t="shared" si="36"/>
        <v>6.6500000000000005E-3</v>
      </c>
      <c r="M75" s="11">
        <f t="shared" si="36"/>
        <v>1.1050000000000001E-2</v>
      </c>
      <c r="N75" s="11">
        <f t="shared" si="36"/>
        <v>1.4999999999999999E-2</v>
      </c>
      <c r="O75" s="7">
        <f t="shared" si="26"/>
        <v>2.605E-2</v>
      </c>
      <c r="P75" s="7">
        <f t="shared" si="27"/>
        <v>0.57581573896353166</v>
      </c>
      <c r="Q75" s="95">
        <f t="shared" si="25"/>
        <v>3.27E-2</v>
      </c>
      <c r="R75" s="88">
        <f t="shared" si="29"/>
        <v>87.719298245614027</v>
      </c>
      <c r="S75" s="89">
        <f t="shared" si="30"/>
        <v>3.7037037037037033</v>
      </c>
      <c r="T75" s="89">
        <f t="shared" si="31"/>
        <v>3.5536602700781801</v>
      </c>
      <c r="U75" s="89">
        <f t="shared" si="8"/>
        <v>150.37593984962405</v>
      </c>
      <c r="V75" s="89">
        <f t="shared" si="32"/>
        <v>38.387715930902111</v>
      </c>
      <c r="W75" s="89">
        <f t="shared" si="33"/>
        <v>30.581039755351682</v>
      </c>
      <c r="X75" s="72">
        <v>0.2</v>
      </c>
      <c r="Y75" s="64">
        <v>30.581039755351682</v>
      </c>
      <c r="Z75" s="54">
        <v>150.37593984962405</v>
      </c>
      <c r="AA75" s="54">
        <v>38.387715930902111</v>
      </c>
      <c r="AB75" s="135"/>
      <c r="AC75" s="128"/>
    </row>
    <row r="76" spans="1:29">
      <c r="A76" s="6"/>
      <c r="B76" s="6"/>
      <c r="C76" s="6" t="s">
        <v>176</v>
      </c>
      <c r="D76" s="2">
        <f t="shared" si="23"/>
        <v>4.124457308248914E-2</v>
      </c>
      <c r="E76" s="7">
        <f t="shared" si="34"/>
        <v>1.14E-2</v>
      </c>
      <c r="F76" s="7">
        <f t="shared" si="34"/>
        <v>0.2</v>
      </c>
      <c r="G76" s="7">
        <f t="shared" si="35"/>
        <v>6.5000000000000002E-2</v>
      </c>
      <c r="H76" s="7">
        <f t="shared" si="21"/>
        <v>0.26500000000000001</v>
      </c>
      <c r="I76" s="7">
        <f t="shared" si="28"/>
        <v>0.24528301886792453</v>
      </c>
      <c r="J76" s="4">
        <f t="shared" si="22"/>
        <v>0.27640000000000003</v>
      </c>
      <c r="K76" s="2">
        <f t="shared" si="24"/>
        <v>7.8616352201257858E-2</v>
      </c>
      <c r="L76" s="11">
        <f t="shared" si="36"/>
        <v>3.7500000000000003E-3</v>
      </c>
      <c r="M76" s="11">
        <f t="shared" si="36"/>
        <v>3.6025000000000001E-2</v>
      </c>
      <c r="N76" s="11">
        <f t="shared" si="36"/>
        <v>7.9249999999999998E-3</v>
      </c>
      <c r="O76" s="7">
        <f t="shared" si="26"/>
        <v>4.3950000000000003E-2</v>
      </c>
      <c r="P76" s="7">
        <f t="shared" si="27"/>
        <v>0.18031854379977244</v>
      </c>
      <c r="Q76" s="95">
        <f t="shared" si="25"/>
        <v>4.7700000000000006E-2</v>
      </c>
      <c r="R76" s="88">
        <f t="shared" si="29"/>
        <v>87.719298245614027</v>
      </c>
      <c r="S76" s="89">
        <f t="shared" si="30"/>
        <v>3.773584905660377</v>
      </c>
      <c r="T76" s="89">
        <f t="shared" si="31"/>
        <v>3.6179450072358894</v>
      </c>
      <c r="U76" s="89">
        <f t="shared" si="8"/>
        <v>266.66666666666663</v>
      </c>
      <c r="V76" s="89">
        <f t="shared" si="32"/>
        <v>22.753128555176335</v>
      </c>
      <c r="W76" s="89">
        <f t="shared" si="33"/>
        <v>20.964360587002094</v>
      </c>
      <c r="X76" s="72">
        <v>0.08</v>
      </c>
      <c r="Y76" s="64">
        <v>20.964360587002094</v>
      </c>
      <c r="Z76" s="54">
        <v>266.66666666666663</v>
      </c>
      <c r="AA76" s="54">
        <v>22.753128555176335</v>
      </c>
      <c r="AB76" s="135"/>
      <c r="AC76" s="128"/>
    </row>
    <row r="77" spans="1:29" ht="16" thickBot="1">
      <c r="A77" s="6"/>
      <c r="B77" s="6"/>
      <c r="C77" s="6" t="s">
        <v>177</v>
      </c>
      <c r="D77" s="2">
        <f t="shared" si="23"/>
        <v>4.200442151805453E-2</v>
      </c>
      <c r="E77" s="7">
        <f t="shared" si="34"/>
        <v>1.14E-2</v>
      </c>
      <c r="F77" s="7">
        <f t="shared" si="34"/>
        <v>0.2</v>
      </c>
      <c r="G77" s="7">
        <f t="shared" si="35"/>
        <v>0.06</v>
      </c>
      <c r="H77" s="7">
        <f t="shared" si="21"/>
        <v>0.26</v>
      </c>
      <c r="I77" s="7">
        <f t="shared" si="28"/>
        <v>0.23076923076923075</v>
      </c>
      <c r="J77" s="4">
        <f t="shared" si="22"/>
        <v>0.27140000000000003</v>
      </c>
      <c r="K77" s="2">
        <f t="shared" si="24"/>
        <v>1.3556618819776716E-2</v>
      </c>
      <c r="L77" s="11">
        <f t="shared" si="36"/>
        <v>8.5000000000000006E-4</v>
      </c>
      <c r="M77" s="11">
        <f t="shared" si="36"/>
        <v>6.0999999999999999E-2</v>
      </c>
      <c r="N77" s="11">
        <f t="shared" si="36"/>
        <v>8.4999999999999995E-4</v>
      </c>
      <c r="O77" s="7">
        <f t="shared" si="26"/>
        <v>6.1849999999999995E-2</v>
      </c>
      <c r="P77" s="7">
        <f t="shared" si="27"/>
        <v>1.3742926434923202E-2</v>
      </c>
      <c r="Q77" s="95">
        <f t="shared" si="25"/>
        <v>6.2699999999999992E-2</v>
      </c>
      <c r="R77" s="88">
        <f t="shared" si="29"/>
        <v>87.719298245614027</v>
      </c>
      <c r="S77" s="89">
        <f t="shared" si="30"/>
        <v>3.8461538461538458</v>
      </c>
      <c r="T77" s="89">
        <f t="shared" si="31"/>
        <v>3.6845983787767129</v>
      </c>
      <c r="U77" s="89">
        <f t="shared" ref="U77:U101" si="37">1/L77</f>
        <v>1176.4705882352941</v>
      </c>
      <c r="V77" s="89">
        <f t="shared" si="32"/>
        <v>16.168148746968473</v>
      </c>
      <c r="W77" s="89">
        <f t="shared" si="33"/>
        <v>15.948963317384372</v>
      </c>
      <c r="X77" s="72">
        <v>0.01</v>
      </c>
      <c r="Y77" s="64">
        <v>15.948963317384372</v>
      </c>
      <c r="Z77" s="54">
        <v>1176.4705882352941</v>
      </c>
      <c r="AA77" s="54">
        <v>16.168148746968473</v>
      </c>
      <c r="AB77" s="136"/>
      <c r="AC77" s="129"/>
    </row>
    <row r="78" spans="1:29" ht="16" thickBot="1">
      <c r="A78" s="6"/>
      <c r="B78" s="6"/>
      <c r="C78" s="6"/>
      <c r="E78" s="7"/>
      <c r="F78" s="7"/>
      <c r="G78" s="7"/>
      <c r="H78" s="7"/>
      <c r="I78" s="7"/>
      <c r="J78" s="4"/>
      <c r="L78" s="11"/>
      <c r="M78" s="11"/>
      <c r="N78" s="11"/>
      <c r="O78" s="7"/>
      <c r="P78" s="7"/>
      <c r="Q78" s="95"/>
      <c r="R78" s="88"/>
      <c r="S78" s="89"/>
      <c r="T78" s="89"/>
      <c r="U78" s="89"/>
      <c r="V78" s="89"/>
      <c r="W78" s="89"/>
      <c r="X78" s="77">
        <f>AVERAGE(X71:X77)</f>
        <v>0.24857142857142858</v>
      </c>
      <c r="Y78" s="77">
        <f>AVERAGE(Y71:Y77)</f>
        <v>26.356878183609428</v>
      </c>
      <c r="Z78" s="77">
        <f>AVERAGE(Z71:Z77)</f>
        <v>321.47329176589426</v>
      </c>
      <c r="AA78" s="77">
        <f>AVERAGE(AA71:AA77)</f>
        <v>20.729298004162818</v>
      </c>
      <c r="AB78" s="62"/>
      <c r="AC78" s="78"/>
    </row>
    <row r="79" spans="1:29" s="21" customFormat="1">
      <c r="A79" s="19">
        <v>1810</v>
      </c>
      <c r="B79" s="20">
        <v>610321</v>
      </c>
      <c r="C79" s="20" t="s">
        <v>37</v>
      </c>
      <c r="D79" s="20">
        <f t="shared" si="23"/>
        <v>1</v>
      </c>
      <c r="E79" s="22">
        <v>2.5000000000000001E-2</v>
      </c>
      <c r="F79" s="22">
        <v>0</v>
      </c>
      <c r="G79" s="22">
        <v>0</v>
      </c>
      <c r="H79" s="22">
        <f t="shared" ref="H79:H85" si="38">F79+G79</f>
        <v>0</v>
      </c>
      <c r="I79" s="22">
        <v>0</v>
      </c>
      <c r="J79" s="22">
        <f t="shared" si="22"/>
        <v>2.5000000000000001E-2</v>
      </c>
      <c r="K79" s="20">
        <f t="shared" si="24"/>
        <v>1</v>
      </c>
      <c r="L79" s="23">
        <f>0.0113999998569489+0.00569999992847443</f>
        <v>1.7099999785423328E-2</v>
      </c>
      <c r="M79" s="22">
        <v>0</v>
      </c>
      <c r="N79" s="33">
        <v>0</v>
      </c>
      <c r="O79" s="22">
        <f t="shared" si="26"/>
        <v>0</v>
      </c>
      <c r="P79" s="22">
        <v>0</v>
      </c>
      <c r="Q79" s="96">
        <f t="shared" si="25"/>
        <v>1.7099999785423328E-2</v>
      </c>
      <c r="R79" s="88">
        <f t="shared" si="29"/>
        <v>40</v>
      </c>
      <c r="S79" s="89">
        <v>0</v>
      </c>
      <c r="T79" s="89">
        <f t="shared" si="31"/>
        <v>40</v>
      </c>
      <c r="U79" s="89">
        <f t="shared" si="37"/>
        <v>58.479532897563949</v>
      </c>
      <c r="V79" s="89">
        <v>0</v>
      </c>
      <c r="W79" s="89">
        <f t="shared" si="33"/>
        <v>58.479532897563949</v>
      </c>
      <c r="X79" s="71">
        <v>1</v>
      </c>
      <c r="Y79" s="65">
        <v>58.479532897563949</v>
      </c>
      <c r="Z79" s="55">
        <v>58.479532897563949</v>
      </c>
      <c r="AA79" s="55">
        <v>0</v>
      </c>
      <c r="AB79" s="134">
        <v>53</v>
      </c>
      <c r="AC79" s="127">
        <v>0.13</v>
      </c>
    </row>
    <row r="80" spans="1:29" s="18" customFormat="1">
      <c r="A80" s="24">
        <v>1821</v>
      </c>
      <c r="B80" s="6">
        <v>610321</v>
      </c>
      <c r="C80" s="6" t="s">
        <v>38</v>
      </c>
      <c r="D80" s="6">
        <f t="shared" si="23"/>
        <v>0.30841121495327101</v>
      </c>
      <c r="E80" s="7">
        <f>0.0025+0.0041</f>
        <v>6.6E-3</v>
      </c>
      <c r="F80" s="7">
        <f>0.009+0.0025</f>
        <v>1.15E-2</v>
      </c>
      <c r="G80" s="7">
        <v>3.3E-3</v>
      </c>
      <c r="H80" s="7">
        <f t="shared" si="38"/>
        <v>1.4800000000000001E-2</v>
      </c>
      <c r="I80" s="7">
        <f t="shared" si="28"/>
        <v>0.22297297297297297</v>
      </c>
      <c r="J80" s="7">
        <f t="shared" si="22"/>
        <v>2.1400000000000002E-2</v>
      </c>
      <c r="K80" s="6">
        <f t="shared" si="24"/>
        <v>0.35020631796389895</v>
      </c>
      <c r="L80" s="13">
        <f>0.00170999997854233+0.00379999995231628+0.000855</f>
        <v>6.3649999308586103E-3</v>
      </c>
      <c r="M80" s="7">
        <f>0.0097200003862381</f>
        <v>9.7200003862381E-3</v>
      </c>
      <c r="N80" s="11">
        <v>2.0899999737739598E-3</v>
      </c>
      <c r="O80" s="7">
        <f>M80+N80</f>
        <v>1.1810000360012059E-2</v>
      </c>
      <c r="P80" s="7">
        <f>N80/O80</f>
        <v>0.17696866300280331</v>
      </c>
      <c r="Q80" s="95">
        <f t="shared" si="25"/>
        <v>1.8175000290870671E-2</v>
      </c>
      <c r="R80" s="88">
        <f t="shared" si="29"/>
        <v>151.51515151515153</v>
      </c>
      <c r="S80" s="89">
        <f t="shared" si="30"/>
        <v>67.567567567567565</v>
      </c>
      <c r="T80" s="89">
        <f t="shared" si="31"/>
        <v>46.728971962616818</v>
      </c>
      <c r="U80" s="89">
        <f t="shared" si="37"/>
        <v>157.10919259430446</v>
      </c>
      <c r="V80" s="89">
        <f t="shared" si="32"/>
        <v>84.67400249926655</v>
      </c>
      <c r="W80" s="89">
        <f t="shared" si="33"/>
        <v>55.020631856732429</v>
      </c>
      <c r="X80" s="72">
        <v>0.35</v>
      </c>
      <c r="Y80" s="66">
        <v>55.020631856732429</v>
      </c>
      <c r="Z80" s="56">
        <v>157.10919259430446</v>
      </c>
      <c r="AA80" s="56">
        <v>84.67400249926655</v>
      </c>
      <c r="AB80" s="121"/>
      <c r="AC80" s="122"/>
    </row>
    <row r="81" spans="1:29" s="18" customFormat="1">
      <c r="A81" s="24"/>
      <c r="B81" s="6">
        <v>610321</v>
      </c>
      <c r="C81" s="6" t="s">
        <v>152</v>
      </c>
      <c r="D81" s="6">
        <f t="shared" si="23"/>
        <v>0.17549668874172186</v>
      </c>
      <c r="E81" s="7">
        <f>(E80+E82)/2</f>
        <v>5.3E-3</v>
      </c>
      <c r="F81" s="7">
        <f>(F80+F82)/2</f>
        <v>2.0749999999999998E-2</v>
      </c>
      <c r="G81" s="7">
        <f>(G80+G82)/2</f>
        <v>4.15E-3</v>
      </c>
      <c r="H81" s="7">
        <f t="shared" si="38"/>
        <v>2.4899999999999999E-2</v>
      </c>
      <c r="I81" s="7">
        <f t="shared" si="28"/>
        <v>0.16666666666666669</v>
      </c>
      <c r="J81" s="7">
        <f t="shared" si="22"/>
        <v>3.0199999999999998E-2</v>
      </c>
      <c r="K81" s="6">
        <f t="shared" si="24"/>
        <v>0.16792516971197091</v>
      </c>
      <c r="L81" s="13">
        <f>(L80+L82)/2</f>
        <v>4.8924999439716342E-3</v>
      </c>
      <c r="M81" s="13">
        <f>(M80+M82)/2</f>
        <v>2.1060000836849203E-2</v>
      </c>
      <c r="N81" s="11">
        <f>(N80+N82)/2</f>
        <v>3.1824999600648897E-3</v>
      </c>
      <c r="O81" s="7">
        <f t="shared" ref="O81:O148" si="39">M81+N81</f>
        <v>2.4242500796914094E-2</v>
      </c>
      <c r="P81" s="7">
        <f t="shared" si="27"/>
        <v>0.13127770879438314</v>
      </c>
      <c r="Q81" s="95">
        <f t="shared" si="25"/>
        <v>2.9135000740885729E-2</v>
      </c>
      <c r="R81" s="88">
        <f t="shared" si="29"/>
        <v>188.67924528301887</v>
      </c>
      <c r="S81" s="89">
        <f t="shared" si="30"/>
        <v>40.160642570281126</v>
      </c>
      <c r="T81" s="89">
        <f t="shared" si="31"/>
        <v>33.112582781456958</v>
      </c>
      <c r="U81" s="89">
        <f t="shared" si="37"/>
        <v>204.39448368970648</v>
      </c>
      <c r="V81" s="89">
        <f t="shared" si="32"/>
        <v>41.249869738162211</v>
      </c>
      <c r="W81" s="89">
        <f t="shared" si="33"/>
        <v>34.322978361784628</v>
      </c>
      <c r="X81" s="72">
        <v>0.17</v>
      </c>
      <c r="Y81" s="66">
        <v>34.322978361784628</v>
      </c>
      <c r="Z81" s="56">
        <v>204.39448368970648</v>
      </c>
      <c r="AA81" s="56">
        <v>41.249869738162211</v>
      </c>
      <c r="AB81" s="121"/>
      <c r="AC81" s="122"/>
    </row>
    <row r="82" spans="1:29" s="18" customFormat="1">
      <c r="A82" s="24">
        <v>1822</v>
      </c>
      <c r="B82" s="6">
        <v>610321</v>
      </c>
      <c r="C82" s="6" t="s">
        <v>39</v>
      </c>
      <c r="D82" s="6">
        <f t="shared" si="23"/>
        <v>0.10256410256410259</v>
      </c>
      <c r="E82" s="7">
        <f>0.002+0.002</f>
        <v>4.0000000000000001E-3</v>
      </c>
      <c r="F82" s="7">
        <v>0.03</v>
      </c>
      <c r="G82" s="7">
        <v>5.0000000000000001E-3</v>
      </c>
      <c r="H82" s="7">
        <f t="shared" si="38"/>
        <v>3.4999999999999996E-2</v>
      </c>
      <c r="I82" s="7">
        <f t="shared" si="28"/>
        <v>0.14285714285714288</v>
      </c>
      <c r="J82" s="7">
        <f t="shared" si="22"/>
        <v>3.8999999999999993E-2</v>
      </c>
      <c r="K82" s="6">
        <f t="shared" si="24"/>
        <v>8.5297415026908574E-2</v>
      </c>
      <c r="L82" s="13">
        <f>0.00170999997854233+0.000854999989271164+0.000854999989271164</f>
        <v>3.419999957084658E-3</v>
      </c>
      <c r="M82" s="7">
        <v>3.2400001287460303E-2</v>
      </c>
      <c r="N82" s="11">
        <v>4.2749999463558199E-3</v>
      </c>
      <c r="O82" s="7">
        <f t="shared" si="39"/>
        <v>3.6675001233816125E-2</v>
      </c>
      <c r="P82" s="7">
        <f t="shared" si="27"/>
        <v>0.11656441179377694</v>
      </c>
      <c r="Q82" s="95">
        <f t="shared" si="25"/>
        <v>4.0095001190900786E-2</v>
      </c>
      <c r="R82" s="88">
        <f t="shared" si="29"/>
        <v>250</v>
      </c>
      <c r="S82" s="89">
        <f t="shared" si="30"/>
        <v>28.571428571428573</v>
      </c>
      <c r="T82" s="89">
        <f t="shared" si="31"/>
        <v>25.641025641025646</v>
      </c>
      <c r="U82" s="89">
        <f t="shared" si="37"/>
        <v>292.39766448782041</v>
      </c>
      <c r="V82" s="89">
        <f t="shared" si="32"/>
        <v>27.266529416717557</v>
      </c>
      <c r="W82" s="89">
        <f t="shared" si="33"/>
        <v>24.940764940716385</v>
      </c>
      <c r="X82" s="72">
        <v>0.09</v>
      </c>
      <c r="Y82" s="66">
        <v>24.940764940716385</v>
      </c>
      <c r="Z82" s="56">
        <v>292.39766448782041</v>
      </c>
      <c r="AA82" s="56">
        <v>27.266529416717557</v>
      </c>
      <c r="AB82" s="121"/>
      <c r="AC82" s="122"/>
    </row>
    <row r="83" spans="1:29" s="18" customFormat="1">
      <c r="A83" s="24">
        <v>1831</v>
      </c>
      <c r="B83" s="6">
        <v>610321</v>
      </c>
      <c r="C83" s="6" t="s">
        <v>40</v>
      </c>
      <c r="D83" s="6">
        <f t="shared" si="23"/>
        <v>0.44751381215469616</v>
      </c>
      <c r="E83" s="7">
        <f>0.004+0.0041</f>
        <v>8.0999999999999996E-3</v>
      </c>
      <c r="F83" s="7">
        <f>0.006+0.002</f>
        <v>8.0000000000000002E-3</v>
      </c>
      <c r="G83" s="7">
        <v>2E-3</v>
      </c>
      <c r="H83" s="7">
        <f t="shared" si="38"/>
        <v>0.01</v>
      </c>
      <c r="I83" s="7">
        <f t="shared" si="28"/>
        <v>0.2</v>
      </c>
      <c r="J83" s="7">
        <f t="shared" si="22"/>
        <v>1.8099999999999998E-2</v>
      </c>
      <c r="K83" s="6">
        <f t="shared" si="24"/>
        <v>0.40823193334368368</v>
      </c>
      <c r="L83" s="13">
        <f>0.00427499994635582+0.00246999996900558+0.00113999998569489</f>
        <v>7.8849999010562888E-3</v>
      </c>
      <c r="M83" s="7">
        <v>9.7200003862381E-3</v>
      </c>
      <c r="N83" s="11">
        <v>1.7099999785423301E-3</v>
      </c>
      <c r="O83" s="7">
        <f t="shared" si="39"/>
        <v>1.1430000364780431E-2</v>
      </c>
      <c r="P83" s="7">
        <f t="shared" si="27"/>
        <v>0.14960629256070712</v>
      </c>
      <c r="Q83" s="95">
        <f t="shared" si="25"/>
        <v>1.931500026583672E-2</v>
      </c>
      <c r="R83" s="88">
        <f t="shared" si="29"/>
        <v>123.4567901234568</v>
      </c>
      <c r="S83" s="89">
        <f t="shared" si="30"/>
        <v>100</v>
      </c>
      <c r="T83" s="89">
        <f t="shared" si="31"/>
        <v>55.248618784530393</v>
      </c>
      <c r="U83" s="89">
        <f t="shared" si="37"/>
        <v>126.82308339230774</v>
      </c>
      <c r="V83" s="89">
        <f t="shared" si="32"/>
        <v>87.489061074864622</v>
      </c>
      <c r="W83" s="89">
        <f t="shared" si="33"/>
        <v>51.773232525849011</v>
      </c>
      <c r="X83" s="72">
        <v>0.41</v>
      </c>
      <c r="Y83" s="66">
        <v>51.773232525849011</v>
      </c>
      <c r="Z83" s="56">
        <v>126.82308339230774</v>
      </c>
      <c r="AA83" s="56">
        <v>87.489061074864622</v>
      </c>
      <c r="AB83" s="121"/>
      <c r="AC83" s="122"/>
    </row>
    <row r="84" spans="1:29" s="18" customFormat="1">
      <c r="A84" s="24"/>
      <c r="B84" s="6">
        <v>610321</v>
      </c>
      <c r="C84" s="6" t="s">
        <v>153</v>
      </c>
      <c r="D84" s="6">
        <f t="shared" si="23"/>
        <v>0.20152091254752855</v>
      </c>
      <c r="E84" s="7">
        <f>(E83+E85)/2</f>
        <v>5.3E-3</v>
      </c>
      <c r="F84" s="7">
        <v>1.7999999999999999E-2</v>
      </c>
      <c r="G84" s="7">
        <v>3.0000000000000001E-3</v>
      </c>
      <c r="H84" s="7">
        <f t="shared" si="38"/>
        <v>2.0999999999999998E-2</v>
      </c>
      <c r="I84" s="7">
        <f t="shared" si="28"/>
        <v>0.14285714285714288</v>
      </c>
      <c r="J84" s="7">
        <f t="shared" si="22"/>
        <v>2.6299999999999997E-2</v>
      </c>
      <c r="K84" s="6">
        <f t="shared" si="24"/>
        <v>0.15832076194969558</v>
      </c>
      <c r="L84" s="13">
        <f>(L83+L85)/2</f>
        <v>4.987499937415125E-3</v>
      </c>
      <c r="M84" s="13">
        <f>(M83+M85)/2</f>
        <v>2.3760000944137598E-2</v>
      </c>
      <c r="N84" s="11">
        <f>(N83+N85)/2</f>
        <v>2.7549999654293052E-3</v>
      </c>
      <c r="O84" s="7">
        <f t="shared" si="39"/>
        <v>2.6515000909566905E-2</v>
      </c>
      <c r="P84" s="7">
        <f t="shared" si="27"/>
        <v>0.10390344600875616</v>
      </c>
      <c r="Q84" s="95">
        <f t="shared" si="25"/>
        <v>3.1502500846982029E-2</v>
      </c>
      <c r="R84" s="88">
        <f t="shared" si="29"/>
        <v>188.67924528301887</v>
      </c>
      <c r="S84" s="89">
        <f t="shared" si="30"/>
        <v>47.619047619047628</v>
      </c>
      <c r="T84" s="89">
        <f t="shared" si="31"/>
        <v>38.022813688212935</v>
      </c>
      <c r="U84" s="89">
        <f t="shared" si="37"/>
        <v>200.50125564879119</v>
      </c>
      <c r="V84" s="89">
        <f t="shared" si="32"/>
        <v>37.714499931968284</v>
      </c>
      <c r="W84" s="89">
        <f t="shared" si="33"/>
        <v>31.743511566187323</v>
      </c>
      <c r="X84" s="72">
        <v>0.16</v>
      </c>
      <c r="Y84" s="66">
        <v>31.743511566187323</v>
      </c>
      <c r="Z84" s="56">
        <v>200.50125564879119</v>
      </c>
      <c r="AA84" s="56">
        <v>37.714499931968284</v>
      </c>
      <c r="AB84" s="121"/>
      <c r="AC84" s="122"/>
    </row>
    <row r="85" spans="1:29" s="27" customFormat="1" ht="16" thickBot="1">
      <c r="A85" s="25">
        <v>1832</v>
      </c>
      <c r="B85" s="26">
        <v>610321</v>
      </c>
      <c r="C85" s="26" t="s">
        <v>41</v>
      </c>
      <c r="D85" s="26">
        <f t="shared" si="23"/>
        <v>5.9523809523809521E-2</v>
      </c>
      <c r="E85" s="28">
        <f>0.0005+0.002</f>
        <v>2.5000000000000001E-3</v>
      </c>
      <c r="F85" s="28">
        <v>3.5000000000000003E-2</v>
      </c>
      <c r="G85" s="28">
        <v>4.4999999999999997E-3</v>
      </c>
      <c r="H85" s="28">
        <f t="shared" si="38"/>
        <v>3.95E-2</v>
      </c>
      <c r="I85" s="28">
        <f t="shared" si="28"/>
        <v>0.11392405063291139</v>
      </c>
      <c r="J85" s="28">
        <f t="shared" si="22"/>
        <v>4.2000000000000003E-2</v>
      </c>
      <c r="K85" s="26">
        <f t="shared" si="24"/>
        <v>4.7837031482183309E-2</v>
      </c>
      <c r="L85" s="29">
        <f>0.000379999995231628+0.000569999992847443+0.00113999998569489</f>
        <v>2.0899999737739611E-3</v>
      </c>
      <c r="M85" s="26">
        <v>3.7800001502037099E-2</v>
      </c>
      <c r="N85" s="34">
        <v>3.7999999523162802E-3</v>
      </c>
      <c r="O85" s="28">
        <f t="shared" si="39"/>
        <v>4.1600001454353379E-2</v>
      </c>
      <c r="P85" s="28">
        <f t="shared" si="27"/>
        <v>9.134614950641104E-2</v>
      </c>
      <c r="Q85" s="97">
        <f t="shared" si="25"/>
        <v>4.3690001428127338E-2</v>
      </c>
      <c r="R85" s="88">
        <f t="shared" si="29"/>
        <v>400</v>
      </c>
      <c r="S85" s="89">
        <f t="shared" si="30"/>
        <v>25.316455696202532</v>
      </c>
      <c r="T85" s="89">
        <f t="shared" si="31"/>
        <v>23.809523809523807</v>
      </c>
      <c r="U85" s="89">
        <f t="shared" si="37"/>
        <v>478.4689055255235</v>
      </c>
      <c r="V85" s="89">
        <f t="shared" si="32"/>
        <v>24.03846069806691</v>
      </c>
      <c r="W85" s="89">
        <f t="shared" si="33"/>
        <v>22.888532096870257</v>
      </c>
      <c r="X85" s="73">
        <v>0.05</v>
      </c>
      <c r="Y85" s="67">
        <v>22.888532096870257</v>
      </c>
      <c r="Z85" s="57">
        <v>478.4689055255235</v>
      </c>
      <c r="AA85" s="57">
        <v>24.03846069806691</v>
      </c>
      <c r="AB85" s="136"/>
      <c r="AC85" s="129"/>
    </row>
    <row r="86" spans="1:29" s="18" customFormat="1" ht="16" thickBot="1">
      <c r="A86" s="6"/>
      <c r="B86" s="6"/>
      <c r="C86" s="6"/>
      <c r="D86" s="6"/>
      <c r="E86" s="7"/>
      <c r="F86" s="7"/>
      <c r="G86" s="7"/>
      <c r="H86" s="7"/>
      <c r="I86" s="7"/>
      <c r="J86" s="7"/>
      <c r="K86" s="6"/>
      <c r="L86" s="13"/>
      <c r="M86" s="6"/>
      <c r="N86" s="11"/>
      <c r="O86" s="7"/>
      <c r="P86" s="7"/>
      <c r="Q86" s="95"/>
      <c r="R86" s="88"/>
      <c r="S86" s="89"/>
      <c r="T86" s="89"/>
      <c r="U86" s="89"/>
      <c r="V86" s="89"/>
      <c r="W86" s="89"/>
      <c r="X86" s="77">
        <f>AVERAGE(X79:X85)</f>
        <v>0.31857142857142856</v>
      </c>
      <c r="Y86" s="77">
        <f>AVERAGE(Y79:Y85)</f>
        <v>39.881312035100571</v>
      </c>
      <c r="Z86" s="77">
        <f>AVERAGE(Z79:Z85)</f>
        <v>216.88201689085966</v>
      </c>
      <c r="AA86" s="77">
        <f>AVERAGE(AA79:AA85)</f>
        <v>43.204631908435161</v>
      </c>
      <c r="AB86" s="62"/>
      <c r="AC86" s="78"/>
    </row>
    <row r="87" spans="1:29">
      <c r="A87" s="6">
        <v>1910</v>
      </c>
      <c r="B87" s="6"/>
      <c r="C87" s="6" t="s">
        <v>42</v>
      </c>
      <c r="D87" s="2">
        <f t="shared" si="23"/>
        <v>1</v>
      </c>
      <c r="E87" s="7">
        <f>E79/2</f>
        <v>1.2500000000000001E-2</v>
      </c>
      <c r="F87" s="7">
        <f>F79/2</f>
        <v>0</v>
      </c>
      <c r="G87" s="7">
        <f>G79/2</f>
        <v>0</v>
      </c>
      <c r="H87" s="7">
        <f t="shared" si="21"/>
        <v>0</v>
      </c>
      <c r="I87" s="7">
        <v>0</v>
      </c>
      <c r="J87" s="4">
        <f t="shared" si="22"/>
        <v>1.2500000000000001E-2</v>
      </c>
      <c r="K87" s="2">
        <f t="shared" si="24"/>
        <v>1</v>
      </c>
      <c r="L87" s="13">
        <f>L79/2</f>
        <v>8.5499998927116641E-3</v>
      </c>
      <c r="M87" s="13">
        <f>M79/2</f>
        <v>0</v>
      </c>
      <c r="N87" s="13">
        <f>N79/2</f>
        <v>0</v>
      </c>
      <c r="O87" s="7">
        <f t="shared" si="39"/>
        <v>0</v>
      </c>
      <c r="P87" s="7">
        <v>0</v>
      </c>
      <c r="Q87" s="95">
        <f t="shared" si="25"/>
        <v>8.5499998927116641E-3</v>
      </c>
      <c r="R87" s="88">
        <f t="shared" si="29"/>
        <v>80</v>
      </c>
      <c r="S87" s="89">
        <v>0</v>
      </c>
      <c r="T87" s="89">
        <f t="shared" si="31"/>
        <v>80</v>
      </c>
      <c r="U87" s="89">
        <f>1/L87</f>
        <v>116.9590657951279</v>
      </c>
      <c r="V87" s="89">
        <v>0</v>
      </c>
      <c r="W87" s="89">
        <f t="shared" si="33"/>
        <v>116.9590657951279</v>
      </c>
      <c r="X87" s="72">
        <v>1</v>
      </c>
      <c r="Y87" s="64">
        <v>116.9590657951279</v>
      </c>
      <c r="Z87" s="54">
        <v>116.9590657951279</v>
      </c>
      <c r="AA87" s="54">
        <v>0</v>
      </c>
      <c r="AB87" s="134">
        <v>80</v>
      </c>
      <c r="AC87" s="127">
        <v>0.04</v>
      </c>
    </row>
    <row r="88" spans="1:29">
      <c r="A88" s="6">
        <v>1921</v>
      </c>
      <c r="B88" s="6"/>
      <c r="C88" s="6" t="s">
        <v>43</v>
      </c>
      <c r="D88" s="2">
        <f t="shared" si="23"/>
        <v>0.30841121495327101</v>
      </c>
      <c r="E88" s="7">
        <f t="shared" ref="E88:G93" si="40">E80/2</f>
        <v>3.3E-3</v>
      </c>
      <c r="F88" s="7">
        <f t="shared" si="40"/>
        <v>5.7499999999999999E-3</v>
      </c>
      <c r="G88" s="7">
        <f t="shared" si="40"/>
        <v>1.65E-3</v>
      </c>
      <c r="H88" s="7">
        <f t="shared" si="21"/>
        <v>7.4000000000000003E-3</v>
      </c>
      <c r="I88" s="7">
        <f t="shared" si="28"/>
        <v>0.22297297297297297</v>
      </c>
      <c r="J88" s="4">
        <f t="shared" si="22"/>
        <v>1.0700000000000001E-2</v>
      </c>
      <c r="K88" s="2">
        <f t="shared" si="24"/>
        <v>0.35020631796389895</v>
      </c>
      <c r="L88" s="13">
        <f t="shared" ref="L88:N93" si="41">L80/2</f>
        <v>3.1824999654293052E-3</v>
      </c>
      <c r="M88" s="13">
        <f t="shared" si="41"/>
        <v>4.86000019311905E-3</v>
      </c>
      <c r="N88" s="13">
        <f t="shared" si="41"/>
        <v>1.0449999868869799E-3</v>
      </c>
      <c r="O88" s="7">
        <f>M88+N88</f>
        <v>5.9050001800060297E-3</v>
      </c>
      <c r="P88" s="7">
        <f t="shared" si="27"/>
        <v>0.17696866300280331</v>
      </c>
      <c r="Q88" s="95">
        <f t="shared" si="25"/>
        <v>9.0875001454353357E-3</v>
      </c>
      <c r="R88" s="88">
        <f t="shared" si="29"/>
        <v>303.03030303030306</v>
      </c>
      <c r="S88" s="89">
        <f t="shared" si="30"/>
        <v>135.13513513513513</v>
      </c>
      <c r="T88" s="89">
        <f t="shared" si="31"/>
        <v>93.457943925233636</v>
      </c>
      <c r="U88" s="89">
        <f>1/L88</f>
        <v>314.21838518860892</v>
      </c>
      <c r="V88" s="89">
        <f t="shared" si="32"/>
        <v>169.3480049985331</v>
      </c>
      <c r="W88" s="89">
        <f t="shared" si="33"/>
        <v>110.04126371346486</v>
      </c>
      <c r="X88" s="72">
        <v>0.35</v>
      </c>
      <c r="Y88" s="64">
        <v>110.04126371346486</v>
      </c>
      <c r="Z88" s="54">
        <v>314.21838518860892</v>
      </c>
      <c r="AA88" s="54">
        <v>169.3480049985331</v>
      </c>
      <c r="AB88" s="135"/>
      <c r="AC88" s="128"/>
    </row>
    <row r="89" spans="1:29">
      <c r="A89" s="6"/>
      <c r="B89" s="6"/>
      <c r="C89" s="6" t="s">
        <v>154</v>
      </c>
      <c r="D89" s="2">
        <f t="shared" si="23"/>
        <v>0.17549668874172186</v>
      </c>
      <c r="E89" s="7">
        <f t="shared" si="40"/>
        <v>2.65E-3</v>
      </c>
      <c r="F89" s="7">
        <f t="shared" si="40"/>
        <v>1.0374999999999999E-2</v>
      </c>
      <c r="G89" s="7">
        <f t="shared" si="40"/>
        <v>2.075E-3</v>
      </c>
      <c r="H89" s="7">
        <f t="shared" si="21"/>
        <v>1.2449999999999999E-2</v>
      </c>
      <c r="I89" s="7">
        <f t="shared" si="28"/>
        <v>0.16666666666666669</v>
      </c>
      <c r="J89" s="4">
        <f t="shared" si="22"/>
        <v>1.5099999999999999E-2</v>
      </c>
      <c r="K89" s="2">
        <f t="shared" si="24"/>
        <v>0.16792516971197091</v>
      </c>
      <c r="L89" s="13">
        <f t="shared" si="41"/>
        <v>2.4462499719858171E-3</v>
      </c>
      <c r="M89" s="13">
        <f t="shared" si="41"/>
        <v>1.0530000418424602E-2</v>
      </c>
      <c r="N89" s="13">
        <f t="shared" si="41"/>
        <v>1.5912499800324448E-3</v>
      </c>
      <c r="O89" s="7">
        <f t="shared" si="39"/>
        <v>1.2121250398457047E-2</v>
      </c>
      <c r="P89" s="7">
        <f t="shared" si="27"/>
        <v>0.13127770879438314</v>
      </c>
      <c r="Q89" s="95">
        <f t="shared" si="25"/>
        <v>1.4567500370442864E-2</v>
      </c>
      <c r="R89" s="88">
        <f t="shared" si="29"/>
        <v>377.35849056603774</v>
      </c>
      <c r="S89" s="89">
        <f t="shared" si="30"/>
        <v>80.321285140562253</v>
      </c>
      <c r="T89" s="89">
        <f t="shared" si="31"/>
        <v>66.225165562913915</v>
      </c>
      <c r="U89" s="89">
        <f t="shared" si="37"/>
        <v>408.78896737941295</v>
      </c>
      <c r="V89" s="89">
        <f t="shared" si="32"/>
        <v>82.499739476324422</v>
      </c>
      <c r="W89" s="89">
        <f t="shared" si="33"/>
        <v>68.645956723569256</v>
      </c>
      <c r="X89" s="72">
        <v>0.17</v>
      </c>
      <c r="Y89" s="64">
        <v>68.645956723569256</v>
      </c>
      <c r="Z89" s="54">
        <v>408.78896737941295</v>
      </c>
      <c r="AA89" s="54">
        <v>82.499739476324422</v>
      </c>
      <c r="AB89" s="135"/>
      <c r="AC89" s="128"/>
    </row>
    <row r="90" spans="1:29">
      <c r="A90" s="6">
        <v>1922</v>
      </c>
      <c r="B90" s="6"/>
      <c r="C90" s="6" t="s">
        <v>44</v>
      </c>
      <c r="D90" s="2">
        <f t="shared" si="23"/>
        <v>0.10256410256410259</v>
      </c>
      <c r="E90" s="7">
        <f t="shared" si="40"/>
        <v>2E-3</v>
      </c>
      <c r="F90" s="7">
        <f t="shared" si="40"/>
        <v>1.4999999999999999E-2</v>
      </c>
      <c r="G90" s="7">
        <f t="shared" si="40"/>
        <v>2.5000000000000001E-3</v>
      </c>
      <c r="H90" s="7">
        <f t="shared" si="21"/>
        <v>1.7499999999999998E-2</v>
      </c>
      <c r="I90" s="7">
        <f t="shared" si="28"/>
        <v>0.14285714285714288</v>
      </c>
      <c r="J90" s="4">
        <f t="shared" si="22"/>
        <v>1.9499999999999997E-2</v>
      </c>
      <c r="K90" s="2">
        <f t="shared" si="24"/>
        <v>8.5297415026908574E-2</v>
      </c>
      <c r="L90" s="13">
        <f t="shared" si="41"/>
        <v>1.709999978542329E-3</v>
      </c>
      <c r="M90" s="13">
        <f t="shared" si="41"/>
        <v>1.6200000643730152E-2</v>
      </c>
      <c r="N90" s="13">
        <f t="shared" si="41"/>
        <v>2.13749997317791E-3</v>
      </c>
      <c r="O90" s="7">
        <f t="shared" si="39"/>
        <v>1.8337500616908062E-2</v>
      </c>
      <c r="P90" s="7">
        <f t="shared" si="27"/>
        <v>0.11656441179377694</v>
      </c>
      <c r="Q90" s="95">
        <f t="shared" si="25"/>
        <v>2.0047500595450393E-2</v>
      </c>
      <c r="R90" s="88">
        <f t="shared" si="29"/>
        <v>500</v>
      </c>
      <c r="S90" s="89">
        <f t="shared" si="30"/>
        <v>57.142857142857146</v>
      </c>
      <c r="T90" s="89">
        <f t="shared" si="31"/>
        <v>51.282051282051292</v>
      </c>
      <c r="U90" s="89">
        <f t="shared" si="37"/>
        <v>584.79532897564081</v>
      </c>
      <c r="V90" s="89">
        <f t="shared" si="32"/>
        <v>54.533058833435113</v>
      </c>
      <c r="W90" s="89">
        <f t="shared" si="33"/>
        <v>49.881529881432769</v>
      </c>
      <c r="X90" s="72">
        <v>0.09</v>
      </c>
      <c r="Y90" s="64">
        <v>49.881529881432769</v>
      </c>
      <c r="Z90" s="54">
        <v>584.79532897564081</v>
      </c>
      <c r="AA90" s="54">
        <v>54.533058833435113</v>
      </c>
      <c r="AB90" s="135"/>
      <c r="AC90" s="128"/>
    </row>
    <row r="91" spans="1:29">
      <c r="A91" s="6">
        <v>1931</v>
      </c>
      <c r="B91" s="6"/>
      <c r="C91" s="6" t="s">
        <v>45</v>
      </c>
      <c r="D91" s="2">
        <f t="shared" si="23"/>
        <v>0.44751381215469616</v>
      </c>
      <c r="E91" s="7">
        <f t="shared" si="40"/>
        <v>4.0499999999999998E-3</v>
      </c>
      <c r="F91" s="7">
        <f t="shared" si="40"/>
        <v>4.0000000000000001E-3</v>
      </c>
      <c r="G91" s="7">
        <f t="shared" si="40"/>
        <v>1E-3</v>
      </c>
      <c r="H91" s="7">
        <f t="shared" si="21"/>
        <v>5.0000000000000001E-3</v>
      </c>
      <c r="I91" s="7">
        <f t="shared" si="28"/>
        <v>0.2</v>
      </c>
      <c r="J91" s="4">
        <f t="shared" si="22"/>
        <v>9.049999999999999E-3</v>
      </c>
      <c r="K91" s="2">
        <f t="shared" si="24"/>
        <v>0.40823193334368368</v>
      </c>
      <c r="L91" s="13">
        <f t="shared" si="41"/>
        <v>3.9424999505281444E-3</v>
      </c>
      <c r="M91" s="13">
        <f t="shared" si="41"/>
        <v>4.86000019311905E-3</v>
      </c>
      <c r="N91" s="13">
        <f t="shared" si="41"/>
        <v>8.5499998927116504E-4</v>
      </c>
      <c r="O91" s="7">
        <f t="shared" si="39"/>
        <v>5.7150001823902154E-3</v>
      </c>
      <c r="P91" s="7">
        <f t="shared" si="27"/>
        <v>0.14960629256070712</v>
      </c>
      <c r="Q91" s="95">
        <f t="shared" si="25"/>
        <v>9.6575001329183598E-3</v>
      </c>
      <c r="R91" s="88">
        <f t="shared" si="29"/>
        <v>246.9135802469136</v>
      </c>
      <c r="S91" s="89">
        <f t="shared" si="30"/>
        <v>200</v>
      </c>
      <c r="T91" s="89">
        <f t="shared" si="31"/>
        <v>110.49723756906079</v>
      </c>
      <c r="U91" s="89">
        <f t="shared" si="37"/>
        <v>253.64616678461547</v>
      </c>
      <c r="V91" s="89">
        <f t="shared" si="32"/>
        <v>174.97812214972924</v>
      </c>
      <c r="W91" s="89">
        <f t="shared" si="33"/>
        <v>103.54646505169802</v>
      </c>
      <c r="X91" s="72">
        <v>0.41</v>
      </c>
      <c r="Y91" s="64">
        <v>103.54646505169802</v>
      </c>
      <c r="Z91" s="54">
        <v>253.64616678461547</v>
      </c>
      <c r="AA91" s="54">
        <v>174.97812214972924</v>
      </c>
      <c r="AB91" s="135"/>
      <c r="AC91" s="128"/>
    </row>
    <row r="92" spans="1:29">
      <c r="A92" s="6"/>
      <c r="B92" s="6"/>
      <c r="C92" s="6" t="s">
        <v>155</v>
      </c>
      <c r="D92" s="2">
        <f t="shared" si="23"/>
        <v>0.20152091254752855</v>
      </c>
      <c r="E92" s="7">
        <f t="shared" si="40"/>
        <v>2.65E-3</v>
      </c>
      <c r="F92" s="7">
        <f t="shared" si="40"/>
        <v>8.9999999999999993E-3</v>
      </c>
      <c r="G92" s="7">
        <f t="shared" si="40"/>
        <v>1.5E-3</v>
      </c>
      <c r="H92" s="7">
        <f t="shared" si="21"/>
        <v>1.0499999999999999E-2</v>
      </c>
      <c r="I92" s="7">
        <f t="shared" si="28"/>
        <v>0.14285714285714288</v>
      </c>
      <c r="J92" s="4">
        <f t="shared" si="22"/>
        <v>1.3149999999999998E-2</v>
      </c>
      <c r="K92" s="2">
        <f t="shared" si="24"/>
        <v>0.15832076194969558</v>
      </c>
      <c r="L92" s="13">
        <f t="shared" si="41"/>
        <v>2.4937499687075625E-3</v>
      </c>
      <c r="M92" s="13">
        <f t="shared" si="41"/>
        <v>1.1880000472068799E-2</v>
      </c>
      <c r="N92" s="13">
        <f t="shared" si="41"/>
        <v>1.3774999827146526E-3</v>
      </c>
      <c r="O92" s="7">
        <f t="shared" si="39"/>
        <v>1.3257500454783452E-2</v>
      </c>
      <c r="P92" s="7">
        <f t="shared" si="27"/>
        <v>0.10390344600875616</v>
      </c>
      <c r="Q92" s="95">
        <f t="shared" si="25"/>
        <v>1.5751250423491014E-2</v>
      </c>
      <c r="R92" s="88">
        <f t="shared" si="29"/>
        <v>377.35849056603774</v>
      </c>
      <c r="S92" s="89">
        <f t="shared" si="30"/>
        <v>95.238095238095255</v>
      </c>
      <c r="T92" s="89">
        <f t="shared" si="31"/>
        <v>76.04562737642587</v>
      </c>
      <c r="U92" s="89">
        <f t="shared" si="37"/>
        <v>401.00251129758237</v>
      </c>
      <c r="V92" s="89">
        <f t="shared" si="32"/>
        <v>75.428999863936568</v>
      </c>
      <c r="W92" s="89">
        <f t="shared" si="33"/>
        <v>63.487023132374645</v>
      </c>
      <c r="X92" s="72">
        <v>0.16</v>
      </c>
      <c r="Y92" s="64">
        <v>63.487023132374645</v>
      </c>
      <c r="Z92" s="54">
        <v>401.00251129758237</v>
      </c>
      <c r="AA92" s="54">
        <v>75.428999863936568</v>
      </c>
      <c r="AB92" s="135"/>
      <c r="AC92" s="128"/>
    </row>
    <row r="93" spans="1:29" ht="16" thickBot="1">
      <c r="A93" s="6">
        <v>1932</v>
      </c>
      <c r="B93" s="6"/>
      <c r="C93" s="6" t="s">
        <v>46</v>
      </c>
      <c r="D93" s="2">
        <f t="shared" si="23"/>
        <v>5.9523809523809521E-2</v>
      </c>
      <c r="E93" s="7">
        <f t="shared" si="40"/>
        <v>1.25E-3</v>
      </c>
      <c r="F93" s="7">
        <f t="shared" si="40"/>
        <v>1.7500000000000002E-2</v>
      </c>
      <c r="G93" s="7">
        <f t="shared" si="40"/>
        <v>2.2499999999999998E-3</v>
      </c>
      <c r="H93" s="7">
        <f t="shared" si="21"/>
        <v>1.975E-2</v>
      </c>
      <c r="I93" s="7">
        <f t="shared" si="28"/>
        <v>0.11392405063291139</v>
      </c>
      <c r="J93" s="4">
        <f t="shared" si="22"/>
        <v>2.1000000000000001E-2</v>
      </c>
      <c r="K93" s="2">
        <f t="shared" si="24"/>
        <v>4.7837031482183309E-2</v>
      </c>
      <c r="L93" s="13">
        <f t="shared" si="41"/>
        <v>1.0449999868869806E-3</v>
      </c>
      <c r="M93" s="13">
        <f t="shared" si="41"/>
        <v>1.890000075101855E-2</v>
      </c>
      <c r="N93" s="13">
        <f t="shared" si="41"/>
        <v>1.8999999761581401E-3</v>
      </c>
      <c r="O93" s="7">
        <f t="shared" si="39"/>
        <v>2.0800000727176689E-2</v>
      </c>
      <c r="P93" s="7">
        <f t="shared" si="27"/>
        <v>9.134614950641104E-2</v>
      </c>
      <c r="Q93" s="95">
        <f t="shared" si="25"/>
        <v>2.1845000714063669E-2</v>
      </c>
      <c r="R93" s="88">
        <f t="shared" si="29"/>
        <v>800</v>
      </c>
      <c r="S93" s="89">
        <f t="shared" si="30"/>
        <v>50.632911392405063</v>
      </c>
      <c r="T93" s="89">
        <f t="shared" si="31"/>
        <v>47.619047619047613</v>
      </c>
      <c r="U93" s="89">
        <f t="shared" si="37"/>
        <v>956.93781105104699</v>
      </c>
      <c r="V93" s="89">
        <f t="shared" si="32"/>
        <v>48.07692139613382</v>
      </c>
      <c r="W93" s="89">
        <f t="shared" si="33"/>
        <v>45.777064193740514</v>
      </c>
      <c r="X93" s="72">
        <v>0.05</v>
      </c>
      <c r="Y93" s="64">
        <v>45.777064193740514</v>
      </c>
      <c r="Z93" s="54">
        <v>956.93781105104699</v>
      </c>
      <c r="AA93" s="54">
        <v>48.07692139613382</v>
      </c>
      <c r="AB93" s="136"/>
      <c r="AC93" s="129"/>
    </row>
    <row r="94" spans="1:29" ht="16" thickBot="1">
      <c r="A94" s="6"/>
      <c r="B94" s="6"/>
      <c r="C94" s="6"/>
      <c r="E94" s="7"/>
      <c r="F94" s="7"/>
      <c r="G94" s="7"/>
      <c r="H94" s="7"/>
      <c r="I94" s="7"/>
      <c r="J94" s="4"/>
      <c r="L94" s="13"/>
      <c r="M94" s="13"/>
      <c r="N94" s="13"/>
      <c r="O94" s="7"/>
      <c r="P94" s="7"/>
      <c r="Q94" s="95"/>
      <c r="R94" s="88"/>
      <c r="S94" s="89"/>
      <c r="T94" s="89"/>
      <c r="U94" s="89"/>
      <c r="V94" s="89"/>
      <c r="W94" s="89"/>
      <c r="X94" s="77">
        <f>AVERAGE(X87:X93)</f>
        <v>0.31857142857142856</v>
      </c>
      <c r="Y94" s="77">
        <f>AVERAGE(Y87:Y93)</f>
        <v>79.762624070201142</v>
      </c>
      <c r="Z94" s="77">
        <f>AVERAGE(Z87:Z93)</f>
        <v>433.76403378171932</v>
      </c>
      <c r="AA94" s="77">
        <f>AVERAGE(AA87:AA93)</f>
        <v>86.409263816870322</v>
      </c>
      <c r="AB94" s="62"/>
      <c r="AC94" s="78"/>
    </row>
    <row r="95" spans="1:29" s="21" customFormat="1">
      <c r="A95" s="19">
        <v>2010</v>
      </c>
      <c r="B95" s="20">
        <v>610322</v>
      </c>
      <c r="C95" s="20" t="s">
        <v>47</v>
      </c>
      <c r="D95" s="20">
        <f t="shared" si="23"/>
        <v>1</v>
      </c>
      <c r="E95" s="22">
        <v>1.67E-2</v>
      </c>
      <c r="F95" s="22">
        <v>0</v>
      </c>
      <c r="G95" s="22">
        <v>0</v>
      </c>
      <c r="H95" s="22">
        <f t="shared" si="21"/>
        <v>0</v>
      </c>
      <c r="I95" s="22">
        <v>0</v>
      </c>
      <c r="J95" s="22">
        <f t="shared" ref="J95:J130" si="42">E95+H95</f>
        <v>1.67E-2</v>
      </c>
      <c r="K95" s="20">
        <f t="shared" si="24"/>
        <v>1</v>
      </c>
      <c r="L95" s="20">
        <v>0.02</v>
      </c>
      <c r="M95" s="22">
        <v>0</v>
      </c>
      <c r="N95" s="33">
        <v>0</v>
      </c>
      <c r="O95" s="22">
        <f t="shared" si="39"/>
        <v>0</v>
      </c>
      <c r="P95" s="22">
        <v>0</v>
      </c>
      <c r="Q95" s="96">
        <f t="shared" si="25"/>
        <v>0.02</v>
      </c>
      <c r="R95" s="88">
        <f t="shared" si="29"/>
        <v>59.880239520958085</v>
      </c>
      <c r="S95" s="89">
        <v>0</v>
      </c>
      <c r="T95" s="89">
        <f t="shared" si="31"/>
        <v>59.880239520958085</v>
      </c>
      <c r="U95" s="89">
        <f t="shared" si="37"/>
        <v>50</v>
      </c>
      <c r="V95" s="89">
        <v>0</v>
      </c>
      <c r="W95" s="89">
        <f t="shared" si="33"/>
        <v>50</v>
      </c>
      <c r="X95" s="71">
        <v>1</v>
      </c>
      <c r="Y95" s="65">
        <v>50</v>
      </c>
      <c r="Z95" s="55">
        <v>50</v>
      </c>
      <c r="AA95" s="55">
        <v>0</v>
      </c>
      <c r="AB95" s="134">
        <v>53</v>
      </c>
      <c r="AC95" s="127">
        <v>0.13</v>
      </c>
    </row>
    <row r="96" spans="1:29" s="18" customFormat="1">
      <c r="A96" s="24">
        <v>2021</v>
      </c>
      <c r="B96" s="6">
        <v>610322</v>
      </c>
      <c r="C96" s="6" t="s">
        <v>48</v>
      </c>
      <c r="D96" s="6">
        <f t="shared" si="23"/>
        <v>0.37588652482269502</v>
      </c>
      <c r="E96" s="7">
        <f>0.0035+0.0018</f>
        <v>5.3E-3</v>
      </c>
      <c r="F96" s="7">
        <v>3.5000000000000001E-3</v>
      </c>
      <c r="G96" s="7">
        <f>0.0018+0.0035</f>
        <v>5.3E-3</v>
      </c>
      <c r="H96" s="7">
        <f t="shared" si="21"/>
        <v>8.8000000000000005E-3</v>
      </c>
      <c r="I96" s="7">
        <f t="shared" si="28"/>
        <v>0.60227272727272729</v>
      </c>
      <c r="J96" s="7">
        <f t="shared" si="42"/>
        <v>1.4100000000000001E-2</v>
      </c>
      <c r="K96" s="6">
        <f t="shared" si="24"/>
        <v>0.5</v>
      </c>
      <c r="L96" s="13">
        <f>0.0018+0.0035</f>
        <v>5.3E-3</v>
      </c>
      <c r="M96" s="7">
        <v>3.5000000000000001E-3</v>
      </c>
      <c r="N96" s="11">
        <v>1.8E-3</v>
      </c>
      <c r="O96" s="7">
        <f t="shared" si="39"/>
        <v>5.3E-3</v>
      </c>
      <c r="P96" s="7">
        <f t="shared" si="27"/>
        <v>0.33962264150943394</v>
      </c>
      <c r="Q96" s="95">
        <f t="shared" si="25"/>
        <v>1.06E-2</v>
      </c>
      <c r="R96" s="88">
        <f t="shared" si="29"/>
        <v>188.67924528301887</v>
      </c>
      <c r="S96" s="89">
        <f t="shared" si="30"/>
        <v>113.63636363636363</v>
      </c>
      <c r="T96" s="89">
        <f t="shared" si="31"/>
        <v>70.921985815602824</v>
      </c>
      <c r="U96" s="89">
        <f t="shared" si="37"/>
        <v>188.67924528301887</v>
      </c>
      <c r="V96" s="89">
        <f t="shared" si="32"/>
        <v>188.67924528301887</v>
      </c>
      <c r="W96" s="89">
        <f t="shared" si="33"/>
        <v>94.339622641509436</v>
      </c>
      <c r="X96" s="72">
        <v>0.5</v>
      </c>
      <c r="Y96" s="66">
        <v>94.339622641509436</v>
      </c>
      <c r="Z96" s="56">
        <v>188.67924528301887</v>
      </c>
      <c r="AA96" s="56">
        <v>188.67924528301887</v>
      </c>
      <c r="AB96" s="121"/>
      <c r="AC96" s="122"/>
    </row>
    <row r="97" spans="1:29" s="18" customFormat="1">
      <c r="A97" s="24"/>
      <c r="B97" s="6">
        <v>610322</v>
      </c>
      <c r="C97" s="6" t="s">
        <v>156</v>
      </c>
      <c r="D97" s="6">
        <f t="shared" ref="D97:D132" si="43">E97/J97</f>
        <v>0.22873900293255131</v>
      </c>
      <c r="E97" s="7">
        <f>(E96+E98)/2</f>
        <v>3.8999999999999998E-3</v>
      </c>
      <c r="F97" s="7">
        <f>(F96+F98)/2</f>
        <v>9.2499999999999995E-3</v>
      </c>
      <c r="G97" s="7">
        <f>(G96+G98)/2</f>
        <v>3.8999999999999998E-3</v>
      </c>
      <c r="H97" s="7">
        <f t="shared" si="21"/>
        <v>1.3149999999999998E-2</v>
      </c>
      <c r="I97" s="7">
        <f t="shared" si="28"/>
        <v>0.29657794676806087</v>
      </c>
      <c r="J97" s="7">
        <f t="shared" si="42"/>
        <v>1.7049999999999999E-2</v>
      </c>
      <c r="K97" s="6">
        <f t="shared" si="24"/>
        <v>0.25490196078431371</v>
      </c>
      <c r="L97" s="13">
        <f>(L96+L98)/2</f>
        <v>3.8999999999999998E-3</v>
      </c>
      <c r="M97" s="11">
        <f>(M96+M98)/2</f>
        <v>9.2499999999999995E-3</v>
      </c>
      <c r="N97" s="11">
        <f>(N96+N98)/2</f>
        <v>2.15E-3</v>
      </c>
      <c r="O97" s="7">
        <f t="shared" si="39"/>
        <v>1.14E-2</v>
      </c>
      <c r="P97" s="7">
        <f t="shared" si="27"/>
        <v>0.18859649122807018</v>
      </c>
      <c r="Q97" s="95">
        <f t="shared" si="25"/>
        <v>1.5300000000000001E-2</v>
      </c>
      <c r="R97" s="88">
        <f t="shared" si="29"/>
        <v>256.41025641025641</v>
      </c>
      <c r="S97" s="89">
        <f t="shared" si="30"/>
        <v>76.04562737642587</v>
      </c>
      <c r="T97" s="89">
        <f t="shared" si="31"/>
        <v>58.651026392961882</v>
      </c>
      <c r="U97" s="89">
        <f t="shared" si="37"/>
        <v>256.41025641025641</v>
      </c>
      <c r="V97" s="89">
        <f t="shared" si="32"/>
        <v>87.719298245614027</v>
      </c>
      <c r="W97" s="89">
        <f t="shared" si="33"/>
        <v>65.359477124183002</v>
      </c>
      <c r="X97" s="72">
        <v>0.25</v>
      </c>
      <c r="Y97" s="66">
        <v>65.359477124183002</v>
      </c>
      <c r="Z97" s="56">
        <v>256.41025641025641</v>
      </c>
      <c r="AA97" s="56">
        <v>87.719298245614027</v>
      </c>
      <c r="AB97" s="121"/>
      <c r="AC97" s="122"/>
    </row>
    <row r="98" spans="1:29" s="18" customFormat="1">
      <c r="A98" s="24">
        <v>2022</v>
      </c>
      <c r="B98" s="6">
        <v>610322</v>
      </c>
      <c r="C98" s="6" t="s">
        <v>49</v>
      </c>
      <c r="D98" s="6">
        <f t="shared" si="43"/>
        <v>0.12500000000000003</v>
      </c>
      <c r="E98" s="7">
        <f>0.0005+0.002</f>
        <v>2.5000000000000001E-3</v>
      </c>
      <c r="F98" s="7">
        <v>1.4999999999999999E-2</v>
      </c>
      <c r="G98" s="7">
        <v>2.5000000000000001E-3</v>
      </c>
      <c r="H98" s="7">
        <f t="shared" si="21"/>
        <v>1.7499999999999998E-2</v>
      </c>
      <c r="I98" s="7">
        <f t="shared" si="28"/>
        <v>0.14285714285714288</v>
      </c>
      <c r="J98" s="7">
        <f t="shared" si="42"/>
        <v>1.9999999999999997E-2</v>
      </c>
      <c r="K98" s="6">
        <f t="shared" si="24"/>
        <v>0.12500000000000003</v>
      </c>
      <c r="L98" s="13">
        <f>0.0005+0.002</f>
        <v>2.5000000000000001E-3</v>
      </c>
      <c r="M98" s="7">
        <v>1.4999999999999999E-2</v>
      </c>
      <c r="N98" s="11">
        <v>2.5000000000000001E-3</v>
      </c>
      <c r="O98" s="7">
        <f t="shared" si="39"/>
        <v>1.7499999999999998E-2</v>
      </c>
      <c r="P98" s="7">
        <f t="shared" si="27"/>
        <v>0.14285714285714288</v>
      </c>
      <c r="Q98" s="95">
        <f t="shared" si="25"/>
        <v>1.9999999999999997E-2</v>
      </c>
      <c r="R98" s="88">
        <f t="shared" si="29"/>
        <v>400</v>
      </c>
      <c r="S98" s="89">
        <f t="shared" si="30"/>
        <v>57.142857142857146</v>
      </c>
      <c r="T98" s="89">
        <f t="shared" si="31"/>
        <v>50.000000000000007</v>
      </c>
      <c r="U98" s="89">
        <f t="shared" si="37"/>
        <v>400</v>
      </c>
      <c r="V98" s="89">
        <f t="shared" si="32"/>
        <v>57.142857142857146</v>
      </c>
      <c r="W98" s="89">
        <f t="shared" si="33"/>
        <v>50.000000000000007</v>
      </c>
      <c r="X98" s="72">
        <v>0.13</v>
      </c>
      <c r="Y98" s="66">
        <v>50.000000000000007</v>
      </c>
      <c r="Z98" s="56">
        <v>400</v>
      </c>
      <c r="AA98" s="56">
        <v>57.142857142857146</v>
      </c>
      <c r="AB98" s="121"/>
      <c r="AC98" s="122"/>
    </row>
    <row r="99" spans="1:29" s="18" customFormat="1">
      <c r="A99" s="24">
        <v>2031</v>
      </c>
      <c r="B99" s="6">
        <v>610322</v>
      </c>
      <c r="C99" s="6" t="s">
        <v>50</v>
      </c>
      <c r="D99" s="6">
        <f t="shared" si="43"/>
        <v>0.37500000000000006</v>
      </c>
      <c r="E99" s="7">
        <f>0.0034+0.0017</f>
        <v>5.0999999999999995E-3</v>
      </c>
      <c r="F99" s="7">
        <v>3.3999999999999998E-3</v>
      </c>
      <c r="G99" s="7">
        <f>0.0017+0.0034</f>
        <v>5.0999999999999995E-3</v>
      </c>
      <c r="H99" s="7">
        <f t="shared" si="21"/>
        <v>8.4999999999999989E-3</v>
      </c>
      <c r="I99" s="7">
        <f t="shared" si="28"/>
        <v>0.6</v>
      </c>
      <c r="J99" s="7">
        <f t="shared" si="42"/>
        <v>1.3599999999999998E-2</v>
      </c>
      <c r="K99" s="6">
        <f t="shared" si="24"/>
        <v>0.37500000000000006</v>
      </c>
      <c r="L99" s="13">
        <f>0.0017+0.0034</f>
        <v>5.0999999999999995E-3</v>
      </c>
      <c r="M99" s="7">
        <v>6.7999999999999996E-3</v>
      </c>
      <c r="N99" s="11">
        <v>1.6999999999999999E-3</v>
      </c>
      <c r="O99" s="7">
        <f t="shared" si="39"/>
        <v>8.4999999999999989E-3</v>
      </c>
      <c r="P99" s="7">
        <f t="shared" si="27"/>
        <v>0.2</v>
      </c>
      <c r="Q99" s="95">
        <f t="shared" si="25"/>
        <v>1.3599999999999998E-2</v>
      </c>
      <c r="R99" s="88">
        <f t="shared" si="29"/>
        <v>196.07843137254903</v>
      </c>
      <c r="S99" s="89">
        <f t="shared" si="30"/>
        <v>117.64705882352943</v>
      </c>
      <c r="T99" s="89">
        <f t="shared" si="31"/>
        <v>73.529411764705898</v>
      </c>
      <c r="U99" s="89">
        <f t="shared" si="37"/>
        <v>196.07843137254903</v>
      </c>
      <c r="V99" s="89">
        <f t="shared" si="32"/>
        <v>117.64705882352943</v>
      </c>
      <c r="W99" s="89">
        <f t="shared" si="33"/>
        <v>73.529411764705898</v>
      </c>
      <c r="X99" s="72">
        <v>0.38</v>
      </c>
      <c r="Y99" s="66">
        <v>73.529411764705898</v>
      </c>
      <c r="Z99" s="56">
        <v>196.07843137254903</v>
      </c>
      <c r="AA99" s="56">
        <v>117.64705882352943</v>
      </c>
      <c r="AB99" s="121"/>
      <c r="AC99" s="122"/>
    </row>
    <row r="100" spans="1:29" s="18" customFormat="1">
      <c r="A100" s="24"/>
      <c r="B100" s="6">
        <v>610322</v>
      </c>
      <c r="C100" s="6" t="s">
        <v>157</v>
      </c>
      <c r="D100" s="6">
        <f t="shared" si="43"/>
        <v>0.19398907103825136</v>
      </c>
      <c r="E100" s="7">
        <f>(E99+E101)/2</f>
        <v>3.5499999999999998E-3</v>
      </c>
      <c r="F100" s="7">
        <f>(F99+F101)/2</f>
        <v>1.0699999999999999E-2</v>
      </c>
      <c r="G100" s="7">
        <f>(G99+G101)/2</f>
        <v>4.0499999999999998E-3</v>
      </c>
      <c r="H100" s="7">
        <f t="shared" si="21"/>
        <v>1.4749999999999999E-2</v>
      </c>
      <c r="I100" s="7">
        <f t="shared" si="28"/>
        <v>0.27457627118644068</v>
      </c>
      <c r="J100" s="7">
        <f t="shared" si="42"/>
        <v>1.83E-2</v>
      </c>
      <c r="K100" s="6">
        <f t="shared" si="24"/>
        <v>0.19398907103825136</v>
      </c>
      <c r="L100" s="13">
        <f>(L99+L101)/2</f>
        <v>3.5499999999999998E-3</v>
      </c>
      <c r="M100" s="11">
        <f>(M99+M101)/2</f>
        <v>1.24E-2</v>
      </c>
      <c r="N100" s="11">
        <f>(N99+N101)/2</f>
        <v>2.3500000000000001E-3</v>
      </c>
      <c r="O100" s="7">
        <f t="shared" si="39"/>
        <v>1.4749999999999999E-2</v>
      </c>
      <c r="P100" s="7">
        <f t="shared" si="27"/>
        <v>0.1593220338983051</v>
      </c>
      <c r="Q100" s="95">
        <f t="shared" si="25"/>
        <v>1.83E-2</v>
      </c>
      <c r="R100" s="88">
        <f t="shared" si="29"/>
        <v>281.69014084507046</v>
      </c>
      <c r="S100" s="89">
        <f t="shared" si="30"/>
        <v>67.79661016949153</v>
      </c>
      <c r="T100" s="89">
        <f t="shared" si="31"/>
        <v>54.644808743169399</v>
      </c>
      <c r="U100" s="89">
        <f t="shared" si="37"/>
        <v>281.69014084507046</v>
      </c>
      <c r="V100" s="89">
        <f t="shared" si="32"/>
        <v>67.79661016949153</v>
      </c>
      <c r="W100" s="89">
        <f t="shared" si="33"/>
        <v>54.644808743169399</v>
      </c>
      <c r="X100" s="72">
        <v>0.19</v>
      </c>
      <c r="Y100" s="66">
        <v>54.644808743169399</v>
      </c>
      <c r="Z100" s="56">
        <v>281.69014084507046</v>
      </c>
      <c r="AA100" s="56">
        <v>67.79661016949153</v>
      </c>
      <c r="AB100" s="121"/>
      <c r="AC100" s="122"/>
    </row>
    <row r="101" spans="1:29" s="27" customFormat="1" ht="16" thickBot="1">
      <c r="A101" s="25">
        <v>2032</v>
      </c>
      <c r="B101" s="26">
        <v>610322</v>
      </c>
      <c r="C101" s="26" t="s">
        <v>51</v>
      </c>
      <c r="D101" s="26">
        <f t="shared" si="43"/>
        <v>8.6956521739130432E-2</v>
      </c>
      <c r="E101" s="28">
        <f>0.0015+0.0005</f>
        <v>2E-3</v>
      </c>
      <c r="F101" s="28">
        <v>1.7999999999999999E-2</v>
      </c>
      <c r="G101" s="28">
        <v>3.0000000000000001E-3</v>
      </c>
      <c r="H101" s="28">
        <f t="shared" si="21"/>
        <v>2.0999999999999998E-2</v>
      </c>
      <c r="I101" s="28">
        <f t="shared" si="28"/>
        <v>0.14285714285714288</v>
      </c>
      <c r="J101" s="28">
        <f t="shared" si="42"/>
        <v>2.3E-2</v>
      </c>
      <c r="K101" s="26">
        <f t="shared" si="24"/>
        <v>8.6956521739130432E-2</v>
      </c>
      <c r="L101" s="29">
        <f>0.0005+0.0015</f>
        <v>2E-3</v>
      </c>
      <c r="M101" s="28">
        <v>1.7999999999999999E-2</v>
      </c>
      <c r="N101" s="34">
        <v>3.0000000000000001E-3</v>
      </c>
      <c r="O101" s="28">
        <f t="shared" si="39"/>
        <v>2.0999999999999998E-2</v>
      </c>
      <c r="P101" s="28">
        <f t="shared" si="27"/>
        <v>0.14285714285714288</v>
      </c>
      <c r="Q101" s="97">
        <f t="shared" si="25"/>
        <v>2.3E-2</v>
      </c>
      <c r="R101" s="88">
        <f t="shared" si="29"/>
        <v>500</v>
      </c>
      <c r="S101" s="89">
        <f t="shared" si="30"/>
        <v>47.619047619047628</v>
      </c>
      <c r="T101" s="89">
        <f t="shared" si="31"/>
        <v>43.478260869565219</v>
      </c>
      <c r="U101" s="89">
        <f t="shared" si="37"/>
        <v>500</v>
      </c>
      <c r="V101" s="89">
        <f t="shared" si="32"/>
        <v>47.619047619047628</v>
      </c>
      <c r="W101" s="89">
        <f t="shared" si="33"/>
        <v>43.478260869565219</v>
      </c>
      <c r="X101" s="73">
        <v>0.09</v>
      </c>
      <c r="Y101" s="67">
        <v>43.478260869565219</v>
      </c>
      <c r="Z101" s="57">
        <v>500</v>
      </c>
      <c r="AA101" s="57">
        <v>47.619047619047628</v>
      </c>
      <c r="AB101" s="136"/>
      <c r="AC101" s="129"/>
    </row>
    <row r="102" spans="1:29" s="18" customFormat="1" ht="16" thickBot="1">
      <c r="A102" s="6"/>
      <c r="B102" s="6"/>
      <c r="C102" s="6"/>
      <c r="D102" s="6"/>
      <c r="E102" s="7"/>
      <c r="F102" s="7"/>
      <c r="G102" s="7"/>
      <c r="H102" s="7"/>
      <c r="I102" s="7"/>
      <c r="J102" s="7"/>
      <c r="K102" s="6"/>
      <c r="L102" s="13"/>
      <c r="M102" s="7"/>
      <c r="N102" s="11"/>
      <c r="O102" s="7"/>
      <c r="P102" s="7"/>
      <c r="Q102" s="95"/>
      <c r="R102" s="88"/>
      <c r="S102" s="89"/>
      <c r="T102" s="89"/>
      <c r="U102" s="89"/>
      <c r="V102" s="89"/>
      <c r="W102" s="89"/>
      <c r="X102" s="77">
        <f>AVERAGE(X95:X101)</f>
        <v>0.36285714285714282</v>
      </c>
      <c r="Y102" s="77">
        <f>AVERAGE(Y95:Y101)</f>
        <v>61.621654449018997</v>
      </c>
      <c r="Z102" s="77">
        <f>AVERAGE(Z95:Z101)</f>
        <v>267.55115341584212</v>
      </c>
      <c r="AA102" s="77">
        <f>AVERAGE(AA95:AA101)</f>
        <v>80.943445326222658</v>
      </c>
      <c r="AB102" s="62"/>
      <c r="AC102" s="78"/>
    </row>
    <row r="103" spans="1:29">
      <c r="A103" s="6">
        <v>2210</v>
      </c>
      <c r="B103" s="6">
        <v>610440</v>
      </c>
      <c r="C103" s="6" t="s">
        <v>57</v>
      </c>
      <c r="D103" s="2">
        <f t="shared" si="43"/>
        <v>1</v>
      </c>
      <c r="E103" s="7">
        <v>2E-3</v>
      </c>
      <c r="F103" s="7">
        <v>0</v>
      </c>
      <c r="G103" s="7">
        <v>0</v>
      </c>
      <c r="H103" s="7">
        <f t="shared" si="21"/>
        <v>0</v>
      </c>
      <c r="I103" s="7">
        <v>0</v>
      </c>
      <c r="J103" s="4">
        <f t="shared" si="42"/>
        <v>2E-3</v>
      </c>
      <c r="L103" s="13"/>
      <c r="M103" s="7"/>
      <c r="N103" s="11"/>
      <c r="O103" s="7"/>
      <c r="P103" s="7"/>
      <c r="Q103" s="95"/>
      <c r="R103" s="88">
        <f t="shared" si="29"/>
        <v>500</v>
      </c>
      <c r="S103" s="89">
        <v>0</v>
      </c>
      <c r="T103" s="89">
        <f t="shared" si="31"/>
        <v>500</v>
      </c>
      <c r="U103" s="89"/>
      <c r="V103" s="89"/>
      <c r="W103" s="89"/>
      <c r="X103" s="72">
        <v>1</v>
      </c>
      <c r="Y103" s="64">
        <v>500</v>
      </c>
      <c r="Z103" s="54">
        <v>500</v>
      </c>
      <c r="AA103" s="54">
        <v>0</v>
      </c>
      <c r="AB103" s="134">
        <v>296</v>
      </c>
      <c r="AC103" s="127">
        <v>0.25</v>
      </c>
    </row>
    <row r="104" spans="1:29">
      <c r="A104" s="6">
        <v>2221</v>
      </c>
      <c r="B104" s="6">
        <v>610440</v>
      </c>
      <c r="C104" s="6" t="s">
        <v>58</v>
      </c>
      <c r="D104" s="2">
        <f t="shared" si="43"/>
        <v>0.66666666666666663</v>
      </c>
      <c r="E104" s="7">
        <v>2E-3</v>
      </c>
      <c r="F104" s="7">
        <v>0</v>
      </c>
      <c r="G104" s="7">
        <v>1E-3</v>
      </c>
      <c r="H104" s="7">
        <f t="shared" si="21"/>
        <v>1E-3</v>
      </c>
      <c r="I104" s="7">
        <f t="shared" si="28"/>
        <v>1</v>
      </c>
      <c r="J104" s="4">
        <f t="shared" si="42"/>
        <v>3.0000000000000001E-3</v>
      </c>
      <c r="L104" s="13"/>
      <c r="M104" s="7"/>
      <c r="N104" s="11"/>
      <c r="O104" s="7"/>
      <c r="P104" s="7"/>
      <c r="Q104" s="95"/>
      <c r="R104" s="88">
        <f t="shared" si="29"/>
        <v>500</v>
      </c>
      <c r="S104" s="89">
        <f t="shared" si="30"/>
        <v>1000</v>
      </c>
      <c r="T104" s="89">
        <f t="shared" si="31"/>
        <v>333.33333333333331</v>
      </c>
      <c r="U104" s="89"/>
      <c r="V104" s="89"/>
      <c r="W104" s="89"/>
      <c r="X104" s="72">
        <v>0.67</v>
      </c>
      <c r="Y104" s="64">
        <v>333.33333333333331</v>
      </c>
      <c r="Z104" s="54">
        <v>500</v>
      </c>
      <c r="AA104" s="54">
        <v>1000</v>
      </c>
      <c r="AB104" s="135"/>
      <c r="AC104" s="128"/>
    </row>
    <row r="105" spans="1:29">
      <c r="A105" s="6"/>
      <c r="B105" s="6">
        <v>610440</v>
      </c>
      <c r="C105" s="6" t="s">
        <v>158</v>
      </c>
      <c r="D105" s="2">
        <f t="shared" si="43"/>
        <v>0.63492063492063489</v>
      </c>
      <c r="E105" s="7">
        <f>(E104+E106)/2</f>
        <v>2E-3</v>
      </c>
      <c r="F105" s="7">
        <f>(F104+F106)/2</f>
        <v>0</v>
      </c>
      <c r="G105" s="7">
        <f>(G104+G106)/2</f>
        <v>1.15E-3</v>
      </c>
      <c r="H105" s="7">
        <f t="shared" si="21"/>
        <v>1.15E-3</v>
      </c>
      <c r="I105" s="7">
        <f t="shared" si="28"/>
        <v>1</v>
      </c>
      <c r="J105" s="4">
        <f t="shared" si="42"/>
        <v>3.15E-3</v>
      </c>
      <c r="L105" s="13"/>
      <c r="M105" s="7"/>
      <c r="N105" s="11"/>
      <c r="O105" s="7"/>
      <c r="P105" s="7"/>
      <c r="Q105" s="95"/>
      <c r="R105" s="88">
        <f t="shared" si="29"/>
        <v>500</v>
      </c>
      <c r="S105" s="89">
        <f t="shared" si="30"/>
        <v>869.56521739130437</v>
      </c>
      <c r="T105" s="89">
        <f t="shared" si="31"/>
        <v>317.46031746031747</v>
      </c>
      <c r="U105" s="89"/>
      <c r="V105" s="89"/>
      <c r="W105" s="89"/>
      <c r="X105" s="72">
        <v>0.63</v>
      </c>
      <c r="Y105" s="64">
        <v>317.46031746031747</v>
      </c>
      <c r="Z105" s="54">
        <v>500</v>
      </c>
      <c r="AA105" s="54">
        <v>869.56521739130437</v>
      </c>
      <c r="AB105" s="135"/>
      <c r="AC105" s="128"/>
    </row>
    <row r="106" spans="1:29">
      <c r="A106" s="6">
        <v>2222</v>
      </c>
      <c r="B106" s="6">
        <v>610440</v>
      </c>
      <c r="C106" s="6" t="s">
        <v>59</v>
      </c>
      <c r="D106" s="2">
        <f t="shared" si="43"/>
        <v>0.60606060606060608</v>
      </c>
      <c r="E106" s="7">
        <v>2E-3</v>
      </c>
      <c r="F106" s="7">
        <v>0</v>
      </c>
      <c r="G106" s="7">
        <v>1.2999999999999999E-3</v>
      </c>
      <c r="H106" s="7">
        <f t="shared" si="21"/>
        <v>1.2999999999999999E-3</v>
      </c>
      <c r="I106" s="7">
        <f t="shared" si="28"/>
        <v>1</v>
      </c>
      <c r="J106" s="4">
        <f t="shared" si="42"/>
        <v>3.3E-3</v>
      </c>
      <c r="L106" s="13"/>
      <c r="M106" s="7"/>
      <c r="N106" s="11"/>
      <c r="O106" s="7"/>
      <c r="P106" s="7"/>
      <c r="Q106" s="95"/>
      <c r="R106" s="88">
        <f t="shared" si="29"/>
        <v>500</v>
      </c>
      <c r="S106" s="89">
        <f t="shared" si="30"/>
        <v>769.23076923076928</v>
      </c>
      <c r="T106" s="89">
        <f t="shared" si="31"/>
        <v>303.03030303030306</v>
      </c>
      <c r="U106" s="89"/>
      <c r="V106" s="89"/>
      <c r="W106" s="89"/>
      <c r="X106" s="72">
        <v>0.61</v>
      </c>
      <c r="Y106" s="64">
        <v>303.03030303030306</v>
      </c>
      <c r="Z106" s="54">
        <v>500</v>
      </c>
      <c r="AA106" s="54">
        <v>769.23076923076928</v>
      </c>
      <c r="AB106" s="135"/>
      <c r="AC106" s="128"/>
    </row>
    <row r="107" spans="1:29">
      <c r="A107" s="6">
        <v>2231</v>
      </c>
      <c r="B107" s="6">
        <v>610440</v>
      </c>
      <c r="C107" s="6" t="s">
        <v>60</v>
      </c>
      <c r="D107" s="2">
        <f t="shared" si="43"/>
        <v>0.66666666666666663</v>
      </c>
      <c r="E107" s="7">
        <v>2E-3</v>
      </c>
      <c r="F107" s="7">
        <v>0</v>
      </c>
      <c r="G107" s="7">
        <v>1E-3</v>
      </c>
      <c r="H107" s="7">
        <f t="shared" si="21"/>
        <v>1E-3</v>
      </c>
      <c r="I107" s="7">
        <f t="shared" si="28"/>
        <v>1</v>
      </c>
      <c r="J107" s="4">
        <f t="shared" si="42"/>
        <v>3.0000000000000001E-3</v>
      </c>
      <c r="L107" s="13"/>
      <c r="M107" s="7"/>
      <c r="N107" s="11"/>
      <c r="O107" s="7"/>
      <c r="P107" s="7"/>
      <c r="Q107" s="95"/>
      <c r="R107" s="88">
        <f t="shared" si="29"/>
        <v>500</v>
      </c>
      <c r="S107" s="89">
        <f t="shared" si="30"/>
        <v>1000</v>
      </c>
      <c r="T107" s="89">
        <f t="shared" si="31"/>
        <v>333.33333333333331</v>
      </c>
      <c r="U107" s="89"/>
      <c r="V107" s="89"/>
      <c r="W107" s="89"/>
      <c r="X107" s="72">
        <v>0.67</v>
      </c>
      <c r="Y107" s="64">
        <v>333.33333333333331</v>
      </c>
      <c r="Z107" s="54">
        <v>500</v>
      </c>
      <c r="AA107" s="54">
        <v>1000</v>
      </c>
      <c r="AB107" s="135"/>
      <c r="AC107" s="128"/>
    </row>
    <row r="108" spans="1:29">
      <c r="A108" s="6"/>
      <c r="B108" s="6">
        <v>610440</v>
      </c>
      <c r="C108" s="6" t="s">
        <v>159</v>
      </c>
      <c r="D108" s="2">
        <f t="shared" si="43"/>
        <v>0.63492063492063489</v>
      </c>
      <c r="E108" s="7">
        <f>(E107+E109)/2</f>
        <v>2E-3</v>
      </c>
      <c r="F108" s="7">
        <f>(F107+F109)/2</f>
        <v>0</v>
      </c>
      <c r="G108" s="7">
        <f>(G107+G109)/2</f>
        <v>1.15E-3</v>
      </c>
      <c r="H108" s="7">
        <f t="shared" si="21"/>
        <v>1.15E-3</v>
      </c>
      <c r="I108" s="7">
        <f t="shared" si="28"/>
        <v>1</v>
      </c>
      <c r="J108" s="4">
        <f t="shared" si="42"/>
        <v>3.15E-3</v>
      </c>
      <c r="L108" s="13"/>
      <c r="M108" s="7"/>
      <c r="N108" s="11"/>
      <c r="O108" s="7"/>
      <c r="P108" s="7"/>
      <c r="Q108" s="95"/>
      <c r="R108" s="88">
        <f t="shared" si="29"/>
        <v>500</v>
      </c>
      <c r="S108" s="89">
        <f t="shared" si="30"/>
        <v>869.56521739130437</v>
      </c>
      <c r="T108" s="89">
        <f t="shared" si="31"/>
        <v>317.46031746031747</v>
      </c>
      <c r="U108" s="89"/>
      <c r="V108" s="89"/>
      <c r="W108" s="89"/>
      <c r="X108" s="72">
        <v>0.63</v>
      </c>
      <c r="Y108" s="64">
        <v>317.46031746031747</v>
      </c>
      <c r="Z108" s="54">
        <v>500</v>
      </c>
      <c r="AA108" s="54">
        <v>869.56521739130437</v>
      </c>
      <c r="AB108" s="135"/>
      <c r="AC108" s="128"/>
    </row>
    <row r="109" spans="1:29" ht="16" thickBot="1">
      <c r="A109" s="6">
        <v>2232</v>
      </c>
      <c r="B109" s="6">
        <v>610440</v>
      </c>
      <c r="C109" s="6" t="s">
        <v>61</v>
      </c>
      <c r="D109" s="2">
        <f t="shared" si="43"/>
        <v>0.60606060606060608</v>
      </c>
      <c r="E109" s="7">
        <v>2E-3</v>
      </c>
      <c r="F109" s="7">
        <v>0</v>
      </c>
      <c r="G109" s="7">
        <v>1.2999999999999999E-3</v>
      </c>
      <c r="H109" s="7">
        <f t="shared" si="21"/>
        <v>1.2999999999999999E-3</v>
      </c>
      <c r="I109" s="7">
        <f t="shared" si="28"/>
        <v>1</v>
      </c>
      <c r="J109" s="4">
        <f t="shared" si="42"/>
        <v>3.3E-3</v>
      </c>
      <c r="L109" s="13"/>
      <c r="M109" s="7"/>
      <c r="N109" s="7"/>
      <c r="O109" s="7"/>
      <c r="P109" s="7"/>
      <c r="Q109" s="95"/>
      <c r="R109" s="88">
        <f t="shared" si="29"/>
        <v>500</v>
      </c>
      <c r="S109" s="89">
        <f t="shared" si="30"/>
        <v>769.23076923076928</v>
      </c>
      <c r="T109" s="89">
        <f t="shared" si="31"/>
        <v>303.03030303030306</v>
      </c>
      <c r="U109" s="89"/>
      <c r="V109" s="89"/>
      <c r="W109" s="89"/>
      <c r="X109" s="72">
        <v>0.61</v>
      </c>
      <c r="Y109" s="64">
        <v>303.03030303030306</v>
      </c>
      <c r="Z109" s="54">
        <v>500</v>
      </c>
      <c r="AA109" s="54">
        <v>769.23076923076928</v>
      </c>
      <c r="AB109" s="136"/>
      <c r="AC109" s="129"/>
    </row>
    <row r="110" spans="1:29" ht="16" thickBot="1">
      <c r="A110" s="6"/>
      <c r="B110" s="6"/>
      <c r="C110" s="6"/>
      <c r="E110" s="7"/>
      <c r="F110" s="7"/>
      <c r="G110" s="7"/>
      <c r="H110" s="7"/>
      <c r="I110" s="7"/>
      <c r="J110" s="4"/>
      <c r="L110" s="13"/>
      <c r="M110" s="7"/>
      <c r="N110" s="7"/>
      <c r="O110" s="7"/>
      <c r="P110" s="7"/>
      <c r="Q110" s="95"/>
      <c r="R110" s="88"/>
      <c r="S110" s="89"/>
      <c r="T110" s="89"/>
      <c r="U110" s="89"/>
      <c r="V110" s="89"/>
      <c r="W110" s="89"/>
      <c r="X110" s="77">
        <f>AVERAGE(X103:X109)</f>
        <v>0.68857142857142861</v>
      </c>
      <c r="Y110" s="77">
        <f>AVERAGE(Y103:Y109)</f>
        <v>343.9497010925582</v>
      </c>
      <c r="Z110" s="77">
        <f>AVERAGE(Z103:Z109)</f>
        <v>500</v>
      </c>
      <c r="AA110" s="77">
        <f>AVERAGE(AA103:AA109)</f>
        <v>753.94171046344957</v>
      </c>
      <c r="AB110" s="62"/>
      <c r="AC110" s="78"/>
    </row>
    <row r="111" spans="1:29" s="21" customFormat="1">
      <c r="A111" s="19">
        <v>2510</v>
      </c>
      <c r="B111" s="20">
        <v>610280</v>
      </c>
      <c r="C111" s="20" t="s">
        <v>70</v>
      </c>
      <c r="D111" s="20">
        <f t="shared" si="43"/>
        <v>0.75</v>
      </c>
      <c r="E111" s="22">
        <f>0.015</f>
        <v>1.4999999999999999E-2</v>
      </c>
      <c r="F111" s="22">
        <v>0</v>
      </c>
      <c r="G111" s="22">
        <v>5.0000000000000001E-3</v>
      </c>
      <c r="H111" s="22">
        <f t="shared" si="21"/>
        <v>5.0000000000000001E-3</v>
      </c>
      <c r="I111" s="22">
        <f t="shared" si="28"/>
        <v>1</v>
      </c>
      <c r="J111" s="22">
        <f t="shared" si="42"/>
        <v>0.02</v>
      </c>
      <c r="K111" s="20">
        <f t="shared" ref="K111:K133" si="44">L111/Q111</f>
        <v>1</v>
      </c>
      <c r="L111" s="33">
        <f>0.015+0.0075</f>
        <v>2.2499999999999999E-2</v>
      </c>
      <c r="M111" s="22">
        <v>0</v>
      </c>
      <c r="N111" s="22">
        <v>0</v>
      </c>
      <c r="O111" s="22">
        <f t="shared" si="39"/>
        <v>0</v>
      </c>
      <c r="P111" s="22">
        <v>0</v>
      </c>
      <c r="Q111" s="96">
        <f t="shared" ref="Q111:Q133" si="45">L111+O111</f>
        <v>2.2499999999999999E-2</v>
      </c>
      <c r="R111" s="88">
        <f t="shared" si="29"/>
        <v>66.666666666666671</v>
      </c>
      <c r="S111" s="89">
        <f t="shared" si="30"/>
        <v>200</v>
      </c>
      <c r="T111" s="89">
        <f t="shared" si="31"/>
        <v>50</v>
      </c>
      <c r="U111" s="89">
        <f>1/L111</f>
        <v>44.444444444444443</v>
      </c>
      <c r="V111" s="89">
        <v>0</v>
      </c>
      <c r="W111" s="89">
        <f t="shared" si="33"/>
        <v>44.444444444444443</v>
      </c>
      <c r="X111" s="71">
        <v>1</v>
      </c>
      <c r="Y111" s="65">
        <v>44.444444444444443</v>
      </c>
      <c r="Z111" s="55">
        <v>44.444444444444443</v>
      </c>
      <c r="AA111" s="55">
        <v>0</v>
      </c>
      <c r="AB111" s="134">
        <v>29</v>
      </c>
      <c r="AC111" s="127">
        <v>0.08</v>
      </c>
    </row>
    <row r="112" spans="1:29" s="18" customFormat="1">
      <c r="A112" s="24">
        <v>2521</v>
      </c>
      <c r="B112" s="6">
        <v>610280</v>
      </c>
      <c r="C112" s="6" t="s">
        <v>71</v>
      </c>
      <c r="D112" s="6">
        <f t="shared" si="43"/>
        <v>0.11111111111111113</v>
      </c>
      <c r="E112" s="7">
        <f>0.005</f>
        <v>5.0000000000000001E-3</v>
      </c>
      <c r="F112" s="7">
        <f>0.015+0.007</f>
        <v>2.1999999999999999E-2</v>
      </c>
      <c r="G112" s="7">
        <v>1.7999999999999999E-2</v>
      </c>
      <c r="H112" s="7">
        <f t="shared" si="21"/>
        <v>3.9999999999999994E-2</v>
      </c>
      <c r="I112" s="7">
        <f t="shared" si="28"/>
        <v>0.45</v>
      </c>
      <c r="J112" s="7">
        <f t="shared" si="42"/>
        <v>4.4999999999999991E-2</v>
      </c>
      <c r="K112" s="6">
        <f t="shared" si="44"/>
        <v>0.2315533980582524</v>
      </c>
      <c r="L112" s="11">
        <f>(0.0063*0.75)+0.0048+0.0024</f>
        <v>1.1924999999999998E-2</v>
      </c>
      <c r="M112" s="7">
        <f>(0.02*0.75)+0.018</f>
        <v>3.3000000000000002E-2</v>
      </c>
      <c r="N112" s="7">
        <f>(0.0063*0.25)+(0.02*0.25)</f>
        <v>6.5750000000000001E-3</v>
      </c>
      <c r="O112" s="7">
        <f>M112+N112</f>
        <v>3.9574999999999999E-2</v>
      </c>
      <c r="P112" s="7">
        <f t="shared" ref="P112:P133" si="46">N112/O112</f>
        <v>0.16614024005053696</v>
      </c>
      <c r="Q112" s="95">
        <f>L112+O112</f>
        <v>5.1499999999999997E-2</v>
      </c>
      <c r="R112" s="88">
        <f t="shared" si="29"/>
        <v>200</v>
      </c>
      <c r="S112" s="89">
        <f t="shared" si="30"/>
        <v>25.000000000000004</v>
      </c>
      <c r="T112" s="89">
        <f t="shared" si="31"/>
        <v>22.222222222222225</v>
      </c>
      <c r="U112" s="89">
        <f>1/L112</f>
        <v>83.857442348008405</v>
      </c>
      <c r="V112" s="89">
        <f>1/O112</f>
        <v>25.268477574226154</v>
      </c>
      <c r="W112" s="89">
        <f>1/Q112</f>
        <v>19.417475728155342</v>
      </c>
      <c r="X112" s="72">
        <v>0.23</v>
      </c>
      <c r="Y112" s="66">
        <v>19.417475728155342</v>
      </c>
      <c r="Z112" s="56">
        <v>83.857442348008405</v>
      </c>
      <c r="AA112" s="56">
        <v>25.268477574226154</v>
      </c>
      <c r="AB112" s="121"/>
      <c r="AC112" s="122"/>
    </row>
    <row r="113" spans="1:29" s="18" customFormat="1">
      <c r="A113" s="24"/>
      <c r="B113" s="6">
        <v>610280</v>
      </c>
      <c r="C113" s="6" t="s">
        <v>160</v>
      </c>
      <c r="D113" s="6">
        <f t="shared" si="43"/>
        <v>0.10423452768729641</v>
      </c>
      <c r="E113" s="7">
        <f>(E112+E114)/2</f>
        <v>6.3999999999999994E-3</v>
      </c>
      <c r="F113" s="7">
        <f>(F112+F114)/2</f>
        <v>3.0499999999999999E-2</v>
      </c>
      <c r="G113" s="7">
        <f>(G112+G114)/2</f>
        <v>2.4500000000000001E-2</v>
      </c>
      <c r="H113" s="7">
        <f t="shared" si="21"/>
        <v>5.5E-2</v>
      </c>
      <c r="I113" s="7">
        <f t="shared" si="28"/>
        <v>0.44545454545454549</v>
      </c>
      <c r="J113" s="7">
        <f t="shared" si="42"/>
        <v>6.1399999999999996E-2</v>
      </c>
      <c r="K113" s="6">
        <f t="shared" si="44"/>
        <v>0.17422715053763441</v>
      </c>
      <c r="L113" s="11">
        <f>(L112+L114)/2</f>
        <v>1.2962499999999998E-2</v>
      </c>
      <c r="M113" s="11">
        <f>(M112+M114)/2</f>
        <v>4.65E-2</v>
      </c>
      <c r="N113" s="11">
        <f>(N112+N114)/2</f>
        <v>1.4937500000000001E-2</v>
      </c>
      <c r="O113" s="7">
        <f t="shared" si="39"/>
        <v>6.1437499999999999E-2</v>
      </c>
      <c r="P113" s="7">
        <f t="shared" si="46"/>
        <v>0.24313326551373349</v>
      </c>
      <c r="Q113" s="95">
        <f t="shared" si="45"/>
        <v>7.4399999999999994E-2</v>
      </c>
      <c r="R113" s="88">
        <f t="shared" si="29"/>
        <v>156.25</v>
      </c>
      <c r="S113" s="89">
        <f t="shared" si="30"/>
        <v>18.181818181818183</v>
      </c>
      <c r="T113" s="89">
        <f t="shared" si="31"/>
        <v>16.286644951140065</v>
      </c>
      <c r="U113" s="89">
        <f t="shared" ref="U113:U133" si="47">1/L113</f>
        <v>77.145612343297984</v>
      </c>
      <c r="V113" s="89">
        <f t="shared" si="32"/>
        <v>16.276703967446593</v>
      </c>
      <c r="W113" s="89">
        <f t="shared" si="33"/>
        <v>13.440860215053764</v>
      </c>
      <c r="X113" s="72">
        <v>0.17</v>
      </c>
      <c r="Y113" s="66">
        <v>13.440860215053764</v>
      </c>
      <c r="Z113" s="56">
        <v>77.145612343297984</v>
      </c>
      <c r="AA113" s="56">
        <v>16.276703967446593</v>
      </c>
      <c r="AB113" s="121"/>
      <c r="AC113" s="122"/>
    </row>
    <row r="114" spans="1:29" s="18" customFormat="1">
      <c r="A114" s="24">
        <v>2522</v>
      </c>
      <c r="B114" s="6">
        <v>610280</v>
      </c>
      <c r="C114" s="6" t="s">
        <v>72</v>
      </c>
      <c r="D114" s="6">
        <f t="shared" si="43"/>
        <v>0.10025706940874035</v>
      </c>
      <c r="E114" s="7">
        <v>7.7999999999999996E-3</v>
      </c>
      <c r="F114" s="7">
        <v>3.9E-2</v>
      </c>
      <c r="G114" s="7">
        <v>3.1E-2</v>
      </c>
      <c r="H114" s="7">
        <f t="shared" si="21"/>
        <v>7.0000000000000007E-2</v>
      </c>
      <c r="I114" s="7">
        <f t="shared" si="28"/>
        <v>0.44285714285714284</v>
      </c>
      <c r="J114" s="7">
        <f t="shared" si="42"/>
        <v>7.7800000000000008E-2</v>
      </c>
      <c r="K114" s="6">
        <f t="shared" si="44"/>
        <v>0.14388489208633093</v>
      </c>
      <c r="L114" s="11">
        <f>0.0078+0.0016+0.0046</f>
        <v>1.4E-2</v>
      </c>
      <c r="M114" s="7">
        <v>0.06</v>
      </c>
      <c r="N114" s="7">
        <v>2.3300000000000001E-2</v>
      </c>
      <c r="O114" s="7">
        <f t="shared" si="39"/>
        <v>8.3299999999999999E-2</v>
      </c>
      <c r="P114" s="7">
        <f t="shared" si="46"/>
        <v>0.27971188475390157</v>
      </c>
      <c r="Q114" s="95">
        <f t="shared" si="45"/>
        <v>9.7299999999999998E-2</v>
      </c>
      <c r="R114" s="88">
        <f t="shared" si="29"/>
        <v>128.2051282051282</v>
      </c>
      <c r="S114" s="89">
        <f t="shared" si="30"/>
        <v>14.285714285714285</v>
      </c>
      <c r="T114" s="89">
        <f t="shared" si="31"/>
        <v>12.853470437017993</v>
      </c>
      <c r="U114" s="89">
        <f t="shared" si="47"/>
        <v>71.428571428571431</v>
      </c>
      <c r="V114" s="89">
        <f t="shared" si="32"/>
        <v>12.004801920768308</v>
      </c>
      <c r="W114" s="89">
        <f t="shared" si="33"/>
        <v>10.277492291880781</v>
      </c>
      <c r="X114" s="72">
        <v>0.14000000000000001</v>
      </c>
      <c r="Y114" s="66">
        <v>10.277492291880781</v>
      </c>
      <c r="Z114" s="56">
        <v>71.428571428571431</v>
      </c>
      <c r="AA114" s="56">
        <v>12.004801920768308</v>
      </c>
      <c r="AB114" s="121"/>
      <c r="AC114" s="122"/>
    </row>
    <row r="115" spans="1:29" s="18" customFormat="1">
      <c r="A115" s="24">
        <v>2531</v>
      </c>
      <c r="B115" s="6">
        <v>610280</v>
      </c>
      <c r="C115" s="6" t="s">
        <v>73</v>
      </c>
      <c r="D115" s="6">
        <f t="shared" si="43"/>
        <v>0.2446043165467626</v>
      </c>
      <c r="E115" s="7">
        <f>0.0038+0.003</f>
        <v>6.8000000000000005E-3</v>
      </c>
      <c r="F115" s="7">
        <f>0.01+0.0065</f>
        <v>1.6500000000000001E-2</v>
      </c>
      <c r="G115" s="7">
        <v>4.4999999999999997E-3</v>
      </c>
      <c r="H115" s="7">
        <f t="shared" si="21"/>
        <v>2.1000000000000001E-2</v>
      </c>
      <c r="I115" s="7">
        <f t="shared" si="28"/>
        <v>0.21428571428571425</v>
      </c>
      <c r="J115" s="7">
        <f t="shared" si="42"/>
        <v>2.7800000000000002E-2</v>
      </c>
      <c r="K115" s="6">
        <f t="shared" si="44"/>
        <v>0.36551724137931041</v>
      </c>
      <c r="L115" s="11">
        <f>0.005+0.004+0.0016</f>
        <v>1.0600000000000002E-2</v>
      </c>
      <c r="M115" s="7">
        <v>8.3999999999999995E-3</v>
      </c>
      <c r="N115" s="7">
        <v>0.01</v>
      </c>
      <c r="O115" s="7">
        <f t="shared" si="39"/>
        <v>1.84E-2</v>
      </c>
      <c r="P115" s="7">
        <f t="shared" si="46"/>
        <v>0.54347826086956519</v>
      </c>
      <c r="Q115" s="95">
        <f t="shared" si="45"/>
        <v>2.9000000000000001E-2</v>
      </c>
      <c r="R115" s="88">
        <f t="shared" si="29"/>
        <v>147.05882352941177</v>
      </c>
      <c r="S115" s="89">
        <f t="shared" si="30"/>
        <v>47.619047619047613</v>
      </c>
      <c r="T115" s="89">
        <f t="shared" si="31"/>
        <v>35.97122302158273</v>
      </c>
      <c r="U115" s="89">
        <f t="shared" si="47"/>
        <v>94.339622641509422</v>
      </c>
      <c r="V115" s="89">
        <f t="shared" si="32"/>
        <v>54.347826086956523</v>
      </c>
      <c r="W115" s="89">
        <f t="shared" si="33"/>
        <v>34.482758620689651</v>
      </c>
      <c r="X115" s="72">
        <v>0.37</v>
      </c>
      <c r="Y115" s="66">
        <v>34.482758620689651</v>
      </c>
      <c r="Z115" s="56">
        <v>94.339622641509422</v>
      </c>
      <c r="AA115" s="56">
        <v>54.347826086956523</v>
      </c>
      <c r="AB115" s="121"/>
      <c r="AC115" s="122"/>
    </row>
    <row r="116" spans="1:29" s="18" customFormat="1">
      <c r="A116" s="24"/>
      <c r="B116" s="6">
        <v>610280</v>
      </c>
      <c r="C116" s="6" t="s">
        <v>161</v>
      </c>
      <c r="D116" s="6">
        <f t="shared" si="43"/>
        <v>8.2202713487629697E-2</v>
      </c>
      <c r="E116" s="7">
        <f>(E115+E117)/2</f>
        <v>5.1500000000000001E-3</v>
      </c>
      <c r="F116" s="7">
        <f>(F115+F117)/2</f>
        <v>4.0750000000000001E-2</v>
      </c>
      <c r="G116" s="7">
        <f>(G115+G117)/2</f>
        <v>1.6750000000000001E-2</v>
      </c>
      <c r="H116" s="7">
        <f t="shared" si="21"/>
        <v>5.7500000000000002E-2</v>
      </c>
      <c r="I116" s="7">
        <f t="shared" si="28"/>
        <v>0.29130434782608694</v>
      </c>
      <c r="J116" s="7">
        <f t="shared" si="42"/>
        <v>6.2649999999999997E-2</v>
      </c>
      <c r="K116" s="6">
        <f t="shared" si="44"/>
        <v>0.13717693836978131</v>
      </c>
      <c r="L116" s="11">
        <f>(L115+L117)/2</f>
        <v>1.0350000000000002E-2</v>
      </c>
      <c r="M116" s="7">
        <f>(M115+M117)/2</f>
        <v>4.9200000000000001E-2</v>
      </c>
      <c r="N116" s="7">
        <f>(N115+N117)/2</f>
        <v>1.5900000000000001E-2</v>
      </c>
      <c r="O116" s="7">
        <f t="shared" si="39"/>
        <v>6.5100000000000005E-2</v>
      </c>
      <c r="P116" s="7">
        <f t="shared" si="46"/>
        <v>0.24423963133640553</v>
      </c>
      <c r="Q116" s="95">
        <f t="shared" si="45"/>
        <v>7.5450000000000003E-2</v>
      </c>
      <c r="R116" s="88">
        <f t="shared" si="29"/>
        <v>194.17475728155338</v>
      </c>
      <c r="S116" s="89">
        <f t="shared" si="30"/>
        <v>17.391304347826086</v>
      </c>
      <c r="T116" s="89">
        <f t="shared" si="31"/>
        <v>15.961691939345572</v>
      </c>
      <c r="U116" s="89">
        <f t="shared" si="47"/>
        <v>96.618357487922694</v>
      </c>
      <c r="V116" s="89">
        <f t="shared" si="32"/>
        <v>15.360983102918585</v>
      </c>
      <c r="W116" s="89">
        <f t="shared" si="33"/>
        <v>13.25381047051027</v>
      </c>
      <c r="X116" s="72">
        <v>0.14000000000000001</v>
      </c>
      <c r="Y116" s="66">
        <v>13.25381047051027</v>
      </c>
      <c r="Z116" s="56">
        <v>96.618357487922694</v>
      </c>
      <c r="AA116" s="56">
        <v>15.360983102918585</v>
      </c>
      <c r="AB116" s="121"/>
      <c r="AC116" s="122"/>
    </row>
    <row r="117" spans="1:29" s="27" customFormat="1" ht="16" thickBot="1">
      <c r="A117" s="25">
        <v>2532</v>
      </c>
      <c r="B117" s="26">
        <v>610280</v>
      </c>
      <c r="C117" s="26" t="s">
        <v>74</v>
      </c>
      <c r="D117" s="26">
        <f t="shared" si="43"/>
        <v>3.5897435897435895E-2</v>
      </c>
      <c r="E117" s="28">
        <v>3.5000000000000001E-3</v>
      </c>
      <c r="F117" s="28">
        <v>6.5000000000000002E-2</v>
      </c>
      <c r="G117" s="28">
        <v>2.9000000000000001E-2</v>
      </c>
      <c r="H117" s="28">
        <f t="shared" si="21"/>
        <v>9.4E-2</v>
      </c>
      <c r="I117" s="28">
        <f t="shared" si="28"/>
        <v>0.30851063829787234</v>
      </c>
      <c r="J117" s="28">
        <f>E117+H117</f>
        <v>9.7500000000000003E-2</v>
      </c>
      <c r="K117" s="26">
        <f t="shared" si="44"/>
        <v>8.2854799015586553E-2</v>
      </c>
      <c r="L117" s="34">
        <f>0.0073+0.0008+0.002</f>
        <v>1.01E-2</v>
      </c>
      <c r="M117" s="28">
        <v>0.09</v>
      </c>
      <c r="N117" s="28">
        <v>2.18E-2</v>
      </c>
      <c r="O117" s="28">
        <f t="shared" si="39"/>
        <v>0.1118</v>
      </c>
      <c r="P117" s="28">
        <f t="shared" si="46"/>
        <v>0.19499105545617174</v>
      </c>
      <c r="Q117" s="97">
        <f>L117+O117</f>
        <v>0.12189999999999999</v>
      </c>
      <c r="R117" s="88">
        <f t="shared" si="29"/>
        <v>285.71428571428572</v>
      </c>
      <c r="S117" s="89">
        <f t="shared" si="30"/>
        <v>10.638297872340425</v>
      </c>
      <c r="T117" s="89">
        <f t="shared" si="31"/>
        <v>10.256410256410255</v>
      </c>
      <c r="U117" s="89">
        <f t="shared" si="47"/>
        <v>99.009900990099013</v>
      </c>
      <c r="V117" s="89">
        <f t="shared" si="32"/>
        <v>8.9445438282647594</v>
      </c>
      <c r="W117" s="89">
        <f t="shared" si="33"/>
        <v>8.2034454470877769</v>
      </c>
      <c r="X117" s="73">
        <v>0.08</v>
      </c>
      <c r="Y117" s="67">
        <v>8.2034454470877769</v>
      </c>
      <c r="Z117" s="57">
        <v>99.009900990099013</v>
      </c>
      <c r="AA117" s="57">
        <v>8.9445438282647594</v>
      </c>
      <c r="AB117" s="136"/>
      <c r="AC117" s="129"/>
    </row>
    <row r="118" spans="1:29" s="18" customFormat="1" ht="16" thickBot="1">
      <c r="A118" s="6"/>
      <c r="B118" s="6"/>
      <c r="C118" s="6"/>
      <c r="D118" s="6"/>
      <c r="E118" s="7"/>
      <c r="F118" s="7"/>
      <c r="G118" s="7"/>
      <c r="H118" s="7"/>
      <c r="I118" s="7"/>
      <c r="J118" s="7"/>
      <c r="K118" s="6"/>
      <c r="L118" s="11"/>
      <c r="M118" s="7"/>
      <c r="N118" s="7"/>
      <c r="O118" s="7"/>
      <c r="P118" s="7"/>
      <c r="Q118" s="95"/>
      <c r="R118" s="88"/>
      <c r="S118" s="89"/>
      <c r="T118" s="89"/>
      <c r="U118" s="89"/>
      <c r="V118" s="89"/>
      <c r="W118" s="89"/>
      <c r="X118" s="77">
        <f>AVERAGE(X111:X117)</f>
        <v>0.30428571428571433</v>
      </c>
      <c r="Y118" s="77">
        <f>AVERAGE(Y111:Y117)</f>
        <v>20.502898173974575</v>
      </c>
      <c r="Z118" s="77">
        <f>AVERAGE(Z111:Z117)</f>
        <v>80.977707383407633</v>
      </c>
      <c r="AA118" s="77">
        <f>AVERAGE(AA111:AA117)</f>
        <v>18.886190925797276</v>
      </c>
      <c r="AB118" s="62"/>
      <c r="AC118" s="78"/>
    </row>
    <row r="119" spans="1:29">
      <c r="A119" s="6">
        <v>2610</v>
      </c>
      <c r="B119" s="6"/>
      <c r="C119" s="6" t="s">
        <v>75</v>
      </c>
      <c r="D119" s="2">
        <f t="shared" si="43"/>
        <v>0.75</v>
      </c>
      <c r="E119" s="7">
        <f>E111/2</f>
        <v>7.4999999999999997E-3</v>
      </c>
      <c r="F119" s="7">
        <f>F111/2</f>
        <v>0</v>
      </c>
      <c r="G119" s="7">
        <f>G111/2</f>
        <v>2.5000000000000001E-3</v>
      </c>
      <c r="H119" s="7">
        <f t="shared" ref="H119:H173" si="48">F119+G119</f>
        <v>2.5000000000000001E-3</v>
      </c>
      <c r="I119" s="7">
        <f t="shared" si="28"/>
        <v>1</v>
      </c>
      <c r="J119" s="4">
        <f t="shared" si="42"/>
        <v>0.01</v>
      </c>
      <c r="K119" s="2">
        <f t="shared" si="44"/>
        <v>1</v>
      </c>
      <c r="L119" s="11">
        <f>L111/2</f>
        <v>1.125E-2</v>
      </c>
      <c r="M119" s="11">
        <f>M111/2</f>
        <v>0</v>
      </c>
      <c r="N119" s="11">
        <f>N111/2</f>
        <v>0</v>
      </c>
      <c r="O119" s="7">
        <f t="shared" si="39"/>
        <v>0</v>
      </c>
      <c r="P119" s="7">
        <v>0</v>
      </c>
      <c r="Q119" s="95">
        <f t="shared" si="45"/>
        <v>1.125E-2</v>
      </c>
      <c r="R119" s="88">
        <f t="shared" si="29"/>
        <v>133.33333333333334</v>
      </c>
      <c r="S119" s="89">
        <f t="shared" si="30"/>
        <v>400</v>
      </c>
      <c r="T119" s="89">
        <f t="shared" si="31"/>
        <v>100</v>
      </c>
      <c r="U119" s="89">
        <f>1/L119</f>
        <v>88.888888888888886</v>
      </c>
      <c r="V119" s="89">
        <v>0</v>
      </c>
      <c r="W119" s="89">
        <f t="shared" si="33"/>
        <v>88.888888888888886</v>
      </c>
      <c r="X119" s="71">
        <v>1</v>
      </c>
      <c r="Y119" s="64">
        <v>88.888888888888886</v>
      </c>
      <c r="Z119" s="54">
        <v>88.888888888888886</v>
      </c>
      <c r="AA119" s="54">
        <v>0</v>
      </c>
      <c r="AB119" s="134">
        <v>108</v>
      </c>
      <c r="AC119" s="127">
        <v>0.06</v>
      </c>
    </row>
    <row r="120" spans="1:29">
      <c r="A120" s="6">
        <v>2621</v>
      </c>
      <c r="B120" s="6"/>
      <c r="C120" s="6" t="s">
        <v>76</v>
      </c>
      <c r="D120" s="2">
        <f t="shared" si="43"/>
        <v>0.11111111111111113</v>
      </c>
      <c r="E120" s="7">
        <f t="shared" ref="E120:G125" si="49">E112/2</f>
        <v>2.5000000000000001E-3</v>
      </c>
      <c r="F120" s="7">
        <f t="shared" si="49"/>
        <v>1.0999999999999999E-2</v>
      </c>
      <c r="G120" s="7">
        <f t="shared" si="49"/>
        <v>8.9999999999999993E-3</v>
      </c>
      <c r="H120" s="7">
        <f t="shared" si="48"/>
        <v>1.9999999999999997E-2</v>
      </c>
      <c r="I120" s="7">
        <f t="shared" si="28"/>
        <v>0.45</v>
      </c>
      <c r="J120" s="4">
        <f t="shared" si="42"/>
        <v>2.2499999999999996E-2</v>
      </c>
      <c r="K120" s="2">
        <f t="shared" si="44"/>
        <v>0.2315533980582524</v>
      </c>
      <c r="L120" s="11">
        <f t="shared" ref="L120:N125" si="50">L112/2</f>
        <v>5.9624999999999991E-3</v>
      </c>
      <c r="M120" s="11">
        <f t="shared" si="50"/>
        <v>1.6500000000000001E-2</v>
      </c>
      <c r="N120" s="11">
        <f t="shared" si="50"/>
        <v>3.2875000000000001E-3</v>
      </c>
      <c r="O120" s="7">
        <f t="shared" si="39"/>
        <v>1.97875E-2</v>
      </c>
      <c r="P120" s="7">
        <f t="shared" si="46"/>
        <v>0.16614024005053696</v>
      </c>
      <c r="Q120" s="95">
        <f t="shared" si="45"/>
        <v>2.5749999999999999E-2</v>
      </c>
      <c r="R120" s="88">
        <f t="shared" si="29"/>
        <v>400</v>
      </c>
      <c r="S120" s="89">
        <f t="shared" si="30"/>
        <v>50.000000000000007</v>
      </c>
      <c r="T120" s="89">
        <f t="shared" si="31"/>
        <v>44.44444444444445</v>
      </c>
      <c r="U120" s="89">
        <f t="shared" si="47"/>
        <v>167.71488469601681</v>
      </c>
      <c r="V120" s="89">
        <f t="shared" si="32"/>
        <v>50.536955148452307</v>
      </c>
      <c r="W120" s="89">
        <f t="shared" si="33"/>
        <v>38.834951456310684</v>
      </c>
      <c r="X120" s="72">
        <v>0.23</v>
      </c>
      <c r="Y120" s="64">
        <v>38.834951456310684</v>
      </c>
      <c r="Z120" s="54">
        <v>167.71488469601681</v>
      </c>
      <c r="AA120" s="54">
        <v>50.536955148452307</v>
      </c>
      <c r="AB120" s="135"/>
      <c r="AC120" s="128"/>
    </row>
    <row r="121" spans="1:29">
      <c r="A121" s="6"/>
      <c r="B121" s="6"/>
      <c r="C121" s="6" t="s">
        <v>162</v>
      </c>
      <c r="D121" s="2">
        <f t="shared" si="43"/>
        <v>0.10423452768729641</v>
      </c>
      <c r="E121" s="7">
        <f t="shared" si="49"/>
        <v>3.1999999999999997E-3</v>
      </c>
      <c r="F121" s="7">
        <f t="shared" si="49"/>
        <v>1.525E-2</v>
      </c>
      <c r="G121" s="7">
        <f t="shared" si="49"/>
        <v>1.225E-2</v>
      </c>
      <c r="H121" s="7">
        <f t="shared" si="48"/>
        <v>2.75E-2</v>
      </c>
      <c r="I121" s="7">
        <f t="shared" si="28"/>
        <v>0.44545454545454549</v>
      </c>
      <c r="J121" s="4">
        <f t="shared" si="42"/>
        <v>3.0699999999999998E-2</v>
      </c>
      <c r="K121" s="2">
        <f t="shared" si="44"/>
        <v>0.17422715053763441</v>
      </c>
      <c r="L121" s="11">
        <f t="shared" si="50"/>
        <v>6.4812499999999992E-3</v>
      </c>
      <c r="M121" s="11">
        <f t="shared" si="50"/>
        <v>2.325E-2</v>
      </c>
      <c r="N121" s="11">
        <f t="shared" si="50"/>
        <v>7.4687500000000006E-3</v>
      </c>
      <c r="O121" s="7">
        <f t="shared" si="39"/>
        <v>3.071875E-2</v>
      </c>
      <c r="P121" s="7">
        <f t="shared" si="46"/>
        <v>0.24313326551373349</v>
      </c>
      <c r="Q121" s="95">
        <f t="shared" si="45"/>
        <v>3.7199999999999997E-2</v>
      </c>
      <c r="R121" s="88">
        <f t="shared" si="29"/>
        <v>312.5</v>
      </c>
      <c r="S121" s="89">
        <f t="shared" si="30"/>
        <v>36.363636363636367</v>
      </c>
      <c r="T121" s="89">
        <f t="shared" si="31"/>
        <v>32.573289902280131</v>
      </c>
      <c r="U121" s="89">
        <f t="shared" si="47"/>
        <v>154.29122468659597</v>
      </c>
      <c r="V121" s="89">
        <f t="shared" si="32"/>
        <v>32.553407934893187</v>
      </c>
      <c r="W121" s="89">
        <f t="shared" si="33"/>
        <v>26.881720430107528</v>
      </c>
      <c r="X121" s="72">
        <v>0.17</v>
      </c>
      <c r="Y121" s="64">
        <v>26.881720430107528</v>
      </c>
      <c r="Z121" s="54">
        <v>154.29122468659597</v>
      </c>
      <c r="AA121" s="54">
        <v>32.553407934893187</v>
      </c>
      <c r="AB121" s="135"/>
      <c r="AC121" s="128"/>
    </row>
    <row r="122" spans="1:29">
      <c r="A122" s="6">
        <v>2622</v>
      </c>
      <c r="B122" s="6"/>
      <c r="C122" s="6" t="s">
        <v>77</v>
      </c>
      <c r="D122" s="2">
        <f t="shared" si="43"/>
        <v>0.10025706940874035</v>
      </c>
      <c r="E122" s="7">
        <f t="shared" si="49"/>
        <v>3.8999999999999998E-3</v>
      </c>
      <c r="F122" s="7">
        <f t="shared" si="49"/>
        <v>1.95E-2</v>
      </c>
      <c r="G122" s="7">
        <f t="shared" si="49"/>
        <v>1.55E-2</v>
      </c>
      <c r="H122" s="7">
        <f t="shared" si="48"/>
        <v>3.5000000000000003E-2</v>
      </c>
      <c r="I122" s="7">
        <f t="shared" si="28"/>
        <v>0.44285714285714284</v>
      </c>
      <c r="J122" s="4">
        <f t="shared" si="42"/>
        <v>3.8900000000000004E-2</v>
      </c>
      <c r="K122" s="2">
        <f t="shared" si="44"/>
        <v>0.14388489208633093</v>
      </c>
      <c r="L122" s="11">
        <f t="shared" si="50"/>
        <v>7.0000000000000001E-3</v>
      </c>
      <c r="M122" s="11">
        <f t="shared" si="50"/>
        <v>0.03</v>
      </c>
      <c r="N122" s="11">
        <f t="shared" si="50"/>
        <v>1.1650000000000001E-2</v>
      </c>
      <c r="O122" s="7">
        <f t="shared" si="39"/>
        <v>4.165E-2</v>
      </c>
      <c r="P122" s="7">
        <f t="shared" si="46"/>
        <v>0.27971188475390157</v>
      </c>
      <c r="Q122" s="95">
        <f t="shared" si="45"/>
        <v>4.8649999999999999E-2</v>
      </c>
      <c r="R122" s="88">
        <f t="shared" si="29"/>
        <v>256.41025641025641</v>
      </c>
      <c r="S122" s="89">
        <f t="shared" si="30"/>
        <v>28.571428571428569</v>
      </c>
      <c r="T122" s="89">
        <f t="shared" si="31"/>
        <v>25.706940874035986</v>
      </c>
      <c r="U122" s="89">
        <f t="shared" si="47"/>
        <v>142.85714285714286</v>
      </c>
      <c r="V122" s="89">
        <f t="shared" si="32"/>
        <v>24.009603841536617</v>
      </c>
      <c r="W122" s="89">
        <f t="shared" si="33"/>
        <v>20.554984583761563</v>
      </c>
      <c r="X122" s="72">
        <v>0.14000000000000001</v>
      </c>
      <c r="Y122" s="64">
        <v>20.554984583761563</v>
      </c>
      <c r="Z122" s="54">
        <v>142.85714285714286</v>
      </c>
      <c r="AA122" s="54">
        <v>24.009603841536617</v>
      </c>
      <c r="AB122" s="135"/>
      <c r="AC122" s="128"/>
    </row>
    <row r="123" spans="1:29">
      <c r="A123" s="6">
        <v>2631</v>
      </c>
      <c r="B123" s="6"/>
      <c r="C123" s="6" t="s">
        <v>78</v>
      </c>
      <c r="D123" s="2">
        <f t="shared" si="43"/>
        <v>0.2446043165467626</v>
      </c>
      <c r="E123" s="7">
        <f t="shared" si="49"/>
        <v>3.4000000000000002E-3</v>
      </c>
      <c r="F123" s="7">
        <f t="shared" si="49"/>
        <v>8.2500000000000004E-3</v>
      </c>
      <c r="G123" s="7">
        <f t="shared" si="49"/>
        <v>2.2499999999999998E-3</v>
      </c>
      <c r="H123" s="7">
        <f t="shared" si="48"/>
        <v>1.0500000000000001E-2</v>
      </c>
      <c r="I123" s="7">
        <f t="shared" si="28"/>
        <v>0.21428571428571425</v>
      </c>
      <c r="J123" s="4">
        <f t="shared" si="42"/>
        <v>1.3900000000000001E-2</v>
      </c>
      <c r="K123" s="2">
        <f t="shared" si="44"/>
        <v>0.36551724137931041</v>
      </c>
      <c r="L123" s="11">
        <f t="shared" si="50"/>
        <v>5.3000000000000009E-3</v>
      </c>
      <c r="M123" s="11">
        <f t="shared" si="50"/>
        <v>4.1999999999999997E-3</v>
      </c>
      <c r="N123" s="11">
        <f t="shared" si="50"/>
        <v>5.0000000000000001E-3</v>
      </c>
      <c r="O123" s="7">
        <f t="shared" si="39"/>
        <v>9.1999999999999998E-3</v>
      </c>
      <c r="P123" s="7">
        <f t="shared" si="46"/>
        <v>0.54347826086956519</v>
      </c>
      <c r="Q123" s="95">
        <f t="shared" si="45"/>
        <v>1.4500000000000001E-2</v>
      </c>
      <c r="R123" s="88">
        <f t="shared" si="29"/>
        <v>294.11764705882354</v>
      </c>
      <c r="S123" s="89">
        <f t="shared" si="30"/>
        <v>95.238095238095227</v>
      </c>
      <c r="T123" s="89">
        <f t="shared" si="31"/>
        <v>71.942446043165461</v>
      </c>
      <c r="U123" s="89">
        <f t="shared" si="47"/>
        <v>188.67924528301884</v>
      </c>
      <c r="V123" s="89">
        <f t="shared" si="32"/>
        <v>108.69565217391305</v>
      </c>
      <c r="W123" s="89">
        <f t="shared" si="33"/>
        <v>68.965517241379303</v>
      </c>
      <c r="X123" s="72">
        <v>0.37</v>
      </c>
      <c r="Y123" s="64">
        <v>68.965517241379303</v>
      </c>
      <c r="Z123" s="54">
        <v>188.67924528301884</v>
      </c>
      <c r="AA123" s="54">
        <v>108.69565217391305</v>
      </c>
      <c r="AB123" s="135"/>
      <c r="AC123" s="128"/>
    </row>
    <row r="124" spans="1:29">
      <c r="A124" s="6"/>
      <c r="B124" s="6"/>
      <c r="C124" s="6" t="s">
        <v>163</v>
      </c>
      <c r="D124" s="2">
        <f t="shared" si="43"/>
        <v>8.2202713487629697E-2</v>
      </c>
      <c r="E124" s="7">
        <f t="shared" si="49"/>
        <v>2.575E-3</v>
      </c>
      <c r="F124" s="7">
        <f t="shared" si="49"/>
        <v>2.0375000000000001E-2</v>
      </c>
      <c r="G124" s="7">
        <f t="shared" si="49"/>
        <v>8.3750000000000005E-3</v>
      </c>
      <c r="H124" s="7">
        <f t="shared" si="48"/>
        <v>2.8750000000000001E-2</v>
      </c>
      <c r="I124" s="7">
        <f t="shared" si="28"/>
        <v>0.29130434782608694</v>
      </c>
      <c r="J124" s="4">
        <f t="shared" si="42"/>
        <v>3.1324999999999999E-2</v>
      </c>
      <c r="K124" s="2">
        <f t="shared" si="44"/>
        <v>0.13717693836978131</v>
      </c>
      <c r="L124" s="11">
        <f t="shared" si="50"/>
        <v>5.1750000000000008E-3</v>
      </c>
      <c r="M124" s="11">
        <f t="shared" si="50"/>
        <v>2.46E-2</v>
      </c>
      <c r="N124" s="11">
        <f t="shared" si="50"/>
        <v>7.9500000000000005E-3</v>
      </c>
      <c r="O124" s="7">
        <f t="shared" si="39"/>
        <v>3.2550000000000003E-2</v>
      </c>
      <c r="P124" s="7">
        <f t="shared" si="46"/>
        <v>0.24423963133640553</v>
      </c>
      <c r="Q124" s="95">
        <f t="shared" si="45"/>
        <v>3.7725000000000002E-2</v>
      </c>
      <c r="R124" s="88">
        <f t="shared" si="29"/>
        <v>388.34951456310677</v>
      </c>
      <c r="S124" s="89">
        <f t="shared" si="30"/>
        <v>34.782608695652172</v>
      </c>
      <c r="T124" s="89">
        <f t="shared" si="31"/>
        <v>31.923383878691144</v>
      </c>
      <c r="U124" s="89">
        <f t="shared" si="47"/>
        <v>193.23671497584539</v>
      </c>
      <c r="V124" s="89">
        <f t="shared" si="32"/>
        <v>30.72196620583717</v>
      </c>
      <c r="W124" s="89">
        <f t="shared" si="33"/>
        <v>26.507620941020541</v>
      </c>
      <c r="X124" s="72">
        <v>0.14000000000000001</v>
      </c>
      <c r="Y124" s="64">
        <v>26.507620941020541</v>
      </c>
      <c r="Z124" s="54">
        <v>193.23671497584539</v>
      </c>
      <c r="AA124" s="54">
        <v>30.72196620583717</v>
      </c>
      <c r="AB124" s="135"/>
      <c r="AC124" s="128"/>
    </row>
    <row r="125" spans="1:29" ht="16" thickBot="1">
      <c r="A125" s="6">
        <v>2632</v>
      </c>
      <c r="B125" s="6"/>
      <c r="C125" s="6" t="s">
        <v>79</v>
      </c>
      <c r="D125" s="2">
        <f t="shared" si="43"/>
        <v>3.5897435897435895E-2</v>
      </c>
      <c r="E125" s="7">
        <f t="shared" si="49"/>
        <v>1.75E-3</v>
      </c>
      <c r="F125" s="7">
        <f t="shared" si="49"/>
        <v>3.2500000000000001E-2</v>
      </c>
      <c r="G125" s="7">
        <f t="shared" si="49"/>
        <v>1.4500000000000001E-2</v>
      </c>
      <c r="H125" s="7">
        <f t="shared" si="48"/>
        <v>4.7E-2</v>
      </c>
      <c r="I125" s="7">
        <f t="shared" si="28"/>
        <v>0.30851063829787234</v>
      </c>
      <c r="J125" s="4">
        <f t="shared" si="42"/>
        <v>4.8750000000000002E-2</v>
      </c>
      <c r="K125" s="2">
        <f t="shared" si="44"/>
        <v>8.2854799015586553E-2</v>
      </c>
      <c r="L125" s="11">
        <f t="shared" si="50"/>
        <v>5.0499999999999998E-3</v>
      </c>
      <c r="M125" s="11">
        <f t="shared" si="50"/>
        <v>4.4999999999999998E-2</v>
      </c>
      <c r="N125" s="11">
        <f t="shared" si="50"/>
        <v>1.09E-2</v>
      </c>
      <c r="O125" s="7">
        <f t="shared" si="39"/>
        <v>5.5899999999999998E-2</v>
      </c>
      <c r="P125" s="7">
        <f t="shared" si="46"/>
        <v>0.19499105545617174</v>
      </c>
      <c r="Q125" s="95">
        <f t="shared" si="45"/>
        <v>6.0949999999999997E-2</v>
      </c>
      <c r="R125" s="88">
        <f t="shared" si="29"/>
        <v>571.42857142857144</v>
      </c>
      <c r="S125" s="89">
        <f t="shared" si="30"/>
        <v>21.276595744680851</v>
      </c>
      <c r="T125" s="89">
        <f t="shared" si="31"/>
        <v>20.512820512820511</v>
      </c>
      <c r="U125" s="89">
        <f t="shared" si="47"/>
        <v>198.01980198019803</v>
      </c>
      <c r="V125" s="89">
        <f t="shared" si="32"/>
        <v>17.889087656529519</v>
      </c>
      <c r="W125" s="89">
        <f t="shared" si="33"/>
        <v>16.406890894175554</v>
      </c>
      <c r="X125" s="73">
        <v>0.08</v>
      </c>
      <c r="Y125" s="64">
        <v>16.406890894175554</v>
      </c>
      <c r="Z125" s="54">
        <v>198.01980198019803</v>
      </c>
      <c r="AA125" s="54">
        <v>17.889087656529519</v>
      </c>
      <c r="AB125" s="136"/>
      <c r="AC125" s="129"/>
    </row>
    <row r="126" spans="1:29" ht="16" thickBot="1">
      <c r="A126" s="6"/>
      <c r="B126" s="6"/>
      <c r="C126" s="6"/>
      <c r="E126" s="7"/>
      <c r="F126" s="7"/>
      <c r="G126" s="7"/>
      <c r="H126" s="7"/>
      <c r="I126" s="7"/>
      <c r="J126" s="4"/>
      <c r="L126" s="11"/>
      <c r="M126" s="11"/>
      <c r="N126" s="11"/>
      <c r="O126" s="7"/>
      <c r="P126" s="7"/>
      <c r="Q126" s="95"/>
      <c r="R126" s="88"/>
      <c r="S126" s="89"/>
      <c r="T126" s="89"/>
      <c r="U126" s="89"/>
      <c r="V126" s="89"/>
      <c r="W126" s="89"/>
      <c r="X126" s="77">
        <f>AVERAGE(X119:X125)</f>
        <v>0.30428571428571433</v>
      </c>
      <c r="Y126" s="77">
        <f>AVERAGE(Y119:Y125)</f>
        <v>41.005796347949151</v>
      </c>
      <c r="Z126" s="77">
        <f>AVERAGE(Z119:Z125)</f>
        <v>161.95541476681527</v>
      </c>
      <c r="AA126" s="77">
        <f>AVERAGE(AA119:AA125)</f>
        <v>37.772381851594552</v>
      </c>
      <c r="AB126" s="62"/>
      <c r="AC126" s="78"/>
    </row>
    <row r="127" spans="1:29" s="21" customFormat="1">
      <c r="A127" s="19">
        <v>2710</v>
      </c>
      <c r="B127" s="20">
        <v>610270</v>
      </c>
      <c r="C127" s="20" t="s">
        <v>80</v>
      </c>
      <c r="D127" s="20">
        <f t="shared" si="43"/>
        <v>1</v>
      </c>
      <c r="E127" s="22">
        <f>0.02+0.005</f>
        <v>2.5000000000000001E-2</v>
      </c>
      <c r="F127" s="22">
        <v>0</v>
      </c>
      <c r="G127" s="22">
        <v>0</v>
      </c>
      <c r="H127" s="22">
        <f t="shared" si="48"/>
        <v>0</v>
      </c>
      <c r="I127" s="22">
        <v>0</v>
      </c>
      <c r="J127" s="22">
        <f t="shared" si="42"/>
        <v>2.5000000000000001E-2</v>
      </c>
      <c r="K127" s="20">
        <f t="shared" si="44"/>
        <v>1</v>
      </c>
      <c r="L127" s="33">
        <f>0.025+0.0066</f>
        <v>3.1600000000000003E-2</v>
      </c>
      <c r="M127" s="22">
        <v>0</v>
      </c>
      <c r="N127" s="20">
        <v>0</v>
      </c>
      <c r="O127" s="22">
        <f t="shared" si="39"/>
        <v>0</v>
      </c>
      <c r="P127" s="22">
        <v>0</v>
      </c>
      <c r="Q127" s="96">
        <f t="shared" si="45"/>
        <v>3.1600000000000003E-2</v>
      </c>
      <c r="R127" s="88">
        <f t="shared" si="29"/>
        <v>40</v>
      </c>
      <c r="S127" s="89">
        <v>0</v>
      </c>
      <c r="T127" s="89">
        <f t="shared" si="31"/>
        <v>40</v>
      </c>
      <c r="U127" s="89">
        <f t="shared" si="47"/>
        <v>31.645569620253163</v>
      </c>
      <c r="V127" s="89">
        <v>0</v>
      </c>
      <c r="W127" s="89">
        <f t="shared" si="33"/>
        <v>31.645569620253163</v>
      </c>
      <c r="X127" s="71">
        <v>1</v>
      </c>
      <c r="Y127" s="65">
        <v>31.645569620253163</v>
      </c>
      <c r="Z127" s="55">
        <v>31.645569620253163</v>
      </c>
      <c r="AA127" s="55">
        <v>0</v>
      </c>
      <c r="AB127" s="134">
        <v>22</v>
      </c>
      <c r="AC127" s="127">
        <v>0.06</v>
      </c>
    </row>
    <row r="128" spans="1:29" s="18" customFormat="1">
      <c r="A128" s="24">
        <v>2721</v>
      </c>
      <c r="B128" s="6">
        <v>610270</v>
      </c>
      <c r="C128" s="6" t="s">
        <v>81</v>
      </c>
      <c r="D128" s="6">
        <f t="shared" si="43"/>
        <v>0.15011037527593818</v>
      </c>
      <c r="E128" s="7">
        <f>0.0136</f>
        <v>1.3599999999999999E-2</v>
      </c>
      <c r="F128" s="7">
        <f>0.0272+0.0098</f>
        <v>3.6999999999999998E-2</v>
      </c>
      <c r="G128" s="7">
        <v>0.04</v>
      </c>
      <c r="H128" s="7">
        <f t="shared" si="48"/>
        <v>7.6999999999999999E-2</v>
      </c>
      <c r="I128" s="7">
        <f t="shared" si="28"/>
        <v>0.51948051948051954</v>
      </c>
      <c r="J128" s="7">
        <f t="shared" si="42"/>
        <v>9.06E-2</v>
      </c>
      <c r="K128" s="6">
        <f t="shared" si="44"/>
        <v>0.48017621145374456</v>
      </c>
      <c r="L128" s="11">
        <f>0.03+0.0112+0.0024</f>
        <v>4.36E-2</v>
      </c>
      <c r="M128" s="7">
        <v>2.7199999999999998E-2</v>
      </c>
      <c r="N128" s="7">
        <v>0.02</v>
      </c>
      <c r="O128" s="7">
        <f t="shared" si="39"/>
        <v>4.7199999999999999E-2</v>
      </c>
      <c r="P128" s="7">
        <f t="shared" si="46"/>
        <v>0.42372881355932207</v>
      </c>
      <c r="Q128" s="95">
        <f t="shared" si="45"/>
        <v>9.0799999999999992E-2</v>
      </c>
      <c r="R128" s="88">
        <f t="shared" si="29"/>
        <v>73.529411764705884</v>
      </c>
      <c r="S128" s="89">
        <f t="shared" si="30"/>
        <v>12.987012987012987</v>
      </c>
      <c r="T128" s="89">
        <f t="shared" si="31"/>
        <v>11.037527593818984</v>
      </c>
      <c r="U128" s="89">
        <f t="shared" si="47"/>
        <v>22.935779816513762</v>
      </c>
      <c r="V128" s="89">
        <f t="shared" si="32"/>
        <v>21.186440677966104</v>
      </c>
      <c r="W128" s="89">
        <f t="shared" si="33"/>
        <v>11.013215859030838</v>
      </c>
      <c r="X128" s="72">
        <v>0.48</v>
      </c>
      <c r="Y128" s="66">
        <v>11.013215859030838</v>
      </c>
      <c r="Z128" s="56">
        <v>22.935779816513762</v>
      </c>
      <c r="AA128" s="56">
        <v>21.186440677966104</v>
      </c>
      <c r="AB128" s="121"/>
      <c r="AC128" s="122"/>
    </row>
    <row r="129" spans="1:29" s="18" customFormat="1">
      <c r="A129" s="24"/>
      <c r="B129" s="6">
        <v>610270</v>
      </c>
      <c r="C129" s="6" t="s">
        <v>164</v>
      </c>
      <c r="D129" s="6">
        <f t="shared" si="43"/>
        <v>0.11088504577822991</v>
      </c>
      <c r="E129" s="7">
        <f>(E128+E130)/2</f>
        <v>1.09E-2</v>
      </c>
      <c r="F129" s="7">
        <f>(F128+F130)/2</f>
        <v>5.2400000000000002E-2</v>
      </c>
      <c r="G129" s="7">
        <f>(G128+G130)/2</f>
        <v>3.5000000000000003E-2</v>
      </c>
      <c r="H129" s="7">
        <f t="shared" si="48"/>
        <v>8.7400000000000005E-2</v>
      </c>
      <c r="I129" s="7">
        <f t="shared" si="28"/>
        <v>0.40045766590389015</v>
      </c>
      <c r="J129" s="7">
        <f t="shared" si="42"/>
        <v>9.8299999999999998E-2</v>
      </c>
      <c r="K129" s="6">
        <f t="shared" si="44"/>
        <v>0.26372549019607844</v>
      </c>
      <c r="L129" s="11">
        <f>(L128+L130)/2</f>
        <v>2.69E-2</v>
      </c>
      <c r="M129" s="11">
        <f>(M128+M130)/2</f>
        <v>5.11E-2</v>
      </c>
      <c r="N129" s="11">
        <f>(N128+N130)/2</f>
        <v>2.4E-2</v>
      </c>
      <c r="O129" s="7">
        <f t="shared" si="39"/>
        <v>7.51E-2</v>
      </c>
      <c r="P129" s="7">
        <f t="shared" si="46"/>
        <v>0.31957390146471371</v>
      </c>
      <c r="Q129" s="95">
        <f t="shared" si="45"/>
        <v>0.10200000000000001</v>
      </c>
      <c r="R129" s="88">
        <f t="shared" si="29"/>
        <v>91.743119266055047</v>
      </c>
      <c r="S129" s="89">
        <f t="shared" si="30"/>
        <v>11.441647597254004</v>
      </c>
      <c r="T129" s="89">
        <f t="shared" si="31"/>
        <v>10.172939979654121</v>
      </c>
      <c r="U129" s="89">
        <f t="shared" si="47"/>
        <v>37.174721189591075</v>
      </c>
      <c r="V129" s="89">
        <f t="shared" si="32"/>
        <v>13.315579227696405</v>
      </c>
      <c r="W129" s="89">
        <f t="shared" si="33"/>
        <v>9.8039215686274499</v>
      </c>
      <c r="X129" s="72">
        <v>0.26</v>
      </c>
      <c r="Y129" s="66">
        <v>9.8039215686274499</v>
      </c>
      <c r="Z129" s="56">
        <v>37.174721189591075</v>
      </c>
      <c r="AA129" s="56">
        <v>13.315579227696405</v>
      </c>
      <c r="AB129" s="121"/>
      <c r="AC129" s="122"/>
    </row>
    <row r="130" spans="1:29" s="18" customFormat="1">
      <c r="A130" s="24">
        <v>2722</v>
      </c>
      <c r="B130" s="6">
        <v>610270</v>
      </c>
      <c r="C130" s="6" t="s">
        <v>82</v>
      </c>
      <c r="D130" s="6">
        <f t="shared" si="43"/>
        <v>7.7358490566037746E-2</v>
      </c>
      <c r="E130" s="7">
        <f>0.0032+0.005</f>
        <v>8.2000000000000007E-3</v>
      </c>
      <c r="F130" s="7">
        <v>6.7799999999999999E-2</v>
      </c>
      <c r="G130" s="7">
        <v>0.03</v>
      </c>
      <c r="H130" s="7">
        <f t="shared" si="48"/>
        <v>9.7799999999999998E-2</v>
      </c>
      <c r="I130" s="7">
        <f t="shared" si="28"/>
        <v>0.30674846625766872</v>
      </c>
      <c r="J130" s="7">
        <f t="shared" si="42"/>
        <v>0.106</v>
      </c>
      <c r="K130" s="6">
        <f t="shared" si="44"/>
        <v>9.0106007067137825E-2</v>
      </c>
      <c r="L130" s="11">
        <f>0.007+0.001+0.0022</f>
        <v>1.0200000000000001E-2</v>
      </c>
      <c r="M130" s="7">
        <v>7.4999999999999997E-2</v>
      </c>
      <c r="N130" s="7">
        <v>2.8000000000000001E-2</v>
      </c>
      <c r="O130" s="7">
        <f t="shared" si="39"/>
        <v>0.10299999999999999</v>
      </c>
      <c r="P130" s="7">
        <f t="shared" si="46"/>
        <v>0.2718446601941748</v>
      </c>
      <c r="Q130" s="95">
        <f t="shared" si="45"/>
        <v>0.1132</v>
      </c>
      <c r="R130" s="88">
        <f t="shared" si="29"/>
        <v>121.95121951219511</v>
      </c>
      <c r="S130" s="89">
        <f t="shared" si="30"/>
        <v>10.224948875255624</v>
      </c>
      <c r="T130" s="89">
        <f t="shared" si="31"/>
        <v>9.433962264150944</v>
      </c>
      <c r="U130" s="89">
        <f t="shared" si="47"/>
        <v>98.039215686274503</v>
      </c>
      <c r="V130" s="89">
        <f t="shared" si="32"/>
        <v>9.7087378640776709</v>
      </c>
      <c r="W130" s="89">
        <f t="shared" si="33"/>
        <v>8.8339222614840995</v>
      </c>
      <c r="X130" s="72">
        <v>0.09</v>
      </c>
      <c r="Y130" s="66">
        <v>8.8339222614840995</v>
      </c>
      <c r="Z130" s="56">
        <v>98.039215686274503</v>
      </c>
      <c r="AA130" s="56">
        <v>9.7087378640776709</v>
      </c>
      <c r="AB130" s="121"/>
      <c r="AC130" s="122"/>
    </row>
    <row r="131" spans="1:29" s="18" customFormat="1">
      <c r="A131" s="24">
        <v>2731</v>
      </c>
      <c r="B131" s="6">
        <v>610270</v>
      </c>
      <c r="C131" s="6" t="s">
        <v>83</v>
      </c>
      <c r="D131" s="6">
        <f t="shared" si="43"/>
        <v>0.33386075949367089</v>
      </c>
      <c r="E131" s="7">
        <f>0.0063+0.0148</f>
        <v>2.1100000000000001E-2</v>
      </c>
      <c r="F131" s="7">
        <f>0.0221+0.017</f>
        <v>3.9100000000000003E-2</v>
      </c>
      <c r="G131" s="7">
        <f>0.003</f>
        <v>3.0000000000000001E-3</v>
      </c>
      <c r="H131" s="7">
        <f t="shared" si="48"/>
        <v>4.2100000000000005E-2</v>
      </c>
      <c r="I131" s="7">
        <f t="shared" si="28"/>
        <v>7.1258907363420415E-2</v>
      </c>
      <c r="J131" s="7">
        <f t="shared" ref="J131:J167" si="51">E131+H131</f>
        <v>6.3200000000000006E-2</v>
      </c>
      <c r="K131" s="6">
        <f t="shared" si="44"/>
        <v>0.24549918166939441</v>
      </c>
      <c r="L131" s="11">
        <f>0.0087+0.005+0.0013</f>
        <v>1.4999999999999999E-2</v>
      </c>
      <c r="M131" s="7">
        <v>0.02</v>
      </c>
      <c r="N131" s="7">
        <v>2.6100000000000002E-2</v>
      </c>
      <c r="O131" s="7">
        <f t="shared" si="39"/>
        <v>4.6100000000000002E-2</v>
      </c>
      <c r="P131" s="7">
        <f t="shared" si="46"/>
        <v>0.56616052060737532</v>
      </c>
      <c r="Q131" s="95">
        <f t="shared" si="45"/>
        <v>6.1100000000000002E-2</v>
      </c>
      <c r="R131" s="88">
        <f t="shared" si="29"/>
        <v>47.393364928909953</v>
      </c>
      <c r="S131" s="89">
        <f t="shared" si="30"/>
        <v>23.75296912114014</v>
      </c>
      <c r="T131" s="89">
        <f t="shared" si="31"/>
        <v>15.822784810126581</v>
      </c>
      <c r="U131" s="89">
        <f t="shared" si="47"/>
        <v>66.666666666666671</v>
      </c>
      <c r="V131" s="89">
        <f t="shared" si="32"/>
        <v>21.691973969631235</v>
      </c>
      <c r="W131" s="89">
        <f t="shared" si="33"/>
        <v>16.366612111292962</v>
      </c>
      <c r="X131" s="72">
        <v>0.25</v>
      </c>
      <c r="Y131" s="66">
        <v>16.366612111292962</v>
      </c>
      <c r="Z131" s="56">
        <v>66.666666666666671</v>
      </c>
      <c r="AA131" s="56">
        <v>21.691973969631235</v>
      </c>
      <c r="AB131" s="121"/>
      <c r="AC131" s="122"/>
    </row>
    <row r="132" spans="1:29" s="18" customFormat="1">
      <c r="A132" s="24"/>
      <c r="B132" s="6">
        <v>610270</v>
      </c>
      <c r="C132" s="6" t="s">
        <v>165</v>
      </c>
      <c r="D132" s="6">
        <f t="shared" si="43"/>
        <v>0.12378378378378378</v>
      </c>
      <c r="E132" s="7">
        <f>(E131+E133)/2</f>
        <v>1.145E-2</v>
      </c>
      <c r="F132" s="7">
        <f>(F131+F133)/2</f>
        <v>6.4549999999999996E-2</v>
      </c>
      <c r="G132" s="7">
        <f>(G131+G133)/2</f>
        <v>1.6500000000000001E-2</v>
      </c>
      <c r="H132" s="7">
        <f t="shared" si="48"/>
        <v>8.1049999999999997E-2</v>
      </c>
      <c r="I132" s="7">
        <f t="shared" si="28"/>
        <v>0.20357803824799509</v>
      </c>
      <c r="J132" s="7">
        <f t="shared" si="51"/>
        <v>9.2499999999999999E-2</v>
      </c>
      <c r="K132" s="6">
        <f t="shared" si="44"/>
        <v>0.11404872991187144</v>
      </c>
      <c r="L132" s="11">
        <f>(L131+L133)/2</f>
        <v>1.0999999999999999E-2</v>
      </c>
      <c r="M132" s="11">
        <f>(M131+M133)/2</f>
        <v>6.0000000000000005E-2</v>
      </c>
      <c r="N132" s="11">
        <f>(N131+N133)/2</f>
        <v>2.545E-2</v>
      </c>
      <c r="O132" s="7">
        <f t="shared" si="39"/>
        <v>8.5449999999999998E-2</v>
      </c>
      <c r="P132" s="7">
        <f t="shared" si="46"/>
        <v>0.29783499122293738</v>
      </c>
      <c r="Q132" s="95">
        <f t="shared" si="45"/>
        <v>9.6449999999999994E-2</v>
      </c>
      <c r="R132" s="88">
        <f t="shared" si="29"/>
        <v>87.336244541484717</v>
      </c>
      <c r="S132" s="89">
        <f t="shared" si="30"/>
        <v>12.338062924120914</v>
      </c>
      <c r="T132" s="89">
        <f t="shared" si="31"/>
        <v>10.810810810810811</v>
      </c>
      <c r="U132" s="89">
        <f t="shared" si="47"/>
        <v>90.909090909090921</v>
      </c>
      <c r="V132" s="89">
        <f t="shared" si="32"/>
        <v>11.702750146284377</v>
      </c>
      <c r="W132" s="89">
        <f t="shared" si="33"/>
        <v>10.368066355624677</v>
      </c>
      <c r="X132" s="72">
        <v>0.11</v>
      </c>
      <c r="Y132" s="66">
        <v>10.368066355624677</v>
      </c>
      <c r="Z132" s="56">
        <v>90.909090909090921</v>
      </c>
      <c r="AA132" s="56">
        <v>11.702750146284377</v>
      </c>
      <c r="AB132" s="121"/>
      <c r="AC132" s="122"/>
    </row>
    <row r="133" spans="1:29" s="27" customFormat="1" ht="16" thickBot="1">
      <c r="A133" s="25">
        <v>2732</v>
      </c>
      <c r="B133" s="26">
        <v>610270</v>
      </c>
      <c r="C133" s="26" t="s">
        <v>84</v>
      </c>
      <c r="D133" s="26">
        <f t="shared" ref="D133:D169" si="52">E133/J133</f>
        <v>1.477832512315271E-2</v>
      </c>
      <c r="E133" s="28">
        <f>0.0008+0.001</f>
        <v>1.8E-3</v>
      </c>
      <c r="F133" s="28">
        <v>0.09</v>
      </c>
      <c r="G133" s="28">
        <v>0.03</v>
      </c>
      <c r="H133" s="28">
        <f t="shared" si="48"/>
        <v>0.12</v>
      </c>
      <c r="I133" s="28">
        <f t="shared" si="28"/>
        <v>0.25</v>
      </c>
      <c r="J133" s="28">
        <f t="shared" si="51"/>
        <v>0.12179999999999999</v>
      </c>
      <c r="K133" s="26">
        <f t="shared" si="44"/>
        <v>5.3110773899848251E-2</v>
      </c>
      <c r="L133" s="34">
        <f>0.0062+0.0002+0.0006</f>
        <v>6.9999999999999993E-3</v>
      </c>
      <c r="M133" s="28">
        <v>0.1</v>
      </c>
      <c r="N133" s="26">
        <v>2.4799999999999999E-2</v>
      </c>
      <c r="O133" s="28">
        <f t="shared" si="39"/>
        <v>0.12480000000000001</v>
      </c>
      <c r="P133" s="28">
        <f t="shared" si="46"/>
        <v>0.19871794871794871</v>
      </c>
      <c r="Q133" s="97">
        <f t="shared" si="45"/>
        <v>0.1318</v>
      </c>
      <c r="R133" s="88">
        <f t="shared" si="29"/>
        <v>555.55555555555554</v>
      </c>
      <c r="S133" s="89">
        <f t="shared" si="30"/>
        <v>8.3333333333333339</v>
      </c>
      <c r="T133" s="89">
        <f t="shared" si="31"/>
        <v>8.2101806239737272</v>
      </c>
      <c r="U133" s="89">
        <f t="shared" si="47"/>
        <v>142.85714285714286</v>
      </c>
      <c r="V133" s="89">
        <f t="shared" si="32"/>
        <v>8.0128205128205128</v>
      </c>
      <c r="W133" s="89">
        <f t="shared" si="33"/>
        <v>7.587253414264036</v>
      </c>
      <c r="X133" s="73">
        <v>0.05</v>
      </c>
      <c r="Y133" s="67">
        <v>7.587253414264036</v>
      </c>
      <c r="Z133" s="57">
        <v>142.85714285714286</v>
      </c>
      <c r="AA133" s="57">
        <v>8.0128205128205128</v>
      </c>
      <c r="AB133" s="136"/>
      <c r="AC133" s="129"/>
    </row>
    <row r="134" spans="1:29" s="18" customFormat="1" ht="16" thickBot="1">
      <c r="A134" s="24"/>
      <c r="B134" s="6"/>
      <c r="C134" s="6"/>
      <c r="D134" s="6"/>
      <c r="E134" s="7"/>
      <c r="F134" s="7"/>
      <c r="G134" s="7"/>
      <c r="H134" s="7"/>
      <c r="I134" s="7"/>
      <c r="J134" s="7"/>
      <c r="K134" s="6"/>
      <c r="L134" s="11"/>
      <c r="M134" s="7"/>
      <c r="N134" s="6"/>
      <c r="O134" s="7"/>
      <c r="P134" s="7"/>
      <c r="Q134" s="95"/>
      <c r="R134" s="88"/>
      <c r="S134" s="89"/>
      <c r="T134" s="89"/>
      <c r="U134" s="89"/>
      <c r="V134" s="89"/>
      <c r="W134" s="89"/>
      <c r="X134" s="77">
        <f>AVERAGE(X127:X133)</f>
        <v>0.31999999999999995</v>
      </c>
      <c r="Y134" s="77">
        <f>AVERAGE(Y127:Y133)</f>
        <v>13.659794455796746</v>
      </c>
      <c r="Z134" s="77">
        <f>AVERAGE(Z127:Z133)</f>
        <v>70.032598106504707</v>
      </c>
      <c r="AA134" s="77">
        <f>AVERAGE(AA127:AA133)</f>
        <v>12.231186056925184</v>
      </c>
      <c r="AB134" s="62"/>
      <c r="AC134" s="78"/>
    </row>
    <row r="135" spans="1:29" s="21" customFormat="1">
      <c r="A135" s="19">
        <v>3010</v>
      </c>
      <c r="B135" s="20">
        <v>7117290</v>
      </c>
      <c r="C135" s="20" t="s">
        <v>87</v>
      </c>
      <c r="D135" s="20">
        <f t="shared" si="52"/>
        <v>0.16666666666666666</v>
      </c>
      <c r="E135" s="22">
        <v>5.0000000000000001E-3</v>
      </c>
      <c r="F135" s="22">
        <v>0</v>
      </c>
      <c r="G135" s="22">
        <v>2.5000000000000001E-2</v>
      </c>
      <c r="H135" s="22">
        <f t="shared" si="48"/>
        <v>2.5000000000000001E-2</v>
      </c>
      <c r="I135" s="22">
        <f t="shared" si="28"/>
        <v>1</v>
      </c>
      <c r="J135" s="22">
        <f t="shared" si="51"/>
        <v>3.0000000000000002E-2</v>
      </c>
      <c r="K135" s="20"/>
      <c r="L135" s="33"/>
      <c r="M135" s="22"/>
      <c r="N135" s="22"/>
      <c r="O135" s="22"/>
      <c r="P135" s="22"/>
      <c r="Q135" s="96"/>
      <c r="R135" s="88">
        <f t="shared" si="29"/>
        <v>200</v>
      </c>
      <c r="S135" s="89">
        <f t="shared" si="30"/>
        <v>40</v>
      </c>
      <c r="T135" s="89">
        <f t="shared" si="31"/>
        <v>33.333333333333329</v>
      </c>
      <c r="U135" s="89"/>
      <c r="V135" s="89"/>
      <c r="W135" s="89"/>
      <c r="X135" s="71">
        <v>0.17</v>
      </c>
      <c r="Y135" s="65">
        <v>33.333333333333329</v>
      </c>
      <c r="Z135" s="55">
        <v>200</v>
      </c>
      <c r="AA135" s="55">
        <v>40</v>
      </c>
      <c r="AB135" s="134">
        <v>88</v>
      </c>
      <c r="AC135" s="127">
        <v>0.12</v>
      </c>
    </row>
    <row r="136" spans="1:29" s="18" customFormat="1">
      <c r="A136" s="24">
        <v>3021</v>
      </c>
      <c r="B136" s="6"/>
      <c r="C136" s="6" t="s">
        <v>88</v>
      </c>
      <c r="D136" s="6">
        <f t="shared" si="52"/>
        <v>0.16666666666666666</v>
      </c>
      <c r="E136" s="7">
        <v>5.0000000000000001E-3</v>
      </c>
      <c r="F136" s="7">
        <v>5.0000000000000001E-3</v>
      </c>
      <c r="G136" s="7">
        <v>0.02</v>
      </c>
      <c r="H136" s="7">
        <f t="shared" si="48"/>
        <v>2.5000000000000001E-2</v>
      </c>
      <c r="I136" s="7">
        <f t="shared" si="28"/>
        <v>0.79999999999999993</v>
      </c>
      <c r="J136" s="7">
        <f t="shared" si="51"/>
        <v>3.0000000000000002E-2</v>
      </c>
      <c r="K136" s="6"/>
      <c r="L136" s="11"/>
      <c r="M136" s="7"/>
      <c r="N136" s="7"/>
      <c r="O136" s="7"/>
      <c r="P136" s="7"/>
      <c r="Q136" s="95"/>
      <c r="R136" s="88">
        <f t="shared" si="29"/>
        <v>200</v>
      </c>
      <c r="S136" s="89">
        <f t="shared" si="30"/>
        <v>40</v>
      </c>
      <c r="T136" s="89">
        <f t="shared" si="31"/>
        <v>33.333333333333329</v>
      </c>
      <c r="U136" s="89"/>
      <c r="V136" s="89"/>
      <c r="W136" s="89"/>
      <c r="X136" s="72">
        <v>0.18</v>
      </c>
      <c r="Y136" s="66">
        <v>33.333333333333329</v>
      </c>
      <c r="Z136" s="56">
        <v>200</v>
      </c>
      <c r="AA136" s="56">
        <v>40</v>
      </c>
      <c r="AB136" s="121"/>
      <c r="AC136" s="122"/>
    </row>
    <row r="137" spans="1:29" s="18" customFormat="1">
      <c r="A137" s="24"/>
      <c r="B137" s="6"/>
      <c r="C137" s="6" t="s">
        <v>166</v>
      </c>
      <c r="D137" s="6">
        <f t="shared" si="52"/>
        <v>0.11764705882352942</v>
      </c>
      <c r="E137" s="7">
        <f>(E136+E138)/2</f>
        <v>5.0000000000000001E-3</v>
      </c>
      <c r="F137" s="7">
        <f>(F136+F138)/2</f>
        <v>2.2499999999999999E-2</v>
      </c>
      <c r="G137" s="7">
        <f>(G136+G138)/2</f>
        <v>1.4999999999999999E-2</v>
      </c>
      <c r="H137" s="7">
        <f t="shared" si="48"/>
        <v>3.7499999999999999E-2</v>
      </c>
      <c r="I137" s="7">
        <f t="shared" si="28"/>
        <v>0.4</v>
      </c>
      <c r="J137" s="7">
        <f t="shared" si="51"/>
        <v>4.2499999999999996E-2</v>
      </c>
      <c r="K137" s="6"/>
      <c r="L137" s="11"/>
      <c r="M137" s="7"/>
      <c r="N137" s="7"/>
      <c r="O137" s="7"/>
      <c r="P137" s="7"/>
      <c r="Q137" s="95"/>
      <c r="R137" s="88">
        <f t="shared" si="29"/>
        <v>200</v>
      </c>
      <c r="S137" s="89">
        <f t="shared" si="30"/>
        <v>26.666666666666668</v>
      </c>
      <c r="T137" s="89">
        <f t="shared" si="31"/>
        <v>23.529411764705884</v>
      </c>
      <c r="U137" s="89"/>
      <c r="V137" s="89"/>
      <c r="W137" s="89"/>
      <c r="X137" s="72">
        <v>0.12</v>
      </c>
      <c r="Y137" s="66">
        <v>23.529411764705884</v>
      </c>
      <c r="Z137" s="56">
        <v>200</v>
      </c>
      <c r="AA137" s="56">
        <v>26.666666666666668</v>
      </c>
      <c r="AB137" s="121"/>
      <c r="AC137" s="122"/>
    </row>
    <row r="138" spans="1:29" s="18" customFormat="1">
      <c r="A138" s="24">
        <v>3022</v>
      </c>
      <c r="B138" s="6"/>
      <c r="C138" s="6" t="s">
        <v>89</v>
      </c>
      <c r="D138" s="6">
        <f t="shared" si="52"/>
        <v>9.0909090909090912E-2</v>
      </c>
      <c r="E138" s="7">
        <f>0.005</f>
        <v>5.0000000000000001E-3</v>
      </c>
      <c r="F138" s="7">
        <v>0.04</v>
      </c>
      <c r="G138" s="7">
        <v>0.01</v>
      </c>
      <c r="H138" s="7">
        <f t="shared" si="48"/>
        <v>0.05</v>
      </c>
      <c r="I138" s="7">
        <f t="shared" si="28"/>
        <v>0.19999999999999998</v>
      </c>
      <c r="J138" s="7">
        <f t="shared" si="51"/>
        <v>5.5E-2</v>
      </c>
      <c r="K138" s="6"/>
      <c r="L138" s="11"/>
      <c r="M138" s="7"/>
      <c r="N138" s="7"/>
      <c r="O138" s="7"/>
      <c r="P138" s="7"/>
      <c r="Q138" s="95"/>
      <c r="R138" s="88">
        <f t="shared" si="29"/>
        <v>200</v>
      </c>
      <c r="S138" s="89">
        <f t="shared" si="30"/>
        <v>20</v>
      </c>
      <c r="T138" s="89">
        <f t="shared" si="31"/>
        <v>18.181818181818183</v>
      </c>
      <c r="U138" s="89"/>
      <c r="V138" s="89"/>
      <c r="W138" s="89"/>
      <c r="X138" s="72">
        <v>0.09</v>
      </c>
      <c r="Y138" s="66">
        <v>18.181818181818183</v>
      </c>
      <c r="Z138" s="56">
        <v>200</v>
      </c>
      <c r="AA138" s="56">
        <v>20</v>
      </c>
      <c r="AB138" s="121"/>
      <c r="AC138" s="122"/>
    </row>
    <row r="139" spans="1:29" s="18" customFormat="1">
      <c r="A139" s="24">
        <v>3031</v>
      </c>
      <c r="B139" s="6"/>
      <c r="C139" s="6" t="s">
        <v>90</v>
      </c>
      <c r="D139" s="6">
        <f t="shared" si="52"/>
        <v>0.16666666666666666</v>
      </c>
      <c r="E139" s="7">
        <v>5.0000000000000001E-3</v>
      </c>
      <c r="F139" s="7">
        <v>5.0000000000000001E-3</v>
      </c>
      <c r="G139" s="7">
        <v>0.02</v>
      </c>
      <c r="H139" s="7">
        <f t="shared" si="48"/>
        <v>2.5000000000000001E-2</v>
      </c>
      <c r="I139" s="7">
        <f t="shared" si="28"/>
        <v>0.79999999999999993</v>
      </c>
      <c r="J139" s="7">
        <f t="shared" si="51"/>
        <v>3.0000000000000002E-2</v>
      </c>
      <c r="K139" s="6"/>
      <c r="L139" s="11"/>
      <c r="M139" s="7"/>
      <c r="N139" s="7"/>
      <c r="O139" s="7"/>
      <c r="P139" s="7"/>
      <c r="Q139" s="95"/>
      <c r="R139" s="88">
        <f t="shared" si="29"/>
        <v>200</v>
      </c>
      <c r="S139" s="89">
        <f t="shared" si="30"/>
        <v>40</v>
      </c>
      <c r="T139" s="89">
        <f t="shared" si="31"/>
        <v>33.333333333333329</v>
      </c>
      <c r="U139" s="89"/>
      <c r="V139" s="89"/>
      <c r="W139" s="89"/>
      <c r="X139" s="72">
        <v>0.17</v>
      </c>
      <c r="Y139" s="66">
        <v>33.333333333333329</v>
      </c>
      <c r="Z139" s="56">
        <v>200</v>
      </c>
      <c r="AA139" s="56">
        <v>40</v>
      </c>
      <c r="AB139" s="121"/>
      <c r="AC139" s="122"/>
    </row>
    <row r="140" spans="1:29" s="18" customFormat="1">
      <c r="A140" s="24"/>
      <c r="B140" s="6"/>
      <c r="C140" s="6" t="s">
        <v>167</v>
      </c>
      <c r="D140" s="6">
        <f t="shared" si="52"/>
        <v>0.11764705882352942</v>
      </c>
      <c r="E140" s="7">
        <f>(E139+E141)/2</f>
        <v>5.0000000000000001E-3</v>
      </c>
      <c r="F140" s="7">
        <f>(F139+F141)/2</f>
        <v>2.2499999999999999E-2</v>
      </c>
      <c r="G140" s="7">
        <f>(G139+G141)/2</f>
        <v>1.4999999999999999E-2</v>
      </c>
      <c r="H140" s="7">
        <f t="shared" si="48"/>
        <v>3.7499999999999999E-2</v>
      </c>
      <c r="I140" s="7">
        <f t="shared" si="28"/>
        <v>0.4</v>
      </c>
      <c r="J140" s="7">
        <f t="shared" si="51"/>
        <v>4.2499999999999996E-2</v>
      </c>
      <c r="K140" s="6"/>
      <c r="L140" s="11"/>
      <c r="M140" s="7"/>
      <c r="N140" s="7"/>
      <c r="O140" s="7"/>
      <c r="P140" s="7"/>
      <c r="Q140" s="95"/>
      <c r="R140" s="88">
        <f t="shared" si="29"/>
        <v>200</v>
      </c>
      <c r="S140" s="89">
        <f t="shared" si="30"/>
        <v>26.666666666666668</v>
      </c>
      <c r="T140" s="89">
        <f t="shared" si="31"/>
        <v>23.529411764705884</v>
      </c>
      <c r="U140" s="89"/>
      <c r="V140" s="89"/>
      <c r="W140" s="89"/>
      <c r="X140" s="72">
        <v>0.12</v>
      </c>
      <c r="Y140" s="66">
        <v>23.529411764705884</v>
      </c>
      <c r="Z140" s="56">
        <v>200</v>
      </c>
      <c r="AA140" s="56">
        <v>26.666666666666668</v>
      </c>
      <c r="AB140" s="121"/>
      <c r="AC140" s="122"/>
    </row>
    <row r="141" spans="1:29" s="27" customFormat="1" ht="16" thickBot="1">
      <c r="A141" s="25">
        <v>3032</v>
      </c>
      <c r="B141" s="26"/>
      <c r="C141" s="26" t="s">
        <v>91</v>
      </c>
      <c r="D141" s="26">
        <f t="shared" si="52"/>
        <v>9.0909090909090912E-2</v>
      </c>
      <c r="E141" s="28">
        <f>0.005</f>
        <v>5.0000000000000001E-3</v>
      </c>
      <c r="F141" s="28">
        <v>0.04</v>
      </c>
      <c r="G141" s="28">
        <v>0.01</v>
      </c>
      <c r="H141" s="28">
        <f t="shared" si="48"/>
        <v>0.05</v>
      </c>
      <c r="I141" s="28">
        <f t="shared" si="28"/>
        <v>0.19999999999999998</v>
      </c>
      <c r="J141" s="28">
        <f t="shared" si="51"/>
        <v>5.5E-2</v>
      </c>
      <c r="K141" s="26"/>
      <c r="L141" s="34"/>
      <c r="M141" s="28"/>
      <c r="N141" s="28"/>
      <c r="O141" s="28"/>
      <c r="P141" s="28"/>
      <c r="Q141" s="97"/>
      <c r="R141" s="88">
        <f t="shared" si="29"/>
        <v>200</v>
      </c>
      <c r="S141" s="89">
        <f t="shared" si="30"/>
        <v>20</v>
      </c>
      <c r="T141" s="89">
        <f t="shared" si="31"/>
        <v>18.181818181818183</v>
      </c>
      <c r="U141" s="89"/>
      <c r="V141" s="89"/>
      <c r="W141" s="89"/>
      <c r="X141" s="73">
        <v>0.09</v>
      </c>
      <c r="Y141" s="67">
        <v>18.181818181818183</v>
      </c>
      <c r="Z141" s="57">
        <v>200</v>
      </c>
      <c r="AA141" s="57">
        <v>20</v>
      </c>
      <c r="AB141" s="136"/>
      <c r="AC141" s="129"/>
    </row>
    <row r="142" spans="1:29" s="18" customFormat="1" ht="16" thickBot="1">
      <c r="A142" s="6"/>
      <c r="B142" s="6"/>
      <c r="C142" s="6"/>
      <c r="D142" s="6"/>
      <c r="E142" s="7"/>
      <c r="F142" s="7"/>
      <c r="G142" s="7"/>
      <c r="H142" s="7"/>
      <c r="I142" s="7"/>
      <c r="J142" s="7"/>
      <c r="K142" s="6"/>
      <c r="L142" s="11"/>
      <c r="M142" s="7"/>
      <c r="N142" s="7"/>
      <c r="O142" s="7"/>
      <c r="P142" s="7"/>
      <c r="Q142" s="95"/>
      <c r="R142" s="88"/>
      <c r="S142" s="89"/>
      <c r="T142" s="89"/>
      <c r="U142" s="89"/>
      <c r="V142" s="89"/>
      <c r="W142" s="89"/>
      <c r="X142" s="77">
        <f>AVERAGE(X135:X141)</f>
        <v>0.13428571428571429</v>
      </c>
      <c r="Y142" s="77">
        <f>AVERAGE(Y135:Y141)</f>
        <v>26.203208556149729</v>
      </c>
      <c r="Z142" s="77">
        <f>AVERAGE(Z135:Z141)</f>
        <v>200</v>
      </c>
      <c r="AA142" s="77">
        <f>AVERAGE(AA135:AA141)</f>
        <v>30.476190476190478</v>
      </c>
      <c r="AB142" s="62"/>
      <c r="AC142" s="78"/>
    </row>
    <row r="143" spans="1:29">
      <c r="A143" s="6">
        <v>3110</v>
      </c>
      <c r="B143" s="6">
        <v>610310</v>
      </c>
      <c r="C143" s="6" t="s">
        <v>92</v>
      </c>
      <c r="D143" s="2">
        <f t="shared" si="52"/>
        <v>0.79999999999999993</v>
      </c>
      <c r="E143" s="7">
        <v>0.02</v>
      </c>
      <c r="F143" s="7">
        <v>0</v>
      </c>
      <c r="G143" s="7">
        <v>5.0000000000000001E-3</v>
      </c>
      <c r="H143" s="7">
        <f t="shared" si="48"/>
        <v>5.0000000000000001E-3</v>
      </c>
      <c r="I143" s="7">
        <f t="shared" ref="I143:I204" si="53">G143/H143</f>
        <v>1</v>
      </c>
      <c r="J143" s="4">
        <f t="shared" si="51"/>
        <v>2.5000000000000001E-2</v>
      </c>
      <c r="K143" s="2">
        <f t="shared" ref="K143:K173" si="54">L143/Q143</f>
        <v>1</v>
      </c>
      <c r="L143" s="11">
        <f>0.0066+0.0264</f>
        <v>3.3000000000000002E-2</v>
      </c>
      <c r="M143" s="7">
        <v>0</v>
      </c>
      <c r="N143" s="6">
        <v>0</v>
      </c>
      <c r="O143" s="7">
        <f>M143+N143</f>
        <v>0</v>
      </c>
      <c r="P143" s="7">
        <v>0</v>
      </c>
      <c r="Q143" s="95">
        <f t="shared" ref="Q143:Q159" si="55">L143+O143</f>
        <v>3.3000000000000002E-2</v>
      </c>
      <c r="R143" s="88">
        <f t="shared" ref="R143:R173" si="56">1/E143</f>
        <v>50</v>
      </c>
      <c r="S143" s="89">
        <f t="shared" ref="S143:S173" si="57">1/H143</f>
        <v>200</v>
      </c>
      <c r="T143" s="89">
        <f t="shared" ref="T143:T173" si="58">1/J143</f>
        <v>40</v>
      </c>
      <c r="U143" s="89">
        <f>1/L143</f>
        <v>30.303030303030301</v>
      </c>
      <c r="V143" s="89">
        <v>0</v>
      </c>
      <c r="W143" s="89">
        <f t="shared" ref="W143:W173" si="59">1/Q143</f>
        <v>30.303030303030301</v>
      </c>
      <c r="X143" s="72">
        <v>1</v>
      </c>
      <c r="Y143" s="64">
        <v>30.303030303030301</v>
      </c>
      <c r="Z143" s="54">
        <v>30.303030303030301</v>
      </c>
      <c r="AA143" s="54">
        <v>0</v>
      </c>
      <c r="AB143" s="134">
        <v>21</v>
      </c>
      <c r="AC143" s="127">
        <v>0.05</v>
      </c>
    </row>
    <row r="144" spans="1:29">
      <c r="A144" s="6">
        <v>3121</v>
      </c>
      <c r="B144" s="6">
        <v>610310</v>
      </c>
      <c r="C144" s="6" t="s">
        <v>93</v>
      </c>
      <c r="D144" s="2">
        <f t="shared" si="52"/>
        <v>0.15011037527593818</v>
      </c>
      <c r="E144" s="7">
        <v>1.3599999999999999E-2</v>
      </c>
      <c r="F144" s="7">
        <f>0.0272+0.0098</f>
        <v>3.6999999999999998E-2</v>
      </c>
      <c r="G144" s="7">
        <f>0.04</f>
        <v>0.04</v>
      </c>
      <c r="H144" s="7">
        <f t="shared" si="48"/>
        <v>7.6999999999999999E-2</v>
      </c>
      <c r="I144" s="7">
        <f t="shared" si="53"/>
        <v>0.51948051948051954</v>
      </c>
      <c r="J144" s="4">
        <f t="shared" si="51"/>
        <v>9.06E-2</v>
      </c>
      <c r="K144" s="2">
        <f t="shared" si="54"/>
        <v>0.259504132231405</v>
      </c>
      <c r="L144" s="11">
        <f>0.01+0.01083+0.00272</f>
        <v>2.3550000000000001E-2</v>
      </c>
      <c r="M144" s="7">
        <v>2.7199999999999998E-2</v>
      </c>
      <c r="N144" s="7">
        <v>0.04</v>
      </c>
      <c r="O144" s="7">
        <f t="shared" si="39"/>
        <v>6.7199999999999996E-2</v>
      </c>
      <c r="P144" s="7">
        <f t="shared" ref="P144:P173" si="60">N144/O144</f>
        <v>0.59523809523809523</v>
      </c>
      <c r="Q144" s="95">
        <f t="shared" si="55"/>
        <v>9.0749999999999997E-2</v>
      </c>
      <c r="R144" s="88">
        <f t="shared" si="56"/>
        <v>73.529411764705884</v>
      </c>
      <c r="S144" s="89">
        <f t="shared" si="57"/>
        <v>12.987012987012987</v>
      </c>
      <c r="T144" s="89">
        <f t="shared" si="58"/>
        <v>11.037527593818984</v>
      </c>
      <c r="U144" s="89">
        <f t="shared" ref="U144:U173" si="61">1/L144</f>
        <v>42.462845010615709</v>
      </c>
      <c r="V144" s="89">
        <f t="shared" ref="V144:V173" si="62">1/O144</f>
        <v>14.880952380952381</v>
      </c>
      <c r="W144" s="89">
        <f t="shared" si="59"/>
        <v>11.019283746556475</v>
      </c>
      <c r="X144" s="72">
        <v>0.26</v>
      </c>
      <c r="Y144" s="64">
        <v>11.019283746556475</v>
      </c>
      <c r="Z144" s="54">
        <v>42.462845010615709</v>
      </c>
      <c r="AA144" s="54">
        <v>14.880952380952381</v>
      </c>
      <c r="AB144" s="135"/>
      <c r="AC144" s="128"/>
    </row>
    <row r="145" spans="1:29">
      <c r="A145" s="6"/>
      <c r="B145" s="6">
        <v>610310</v>
      </c>
      <c r="C145" s="6" t="s">
        <v>168</v>
      </c>
      <c r="D145" s="2">
        <f t="shared" si="52"/>
        <v>9.5500459136822771E-2</v>
      </c>
      <c r="E145" s="7">
        <f>(E144+E146)/2</f>
        <v>1.04E-2</v>
      </c>
      <c r="F145" s="7">
        <f>(F144+F146)/2</f>
        <v>6.8500000000000005E-2</v>
      </c>
      <c r="G145" s="7">
        <f>(G144+G146)/2</f>
        <v>0.03</v>
      </c>
      <c r="H145" s="7">
        <f t="shared" si="48"/>
        <v>9.8500000000000004E-2</v>
      </c>
      <c r="I145" s="7">
        <f t="shared" si="53"/>
        <v>0.3045685279187817</v>
      </c>
      <c r="J145" s="4">
        <f t="shared" si="51"/>
        <v>0.1089</v>
      </c>
      <c r="K145" s="2">
        <f t="shared" si="54"/>
        <v>0.13573407202216067</v>
      </c>
      <c r="L145" s="11">
        <f>(L144+L146)/2</f>
        <v>1.4700000000000001E-2</v>
      </c>
      <c r="M145" s="7">
        <f>(M144+M146)/2</f>
        <v>6.3600000000000004E-2</v>
      </c>
      <c r="N145" s="7">
        <f>(N144+N146)/2</f>
        <v>0.03</v>
      </c>
      <c r="O145" s="7">
        <f t="shared" si="39"/>
        <v>9.3600000000000003E-2</v>
      </c>
      <c r="P145" s="7">
        <f t="shared" si="60"/>
        <v>0.32051282051282048</v>
      </c>
      <c r="Q145" s="95">
        <f t="shared" si="55"/>
        <v>0.10830000000000001</v>
      </c>
      <c r="R145" s="88">
        <f t="shared" si="56"/>
        <v>96.15384615384616</v>
      </c>
      <c r="S145" s="89">
        <f t="shared" si="57"/>
        <v>10.152284263959391</v>
      </c>
      <c r="T145" s="89">
        <f t="shared" si="58"/>
        <v>9.1827364554637292</v>
      </c>
      <c r="U145" s="89">
        <f t="shared" si="61"/>
        <v>68.027210884353735</v>
      </c>
      <c r="V145" s="89">
        <f t="shared" si="62"/>
        <v>10.683760683760683</v>
      </c>
      <c r="W145" s="89">
        <f t="shared" si="59"/>
        <v>9.2336103416435815</v>
      </c>
      <c r="X145" s="72">
        <v>0.14000000000000001</v>
      </c>
      <c r="Y145" s="64">
        <v>9.2336103416435815</v>
      </c>
      <c r="Z145" s="54">
        <v>68.027210884353735</v>
      </c>
      <c r="AA145" s="54">
        <v>10.683760683760683</v>
      </c>
      <c r="AB145" s="135"/>
      <c r="AC145" s="128"/>
    </row>
    <row r="146" spans="1:29">
      <c r="A146" s="6">
        <v>3122</v>
      </c>
      <c r="B146" s="6">
        <v>610310</v>
      </c>
      <c r="C146" s="6" t="s">
        <v>94</v>
      </c>
      <c r="D146" s="2">
        <f t="shared" si="52"/>
        <v>5.6603773584905655E-2</v>
      </c>
      <c r="E146" s="7">
        <f>0.0042+0.003</f>
        <v>7.1999999999999998E-3</v>
      </c>
      <c r="F146" s="7">
        <v>0.1</v>
      </c>
      <c r="G146" s="7">
        <v>0.02</v>
      </c>
      <c r="H146" s="7">
        <f t="shared" si="48"/>
        <v>0.12000000000000001</v>
      </c>
      <c r="I146" s="7">
        <f t="shared" si="53"/>
        <v>0.16666666666666666</v>
      </c>
      <c r="J146" s="4">
        <f t="shared" si="51"/>
        <v>0.12720000000000001</v>
      </c>
      <c r="K146" s="2">
        <f t="shared" si="54"/>
        <v>4.6483909415971386E-2</v>
      </c>
      <c r="L146" s="11">
        <f>0.0015+0.0012+0.003+0.00015</f>
        <v>5.8500000000000002E-3</v>
      </c>
      <c r="M146" s="7">
        <v>0.1</v>
      </c>
      <c r="N146" s="7">
        <v>0.02</v>
      </c>
      <c r="O146" s="7">
        <f t="shared" si="39"/>
        <v>0.12000000000000001</v>
      </c>
      <c r="P146" s="7">
        <f t="shared" si="60"/>
        <v>0.16666666666666666</v>
      </c>
      <c r="Q146" s="95">
        <f t="shared" si="55"/>
        <v>0.12585000000000002</v>
      </c>
      <c r="R146" s="88">
        <f t="shared" si="56"/>
        <v>138.88888888888889</v>
      </c>
      <c r="S146" s="89">
        <f t="shared" si="57"/>
        <v>8.3333333333333321</v>
      </c>
      <c r="T146" s="89">
        <f t="shared" si="58"/>
        <v>7.8616352201257858</v>
      </c>
      <c r="U146" s="89">
        <f t="shared" si="61"/>
        <v>170.94017094017093</v>
      </c>
      <c r="V146" s="89">
        <f t="shared" si="62"/>
        <v>8.3333333333333321</v>
      </c>
      <c r="W146" s="89">
        <f t="shared" si="59"/>
        <v>7.9459674215335703</v>
      </c>
      <c r="X146" s="72">
        <v>0.05</v>
      </c>
      <c r="Y146" s="64">
        <v>7.9459674215335703</v>
      </c>
      <c r="Z146" s="54">
        <v>170.94017094017093</v>
      </c>
      <c r="AA146" s="54">
        <v>8.3333333333333321</v>
      </c>
      <c r="AB146" s="135"/>
      <c r="AC146" s="128"/>
    </row>
    <row r="147" spans="1:29">
      <c r="A147" s="6">
        <v>3131</v>
      </c>
      <c r="B147" s="6">
        <v>610310</v>
      </c>
      <c r="C147" s="6" t="s">
        <v>95</v>
      </c>
      <c r="D147" s="2">
        <f t="shared" si="52"/>
        <v>0.33217993079584773</v>
      </c>
      <c r="E147" s="7">
        <f>0.0063+0.0129</f>
        <v>1.9200000000000002E-2</v>
      </c>
      <c r="F147" s="7">
        <f>0.019+0.017</f>
        <v>3.6000000000000004E-2</v>
      </c>
      <c r="G147" s="7">
        <v>2.5999999999999999E-3</v>
      </c>
      <c r="H147" s="7">
        <f t="shared" si="48"/>
        <v>3.8600000000000002E-2</v>
      </c>
      <c r="I147" s="7">
        <f t="shared" si="53"/>
        <v>6.7357512953367865E-2</v>
      </c>
      <c r="J147" s="4">
        <f t="shared" si="51"/>
        <v>5.7800000000000004E-2</v>
      </c>
      <c r="K147" s="2">
        <f t="shared" si="54"/>
        <v>0.20336391437308871</v>
      </c>
      <c r="L147" s="11">
        <f>0.007+0.00504+0.00126</f>
        <v>1.3300000000000001E-2</v>
      </c>
      <c r="M147" s="7">
        <v>2.2100000000000002E-2</v>
      </c>
      <c r="N147" s="7">
        <v>0.03</v>
      </c>
      <c r="O147" s="7">
        <f t="shared" si="39"/>
        <v>5.21E-2</v>
      </c>
      <c r="P147" s="7">
        <f t="shared" si="60"/>
        <v>0.57581573896353166</v>
      </c>
      <c r="Q147" s="95">
        <f t="shared" si="55"/>
        <v>6.54E-2</v>
      </c>
      <c r="R147" s="88">
        <f t="shared" si="56"/>
        <v>52.083333333333329</v>
      </c>
      <c r="S147" s="89">
        <f t="shared" si="57"/>
        <v>25.906735751295336</v>
      </c>
      <c r="T147" s="89">
        <f t="shared" si="58"/>
        <v>17.301038062283737</v>
      </c>
      <c r="U147" s="89">
        <f t="shared" si="61"/>
        <v>75.187969924812023</v>
      </c>
      <c r="V147" s="89">
        <f t="shared" si="62"/>
        <v>19.193857965451055</v>
      </c>
      <c r="W147" s="89">
        <f t="shared" si="59"/>
        <v>15.290519877675841</v>
      </c>
      <c r="X147" s="72">
        <v>0.2</v>
      </c>
      <c r="Y147" s="64">
        <v>15.290519877675841</v>
      </c>
      <c r="Z147" s="54">
        <v>75.187969924812023</v>
      </c>
      <c r="AA147" s="54">
        <v>19.193857965451055</v>
      </c>
      <c r="AB147" s="135"/>
      <c r="AC147" s="128"/>
    </row>
    <row r="148" spans="1:29">
      <c r="A148" s="6"/>
      <c r="B148" s="6">
        <v>610310</v>
      </c>
      <c r="C148" s="6" t="s">
        <v>169</v>
      </c>
      <c r="D148" s="2">
        <f t="shared" si="52"/>
        <v>0.11244541484716157</v>
      </c>
      <c r="E148" s="7">
        <f>(E147+E149)/2</f>
        <v>1.03E-2</v>
      </c>
      <c r="F148" s="7">
        <f>(F147+F149)/2</f>
        <v>7.9000000000000001E-2</v>
      </c>
      <c r="G148" s="7">
        <f>(G147+G149)/2</f>
        <v>2.3E-3</v>
      </c>
      <c r="H148" s="7">
        <f t="shared" si="48"/>
        <v>8.1299999999999997E-2</v>
      </c>
      <c r="I148" s="7">
        <f t="shared" si="53"/>
        <v>2.829028290282903E-2</v>
      </c>
      <c r="J148" s="4">
        <f t="shared" si="51"/>
        <v>9.1600000000000001E-2</v>
      </c>
      <c r="K148" s="2">
        <f t="shared" si="54"/>
        <v>7.8616352201257858E-2</v>
      </c>
      <c r="L148" s="11">
        <f>(L147+L149)/2</f>
        <v>7.5000000000000006E-3</v>
      </c>
      <c r="M148" s="7">
        <f>(M147+M149)/2</f>
        <v>7.2050000000000003E-2</v>
      </c>
      <c r="N148" s="7">
        <f>(N147+N149)/2</f>
        <v>1.585E-2</v>
      </c>
      <c r="O148" s="7">
        <f t="shared" si="39"/>
        <v>8.7900000000000006E-2</v>
      </c>
      <c r="P148" s="7">
        <f t="shared" si="60"/>
        <v>0.18031854379977244</v>
      </c>
      <c r="Q148" s="95">
        <f t="shared" si="55"/>
        <v>9.5400000000000013E-2</v>
      </c>
      <c r="R148" s="88">
        <f t="shared" si="56"/>
        <v>97.087378640776691</v>
      </c>
      <c r="S148" s="89">
        <f t="shared" si="57"/>
        <v>12.300123001230013</v>
      </c>
      <c r="T148" s="89">
        <f t="shared" si="58"/>
        <v>10.91703056768559</v>
      </c>
      <c r="U148" s="89">
        <f t="shared" si="61"/>
        <v>133.33333333333331</v>
      </c>
      <c r="V148" s="89">
        <f t="shared" si="62"/>
        <v>11.376564277588168</v>
      </c>
      <c r="W148" s="89">
        <f t="shared" si="59"/>
        <v>10.482180293501047</v>
      </c>
      <c r="X148" s="72">
        <v>0.08</v>
      </c>
      <c r="Y148" s="64">
        <v>10.482180293501047</v>
      </c>
      <c r="Z148" s="54">
        <v>133.33333333333331</v>
      </c>
      <c r="AA148" s="54">
        <v>11.376564277588168</v>
      </c>
      <c r="AB148" s="135"/>
      <c r="AC148" s="128"/>
    </row>
    <row r="149" spans="1:29" ht="16" thickBot="1">
      <c r="A149" s="6">
        <v>3132</v>
      </c>
      <c r="B149" s="6">
        <v>610310</v>
      </c>
      <c r="C149" s="6" t="s">
        <v>96</v>
      </c>
      <c r="D149" s="2">
        <f t="shared" si="52"/>
        <v>1.1164274322169057E-2</v>
      </c>
      <c r="E149" s="7">
        <f>0.0014</f>
        <v>1.4E-3</v>
      </c>
      <c r="F149" s="7">
        <v>0.122</v>
      </c>
      <c r="G149" s="7">
        <v>2E-3</v>
      </c>
      <c r="H149" s="7">
        <f t="shared" si="48"/>
        <v>0.124</v>
      </c>
      <c r="I149" s="7">
        <f t="shared" si="53"/>
        <v>1.6129032258064516E-2</v>
      </c>
      <c r="J149" s="4">
        <f t="shared" si="51"/>
        <v>0.12540000000000001</v>
      </c>
      <c r="K149" s="2">
        <f t="shared" si="54"/>
        <v>1.3556618819776716E-2</v>
      </c>
      <c r="L149" s="12">
        <f>0.00015+0.0004+0.00015+0.001</f>
        <v>1.7000000000000001E-3</v>
      </c>
      <c r="M149" s="10">
        <v>0.122</v>
      </c>
      <c r="N149" s="7">
        <v>1.6999999999999999E-3</v>
      </c>
      <c r="O149" s="7">
        <f>M149+N149</f>
        <v>0.12369999999999999</v>
      </c>
      <c r="P149" s="7">
        <f t="shared" si="60"/>
        <v>1.3742926434923202E-2</v>
      </c>
      <c r="Q149" s="95">
        <f t="shared" si="55"/>
        <v>0.12539999999999998</v>
      </c>
      <c r="R149" s="88">
        <f t="shared" si="56"/>
        <v>714.28571428571433</v>
      </c>
      <c r="S149" s="89">
        <f t="shared" si="57"/>
        <v>8.064516129032258</v>
      </c>
      <c r="T149" s="89">
        <f t="shared" si="58"/>
        <v>7.9744816586921843</v>
      </c>
      <c r="U149" s="89">
        <f t="shared" si="61"/>
        <v>588.23529411764707</v>
      </c>
      <c r="V149" s="89">
        <f t="shared" si="62"/>
        <v>8.0840743734842366</v>
      </c>
      <c r="W149" s="89">
        <f t="shared" si="59"/>
        <v>7.9744816586921861</v>
      </c>
      <c r="X149" s="72">
        <v>0.01</v>
      </c>
      <c r="Y149" s="64">
        <v>7.9744816586921861</v>
      </c>
      <c r="Z149" s="54">
        <v>588.23529411764707</v>
      </c>
      <c r="AA149" s="54">
        <v>8.0840743734842366</v>
      </c>
      <c r="AB149" s="136"/>
      <c r="AC149" s="129"/>
    </row>
    <row r="150" spans="1:29" ht="16" thickBot="1">
      <c r="A150" s="6"/>
      <c r="B150" s="6"/>
      <c r="C150" s="6"/>
      <c r="E150" s="7"/>
      <c r="F150" s="7"/>
      <c r="G150" s="7"/>
      <c r="H150" s="7"/>
      <c r="I150" s="7"/>
      <c r="J150" s="4"/>
      <c r="L150" s="12"/>
      <c r="M150" s="10"/>
      <c r="N150" s="7"/>
      <c r="O150" s="7"/>
      <c r="P150" s="7"/>
      <c r="Q150" s="95"/>
      <c r="R150" s="88"/>
      <c r="S150" s="89"/>
      <c r="T150" s="89"/>
      <c r="U150" s="89"/>
      <c r="V150" s="89"/>
      <c r="W150" s="89"/>
      <c r="X150" s="77">
        <f>AVERAGE(X143:X149)</f>
        <v>0.24857142857142858</v>
      </c>
      <c r="Y150" s="77">
        <f>AVERAGE(Y143:Y149)</f>
        <v>13.178439091804714</v>
      </c>
      <c r="Z150" s="77">
        <f>AVERAGE(Z143:Z149)</f>
        <v>158.35569350199472</v>
      </c>
      <c r="AA150" s="77">
        <f>AVERAGE(AA143:AA149)</f>
        <v>10.364649002081409</v>
      </c>
      <c r="AB150" s="62"/>
      <c r="AC150" s="78"/>
    </row>
    <row r="151" spans="1:29" s="21" customFormat="1">
      <c r="A151" s="30"/>
      <c r="B151" s="20">
        <v>610430</v>
      </c>
      <c r="C151" s="20" t="s">
        <v>114</v>
      </c>
      <c r="D151" s="20">
        <f t="shared" si="52"/>
        <v>1</v>
      </c>
      <c r="E151" s="20">
        <f>0.003+0.1</f>
        <v>0.10300000000000001</v>
      </c>
      <c r="F151" s="20">
        <v>0</v>
      </c>
      <c r="G151" s="22">
        <v>0</v>
      </c>
      <c r="H151" s="22">
        <f t="shared" si="48"/>
        <v>0</v>
      </c>
      <c r="I151" s="22">
        <v>0</v>
      </c>
      <c r="J151" s="22">
        <f t="shared" si="51"/>
        <v>0.10300000000000001</v>
      </c>
      <c r="K151" s="20">
        <f t="shared" si="54"/>
        <v>1</v>
      </c>
      <c r="L151" s="23">
        <v>1.4714285714285701E-2</v>
      </c>
      <c r="M151" s="20">
        <v>0</v>
      </c>
      <c r="N151" s="20">
        <v>0</v>
      </c>
      <c r="O151" s="22">
        <f t="shared" ref="O151:O173" si="63">M151+N151</f>
        <v>0</v>
      </c>
      <c r="P151" s="22">
        <v>0</v>
      </c>
      <c r="Q151" s="96">
        <f t="shared" si="55"/>
        <v>1.4714285714285701E-2</v>
      </c>
      <c r="R151" s="88">
        <f t="shared" si="56"/>
        <v>9.7087378640776691</v>
      </c>
      <c r="S151" s="89">
        <v>0</v>
      </c>
      <c r="T151" s="89">
        <f t="shared" si="58"/>
        <v>9.7087378640776691</v>
      </c>
      <c r="U151" s="89">
        <f t="shared" si="61"/>
        <v>67.961165048543748</v>
      </c>
      <c r="V151" s="89">
        <v>0</v>
      </c>
      <c r="W151" s="89">
        <f t="shared" si="59"/>
        <v>67.961165048543748</v>
      </c>
      <c r="X151" s="71">
        <v>1</v>
      </c>
      <c r="Y151" s="65">
        <v>67.961165048543748</v>
      </c>
      <c r="Z151" s="55">
        <v>67.961165048543748</v>
      </c>
      <c r="AA151" s="55">
        <v>0</v>
      </c>
      <c r="AB151" s="132" t="s">
        <v>291</v>
      </c>
      <c r="AC151" s="130">
        <v>0.02</v>
      </c>
    </row>
    <row r="152" spans="1:29" s="18" customFormat="1">
      <c r="A152" s="31"/>
      <c r="B152" s="6">
        <v>610430</v>
      </c>
      <c r="C152" s="6" t="s">
        <v>115</v>
      </c>
      <c r="D152" s="6">
        <f>E152/J152</f>
        <v>2.2900763358778626E-2</v>
      </c>
      <c r="E152" s="6">
        <v>3.0000000000000001E-3</v>
      </c>
      <c r="F152" s="7">
        <v>0.1</v>
      </c>
      <c r="G152" s="7">
        <v>2.8000000000000001E-2</v>
      </c>
      <c r="H152" s="7">
        <f t="shared" si="48"/>
        <v>0.128</v>
      </c>
      <c r="I152" s="7">
        <f t="shared" si="53"/>
        <v>0.21875</v>
      </c>
      <c r="J152" s="7">
        <f t="shared" si="51"/>
        <v>0.13100000000000001</v>
      </c>
      <c r="K152" s="6">
        <f t="shared" si="54"/>
        <v>1.9693654266958446E-2</v>
      </c>
      <c r="L152" s="13">
        <v>4.2857142857142898E-4</v>
      </c>
      <c r="M152" s="6">
        <v>1.6666666666666666E-2</v>
      </c>
      <c r="N152" s="6">
        <v>4.6666666666666671E-3</v>
      </c>
      <c r="O152" s="7">
        <f t="shared" si="63"/>
        <v>2.1333333333333333E-2</v>
      </c>
      <c r="P152" s="7">
        <f t="shared" si="60"/>
        <v>0.21875000000000003</v>
      </c>
      <c r="Q152" s="95">
        <f t="shared" si="55"/>
        <v>2.176190476190476E-2</v>
      </c>
      <c r="R152" s="88">
        <f t="shared" si="56"/>
        <v>333.33333333333331</v>
      </c>
      <c r="S152" s="89">
        <f t="shared" si="57"/>
        <v>7.8125</v>
      </c>
      <c r="T152" s="89">
        <f t="shared" si="58"/>
        <v>7.6335877862595414</v>
      </c>
      <c r="U152" s="89">
        <f t="shared" si="61"/>
        <v>2333.3333333333312</v>
      </c>
      <c r="V152" s="89">
        <f t="shared" si="62"/>
        <v>46.875</v>
      </c>
      <c r="W152" s="89">
        <f t="shared" si="59"/>
        <v>45.951859956236326</v>
      </c>
      <c r="X152" s="72">
        <v>0.02</v>
      </c>
      <c r="Y152" s="66">
        <v>45.951859956236326</v>
      </c>
      <c r="Z152" s="56">
        <v>2333.3333333333312</v>
      </c>
      <c r="AA152" s="56">
        <v>46.875</v>
      </c>
      <c r="AB152" s="123"/>
      <c r="AC152" s="124"/>
    </row>
    <row r="153" spans="1:29" s="18" customFormat="1">
      <c r="A153" s="31"/>
      <c r="B153" s="6">
        <v>610430</v>
      </c>
      <c r="C153" s="6" t="s">
        <v>134</v>
      </c>
      <c r="D153" s="6">
        <f t="shared" si="52"/>
        <v>1.0615711252653927E-2</v>
      </c>
      <c r="E153" s="6">
        <v>2.5000000000000001E-3</v>
      </c>
      <c r="F153" s="7">
        <v>0.2</v>
      </c>
      <c r="G153" s="7">
        <v>3.3000000000000002E-2</v>
      </c>
      <c r="H153" s="7">
        <f t="shared" si="48"/>
        <v>0.23300000000000001</v>
      </c>
      <c r="I153" s="7">
        <f t="shared" si="53"/>
        <v>0.14163090128755365</v>
      </c>
      <c r="J153" s="7">
        <f t="shared" si="51"/>
        <v>0.23550000000000001</v>
      </c>
      <c r="K153" s="6">
        <f t="shared" si="54"/>
        <v>9.1130012150668297E-3</v>
      </c>
      <c r="L153" s="13">
        <v>3.5714285714285714E-4</v>
      </c>
      <c r="M153" s="6">
        <v>3.3333333333333333E-2</v>
      </c>
      <c r="N153" s="6">
        <v>5.5000000000000005E-3</v>
      </c>
      <c r="O153" s="7">
        <f t="shared" si="63"/>
        <v>3.8833333333333331E-2</v>
      </c>
      <c r="P153" s="7">
        <f t="shared" si="60"/>
        <v>0.14163090128755368</v>
      </c>
      <c r="Q153" s="95">
        <f t="shared" si="55"/>
        <v>3.9190476190476185E-2</v>
      </c>
      <c r="R153" s="88">
        <f t="shared" si="56"/>
        <v>400</v>
      </c>
      <c r="S153" s="89">
        <f t="shared" si="57"/>
        <v>4.2918454935622314</v>
      </c>
      <c r="T153" s="89">
        <f t="shared" si="58"/>
        <v>4.2462845010615711</v>
      </c>
      <c r="U153" s="89">
        <f t="shared" si="61"/>
        <v>2800</v>
      </c>
      <c r="V153" s="89">
        <f t="shared" si="62"/>
        <v>25.751072961373392</v>
      </c>
      <c r="W153" s="89">
        <f t="shared" si="59"/>
        <v>25.516403402187123</v>
      </c>
      <c r="X153" s="72">
        <v>0.01</v>
      </c>
      <c r="Y153" s="66">
        <v>25.516403402187123</v>
      </c>
      <c r="Z153" s="56">
        <v>2800</v>
      </c>
      <c r="AA153" s="56">
        <v>25.751072961373392</v>
      </c>
      <c r="AB153" s="123"/>
      <c r="AC153" s="124"/>
    </row>
    <row r="154" spans="1:29" s="18" customFormat="1">
      <c r="A154" s="31"/>
      <c r="B154" s="6">
        <v>610430</v>
      </c>
      <c r="C154" s="6" t="s">
        <v>116</v>
      </c>
      <c r="D154" s="6">
        <f t="shared" si="52"/>
        <v>5.8823529411764714E-3</v>
      </c>
      <c r="E154" s="6">
        <v>2E-3</v>
      </c>
      <c r="F154" s="7">
        <v>0.3</v>
      </c>
      <c r="G154" s="7">
        <v>3.7999999999999999E-2</v>
      </c>
      <c r="H154" s="7">
        <f t="shared" si="48"/>
        <v>0.33799999999999997</v>
      </c>
      <c r="I154" s="7">
        <f t="shared" si="53"/>
        <v>0.11242603550295859</v>
      </c>
      <c r="J154" s="7">
        <f t="shared" si="51"/>
        <v>0.33999999999999997</v>
      </c>
      <c r="K154" s="6">
        <f t="shared" si="54"/>
        <v>5.0462573591253156E-3</v>
      </c>
      <c r="L154" s="13">
        <v>2.8571428571428574E-4</v>
      </c>
      <c r="M154" s="6">
        <v>4.9999999999999996E-2</v>
      </c>
      <c r="N154" s="6">
        <v>6.3333333333333332E-3</v>
      </c>
      <c r="O154" s="7">
        <f t="shared" si="63"/>
        <v>5.6333333333333332E-2</v>
      </c>
      <c r="P154" s="7">
        <f t="shared" si="60"/>
        <v>0.11242603550295859</v>
      </c>
      <c r="Q154" s="95">
        <f t="shared" si="55"/>
        <v>5.6619047619047617E-2</v>
      </c>
      <c r="R154" s="88">
        <f t="shared" si="56"/>
        <v>500</v>
      </c>
      <c r="S154" s="89">
        <f t="shared" si="57"/>
        <v>2.9585798816568052</v>
      </c>
      <c r="T154" s="89">
        <f t="shared" si="58"/>
        <v>2.9411764705882355</v>
      </c>
      <c r="U154" s="89">
        <f t="shared" si="61"/>
        <v>3499.9999999999995</v>
      </c>
      <c r="V154" s="89">
        <f t="shared" si="62"/>
        <v>17.751479289940828</v>
      </c>
      <c r="W154" s="89">
        <f t="shared" si="59"/>
        <v>17.661900756938604</v>
      </c>
      <c r="X154" s="72">
        <v>0.01</v>
      </c>
      <c r="Y154" s="66">
        <v>17.661900756938604</v>
      </c>
      <c r="Z154" s="56">
        <v>3499.9999999999995</v>
      </c>
      <c r="AA154" s="56">
        <v>17.751479289940828</v>
      </c>
      <c r="AB154" s="123"/>
      <c r="AC154" s="124"/>
    </row>
    <row r="155" spans="1:29" s="18" customFormat="1">
      <c r="A155" s="31"/>
      <c r="B155" s="6">
        <v>610430</v>
      </c>
      <c r="C155" s="6" t="s">
        <v>117</v>
      </c>
      <c r="D155" s="6">
        <f t="shared" si="52"/>
        <v>2.1739130434782608E-2</v>
      </c>
      <c r="E155" s="6">
        <v>3.0000000000000001E-3</v>
      </c>
      <c r="F155" s="6">
        <v>0.1</v>
      </c>
      <c r="G155" s="7">
        <v>3.5000000000000003E-2</v>
      </c>
      <c r="H155" s="7">
        <f t="shared" si="48"/>
        <v>0.13500000000000001</v>
      </c>
      <c r="I155" s="7">
        <f t="shared" si="53"/>
        <v>0.25925925925925924</v>
      </c>
      <c r="J155" s="7">
        <f t="shared" si="51"/>
        <v>0.13800000000000001</v>
      </c>
      <c r="K155" s="6">
        <f t="shared" si="54"/>
        <v>1.8691588785046731E-2</v>
      </c>
      <c r="L155" s="13">
        <v>4.285714285714286E-4</v>
      </c>
      <c r="M155" s="6">
        <v>1.6666666666666666E-2</v>
      </c>
      <c r="N155" s="6">
        <v>5.8333333333333336E-3</v>
      </c>
      <c r="O155" s="7">
        <f t="shared" si="63"/>
        <v>2.2499999999999999E-2</v>
      </c>
      <c r="P155" s="7">
        <f t="shared" si="60"/>
        <v>0.2592592592592593</v>
      </c>
      <c r="Q155" s="95">
        <f t="shared" si="55"/>
        <v>2.2928571428571427E-2</v>
      </c>
      <c r="R155" s="88">
        <f t="shared" si="56"/>
        <v>333.33333333333331</v>
      </c>
      <c r="S155" s="89">
        <f t="shared" si="57"/>
        <v>7.4074074074074066</v>
      </c>
      <c r="T155" s="89">
        <f t="shared" si="58"/>
        <v>7.2463768115942022</v>
      </c>
      <c r="U155" s="89">
        <f t="shared" si="61"/>
        <v>2333.333333333333</v>
      </c>
      <c r="V155" s="89">
        <f t="shared" si="62"/>
        <v>44.444444444444443</v>
      </c>
      <c r="W155" s="89">
        <f t="shared" si="59"/>
        <v>43.613707165109041</v>
      </c>
      <c r="X155" s="72">
        <v>0.01</v>
      </c>
      <c r="Y155" s="66">
        <v>43.613707165109041</v>
      </c>
      <c r="Z155" s="56">
        <v>2333.333333333333</v>
      </c>
      <c r="AA155" s="56">
        <v>44.444444444444443</v>
      </c>
      <c r="AB155" s="123"/>
      <c r="AC155" s="124"/>
    </row>
    <row r="156" spans="1:29" s="18" customFormat="1">
      <c r="A156" s="31"/>
      <c r="B156" s="6">
        <v>610430</v>
      </c>
      <c r="C156" s="6" t="s">
        <v>135</v>
      </c>
      <c r="D156" s="6">
        <f t="shared" si="52"/>
        <v>1.0309278350515464E-2</v>
      </c>
      <c r="E156" s="6">
        <v>2.5000000000000001E-3</v>
      </c>
      <c r="F156" s="7">
        <v>0.2</v>
      </c>
      <c r="G156" s="7">
        <v>0.04</v>
      </c>
      <c r="H156" s="7">
        <f t="shared" si="48"/>
        <v>0.24000000000000002</v>
      </c>
      <c r="I156" s="7">
        <f t="shared" si="53"/>
        <v>0.16666666666666666</v>
      </c>
      <c r="J156" s="7">
        <f t="shared" si="51"/>
        <v>0.24250000000000002</v>
      </c>
      <c r="K156" s="6">
        <f t="shared" si="54"/>
        <v>8.8495575221238937E-3</v>
      </c>
      <c r="L156" s="13">
        <v>3.5714285714285714E-4</v>
      </c>
      <c r="M156" s="6">
        <v>3.3333333333333333E-2</v>
      </c>
      <c r="N156" s="6">
        <v>6.6666666666666671E-3</v>
      </c>
      <c r="O156" s="7">
        <f t="shared" si="63"/>
        <v>0.04</v>
      </c>
      <c r="P156" s="7">
        <f t="shared" si="60"/>
        <v>0.16666666666666669</v>
      </c>
      <c r="Q156" s="95">
        <f t="shared" si="55"/>
        <v>4.0357142857142855E-2</v>
      </c>
      <c r="R156" s="88">
        <f t="shared" si="56"/>
        <v>400</v>
      </c>
      <c r="S156" s="89">
        <f t="shared" si="57"/>
        <v>4.1666666666666661</v>
      </c>
      <c r="T156" s="89">
        <f t="shared" si="58"/>
        <v>4.1237113402061851</v>
      </c>
      <c r="U156" s="89">
        <f t="shared" si="61"/>
        <v>2800</v>
      </c>
      <c r="V156" s="89">
        <f t="shared" si="62"/>
        <v>25</v>
      </c>
      <c r="W156" s="89">
        <f t="shared" si="59"/>
        <v>24.778761061946902</v>
      </c>
      <c r="X156" s="72">
        <v>0.01</v>
      </c>
      <c r="Y156" s="66">
        <v>24.778761061946902</v>
      </c>
      <c r="Z156" s="56">
        <v>2800</v>
      </c>
      <c r="AA156" s="56">
        <v>25</v>
      </c>
      <c r="AB156" s="123"/>
      <c r="AC156" s="124"/>
    </row>
    <row r="157" spans="1:29" s="27" customFormat="1" ht="16" thickBot="1">
      <c r="A157" s="32"/>
      <c r="B157" s="26">
        <v>610430</v>
      </c>
      <c r="C157" s="26" t="s">
        <v>118</v>
      </c>
      <c r="D157" s="26">
        <f t="shared" si="52"/>
        <v>5.7636887608069169E-3</v>
      </c>
      <c r="E157" s="26">
        <v>2E-3</v>
      </c>
      <c r="F157" s="28">
        <v>0.3</v>
      </c>
      <c r="G157" s="28">
        <v>4.4999999999999998E-2</v>
      </c>
      <c r="H157" s="28">
        <f t="shared" si="48"/>
        <v>0.34499999999999997</v>
      </c>
      <c r="I157" s="28">
        <f t="shared" si="53"/>
        <v>0.13043478260869565</v>
      </c>
      <c r="J157" s="28">
        <f t="shared" si="51"/>
        <v>0.34699999999999998</v>
      </c>
      <c r="K157" s="26">
        <f t="shared" si="54"/>
        <v>4.9443757725587149E-3</v>
      </c>
      <c r="L157" s="29">
        <v>2.8571428571428574E-4</v>
      </c>
      <c r="M157" s="26">
        <v>4.9999999999999996E-2</v>
      </c>
      <c r="N157" s="26">
        <v>7.4999999999999997E-3</v>
      </c>
      <c r="O157" s="28">
        <f t="shared" si="63"/>
        <v>5.7499999999999996E-2</v>
      </c>
      <c r="P157" s="28">
        <f t="shared" si="60"/>
        <v>0.13043478260869565</v>
      </c>
      <c r="Q157" s="97">
        <f t="shared" si="55"/>
        <v>5.7785714285714281E-2</v>
      </c>
      <c r="R157" s="88">
        <f t="shared" si="56"/>
        <v>500</v>
      </c>
      <c r="S157" s="89">
        <f t="shared" si="57"/>
        <v>2.8985507246376816</v>
      </c>
      <c r="T157" s="89">
        <f t="shared" si="58"/>
        <v>2.8818443804034586</v>
      </c>
      <c r="U157" s="89">
        <f t="shared" si="61"/>
        <v>3499.9999999999995</v>
      </c>
      <c r="V157" s="89">
        <f t="shared" si="62"/>
        <v>17.39130434782609</v>
      </c>
      <c r="W157" s="89">
        <f t="shared" si="59"/>
        <v>17.305315203955502</v>
      </c>
      <c r="X157" s="73">
        <v>0.01</v>
      </c>
      <c r="Y157" s="67">
        <v>17.305315203955502</v>
      </c>
      <c r="Z157" s="57">
        <v>3499.9999999999995</v>
      </c>
      <c r="AA157" s="57">
        <v>17.39130434782609</v>
      </c>
      <c r="AB157" s="133"/>
      <c r="AC157" s="131"/>
    </row>
    <row r="158" spans="1:29" s="18" customFormat="1" ht="16" thickBot="1">
      <c r="A158" s="31"/>
      <c r="B158" s="6"/>
      <c r="C158" s="6"/>
      <c r="D158" s="6"/>
      <c r="E158" s="101"/>
      <c r="F158" s="102"/>
      <c r="G158" s="102"/>
      <c r="H158" s="7"/>
      <c r="I158" s="7"/>
      <c r="J158" s="7"/>
      <c r="K158" s="6"/>
      <c r="L158" s="103"/>
      <c r="M158" s="101"/>
      <c r="N158" s="101"/>
      <c r="O158" s="7"/>
      <c r="P158" s="7"/>
      <c r="Q158" s="95"/>
      <c r="R158" s="88"/>
      <c r="S158" s="89"/>
      <c r="T158" s="89"/>
      <c r="U158" s="89"/>
      <c r="V158" s="89"/>
      <c r="W158" s="89"/>
      <c r="X158" s="77">
        <f>AVERAGE(X151:X157)</f>
        <v>0.15285714285714286</v>
      </c>
      <c r="Y158" s="77">
        <f>AVERAGE(Y151:Y157)</f>
        <v>34.684158942131035</v>
      </c>
      <c r="Z158" s="77">
        <f>AVERAGE(Z151:Z157)</f>
        <v>2476.3754045307437</v>
      </c>
      <c r="AA158" s="77">
        <f>AVERAGE(AA151:AA157)</f>
        <v>25.316185863369252</v>
      </c>
      <c r="AB158" s="74"/>
      <c r="AC158" s="75"/>
    </row>
    <row r="159" spans="1:29" s="21" customFormat="1">
      <c r="A159" s="30"/>
      <c r="C159" s="20" t="s">
        <v>119</v>
      </c>
      <c r="D159" s="20">
        <f t="shared" si="52"/>
        <v>1</v>
      </c>
      <c r="E159" s="6">
        <f>E151/2</f>
        <v>5.1500000000000004E-2</v>
      </c>
      <c r="F159" s="6">
        <f>F151/2</f>
        <v>0</v>
      </c>
      <c r="G159" s="6">
        <f>G151/2</f>
        <v>0</v>
      </c>
      <c r="H159" s="22">
        <f t="shared" si="48"/>
        <v>0</v>
      </c>
      <c r="I159" s="22">
        <v>0</v>
      </c>
      <c r="J159" s="22">
        <f t="shared" si="51"/>
        <v>5.1500000000000004E-2</v>
      </c>
      <c r="K159" s="20">
        <f t="shared" si="54"/>
        <v>1</v>
      </c>
      <c r="L159" s="6">
        <f>L151/2</f>
        <v>7.3571428571428503E-3</v>
      </c>
      <c r="M159" s="6">
        <f>M151/2</f>
        <v>0</v>
      </c>
      <c r="N159" s="6">
        <f>N151/2</f>
        <v>0</v>
      </c>
      <c r="O159" s="22">
        <f t="shared" si="63"/>
        <v>0</v>
      </c>
      <c r="P159" s="22">
        <v>0</v>
      </c>
      <c r="Q159" s="96">
        <f t="shared" si="55"/>
        <v>7.3571428571428503E-3</v>
      </c>
      <c r="R159" s="88">
        <f t="shared" si="56"/>
        <v>19.417475728155338</v>
      </c>
      <c r="S159" s="89">
        <v>0</v>
      </c>
      <c r="T159" s="89">
        <f t="shared" si="58"/>
        <v>19.417475728155338</v>
      </c>
      <c r="U159" s="89">
        <f t="shared" si="61"/>
        <v>135.9223300970875</v>
      </c>
      <c r="V159" s="89">
        <v>0</v>
      </c>
      <c r="W159" s="89">
        <f t="shared" si="59"/>
        <v>135.9223300970875</v>
      </c>
      <c r="X159" s="71">
        <v>1</v>
      </c>
      <c r="Y159" s="65">
        <v>135.9223300970875</v>
      </c>
      <c r="Z159" s="55">
        <v>135.9223300970875</v>
      </c>
      <c r="AA159" s="55">
        <v>0</v>
      </c>
      <c r="AB159" s="134">
        <v>69</v>
      </c>
      <c r="AC159" s="127">
        <v>7.0000000000000007E-2</v>
      </c>
    </row>
    <row r="160" spans="1:29" s="18" customFormat="1">
      <c r="A160" s="31"/>
      <c r="C160" s="6" t="s">
        <v>136</v>
      </c>
      <c r="D160" s="6">
        <f t="shared" si="52"/>
        <v>2.2900763358778626E-2</v>
      </c>
      <c r="E160" s="6">
        <f t="shared" ref="E160:G165" si="64">E152/2</f>
        <v>1.5E-3</v>
      </c>
      <c r="F160" s="6">
        <f t="shared" si="64"/>
        <v>0.05</v>
      </c>
      <c r="G160" s="6">
        <f t="shared" si="64"/>
        <v>1.4E-2</v>
      </c>
      <c r="H160" s="7">
        <f t="shared" si="48"/>
        <v>6.4000000000000001E-2</v>
      </c>
      <c r="I160" s="7">
        <f t="shared" si="53"/>
        <v>0.21875</v>
      </c>
      <c r="J160" s="7">
        <f t="shared" si="51"/>
        <v>6.5500000000000003E-2</v>
      </c>
      <c r="K160" s="6">
        <f t="shared" si="54"/>
        <v>1.9693654266958446E-2</v>
      </c>
      <c r="L160" s="6">
        <f t="shared" ref="L160:N165" si="65">L152/2</f>
        <v>2.1428571428571449E-4</v>
      </c>
      <c r="M160" s="6">
        <f t="shared" si="65"/>
        <v>8.3333333333333332E-3</v>
      </c>
      <c r="N160" s="6">
        <f t="shared" si="65"/>
        <v>2.3333333333333335E-3</v>
      </c>
      <c r="O160" s="7">
        <f t="shared" si="63"/>
        <v>1.0666666666666666E-2</v>
      </c>
      <c r="P160" s="7">
        <f>N160/O160</f>
        <v>0.21875000000000003</v>
      </c>
      <c r="Q160" s="95">
        <f t="shared" ref="Q160:Q173" si="66">L160+O160</f>
        <v>1.088095238095238E-2</v>
      </c>
      <c r="R160" s="88">
        <f t="shared" si="56"/>
        <v>666.66666666666663</v>
      </c>
      <c r="S160" s="89">
        <f t="shared" si="57"/>
        <v>15.625</v>
      </c>
      <c r="T160" s="89">
        <f t="shared" si="58"/>
        <v>15.267175572519083</v>
      </c>
      <c r="U160" s="89">
        <f t="shared" si="61"/>
        <v>4666.6666666666624</v>
      </c>
      <c r="V160" s="89">
        <f t="shared" si="62"/>
        <v>93.75</v>
      </c>
      <c r="W160" s="89">
        <f t="shared" si="59"/>
        <v>91.903719912472653</v>
      </c>
      <c r="X160" s="72">
        <v>0.02</v>
      </c>
      <c r="Y160" s="66">
        <v>91.903719912472653</v>
      </c>
      <c r="Z160" s="56">
        <v>4666.6666666666624</v>
      </c>
      <c r="AA160" s="56">
        <v>93.75</v>
      </c>
      <c r="AB160" s="121"/>
      <c r="AC160" s="122"/>
    </row>
    <row r="161" spans="1:29" s="18" customFormat="1">
      <c r="A161" s="31"/>
      <c r="C161" s="6" t="s">
        <v>137</v>
      </c>
      <c r="D161" s="6">
        <f t="shared" si="52"/>
        <v>1.0615711252653927E-2</v>
      </c>
      <c r="E161" s="6">
        <f t="shared" si="64"/>
        <v>1.25E-3</v>
      </c>
      <c r="F161" s="6">
        <f t="shared" si="64"/>
        <v>0.1</v>
      </c>
      <c r="G161" s="6">
        <f t="shared" si="64"/>
        <v>1.6500000000000001E-2</v>
      </c>
      <c r="H161" s="7">
        <f t="shared" si="48"/>
        <v>0.11650000000000001</v>
      </c>
      <c r="I161" s="7">
        <f t="shared" si="53"/>
        <v>0.14163090128755365</v>
      </c>
      <c r="J161" s="7">
        <f t="shared" si="51"/>
        <v>0.11775000000000001</v>
      </c>
      <c r="K161" s="6">
        <f t="shared" si="54"/>
        <v>9.1130012150668297E-3</v>
      </c>
      <c r="L161" s="6">
        <f t="shared" si="65"/>
        <v>1.7857142857142857E-4</v>
      </c>
      <c r="M161" s="6">
        <f t="shared" si="65"/>
        <v>1.6666666666666666E-2</v>
      </c>
      <c r="N161" s="6">
        <f t="shared" si="65"/>
        <v>2.7500000000000003E-3</v>
      </c>
      <c r="O161" s="7">
        <f t="shared" si="63"/>
        <v>1.9416666666666665E-2</v>
      </c>
      <c r="P161" s="7">
        <f>N161/O161</f>
        <v>0.14163090128755368</v>
      </c>
      <c r="Q161" s="95">
        <f t="shared" si="66"/>
        <v>1.9595238095238093E-2</v>
      </c>
      <c r="R161" s="88">
        <f t="shared" si="56"/>
        <v>800</v>
      </c>
      <c r="S161" s="89">
        <f t="shared" si="57"/>
        <v>8.5836909871244629</v>
      </c>
      <c r="T161" s="89">
        <f t="shared" si="58"/>
        <v>8.4925690021231421</v>
      </c>
      <c r="U161" s="89">
        <f t="shared" si="61"/>
        <v>5600</v>
      </c>
      <c r="V161" s="89">
        <f t="shared" si="62"/>
        <v>51.502145922746784</v>
      </c>
      <c r="W161" s="89">
        <f t="shared" si="59"/>
        <v>51.032806804374246</v>
      </c>
      <c r="X161" s="72">
        <v>0.01</v>
      </c>
      <c r="Y161" s="66">
        <v>51.032806804374246</v>
      </c>
      <c r="Z161" s="56">
        <v>5600</v>
      </c>
      <c r="AA161" s="56">
        <v>51.502145922746784</v>
      </c>
      <c r="AB161" s="121"/>
      <c r="AC161" s="122"/>
    </row>
    <row r="162" spans="1:29" s="18" customFormat="1">
      <c r="A162" s="31"/>
      <c r="C162" s="6" t="s">
        <v>138</v>
      </c>
      <c r="D162" s="6">
        <f t="shared" si="52"/>
        <v>5.8823529411764714E-3</v>
      </c>
      <c r="E162" s="6">
        <f t="shared" si="64"/>
        <v>1E-3</v>
      </c>
      <c r="F162" s="6">
        <f t="shared" si="64"/>
        <v>0.15</v>
      </c>
      <c r="G162" s="6">
        <f t="shared" si="64"/>
        <v>1.9E-2</v>
      </c>
      <c r="H162" s="7">
        <f t="shared" si="48"/>
        <v>0.16899999999999998</v>
      </c>
      <c r="I162" s="7">
        <f t="shared" si="53"/>
        <v>0.11242603550295859</v>
      </c>
      <c r="J162" s="7">
        <f t="shared" si="51"/>
        <v>0.16999999999999998</v>
      </c>
      <c r="K162" s="6">
        <f t="shared" si="54"/>
        <v>5.0462573591253156E-3</v>
      </c>
      <c r="L162" s="6">
        <f t="shared" si="65"/>
        <v>1.4285714285714287E-4</v>
      </c>
      <c r="M162" s="6">
        <f t="shared" si="65"/>
        <v>2.4999999999999998E-2</v>
      </c>
      <c r="N162" s="6">
        <f t="shared" si="65"/>
        <v>3.1666666666666666E-3</v>
      </c>
      <c r="O162" s="7">
        <f t="shared" si="63"/>
        <v>2.8166666666666666E-2</v>
      </c>
      <c r="P162" s="7">
        <f t="shared" si="60"/>
        <v>0.11242603550295859</v>
      </c>
      <c r="Q162" s="95">
        <f t="shared" si="66"/>
        <v>2.8309523809523809E-2</v>
      </c>
      <c r="R162" s="88">
        <f t="shared" si="56"/>
        <v>1000</v>
      </c>
      <c r="S162" s="89">
        <f t="shared" si="57"/>
        <v>5.9171597633136104</v>
      </c>
      <c r="T162" s="89">
        <f t="shared" si="58"/>
        <v>5.882352941176471</v>
      </c>
      <c r="U162" s="89">
        <f t="shared" si="61"/>
        <v>6999.9999999999991</v>
      </c>
      <c r="V162" s="89">
        <f t="shared" si="62"/>
        <v>35.502958579881657</v>
      </c>
      <c r="W162" s="89">
        <f t="shared" si="59"/>
        <v>35.323801513877207</v>
      </c>
      <c r="X162" s="72">
        <v>0.01</v>
      </c>
      <c r="Y162" s="66">
        <v>35.323801513877207</v>
      </c>
      <c r="Z162" s="56">
        <v>6999.9999999999991</v>
      </c>
      <c r="AA162" s="56">
        <v>35.502958579881657</v>
      </c>
      <c r="AB162" s="121"/>
      <c r="AC162" s="122"/>
    </row>
    <row r="163" spans="1:29" s="18" customFormat="1">
      <c r="A163" s="31"/>
      <c r="C163" s="6" t="s">
        <v>120</v>
      </c>
      <c r="D163" s="6">
        <f t="shared" si="52"/>
        <v>2.1739130434782608E-2</v>
      </c>
      <c r="E163" s="6">
        <f t="shared" si="64"/>
        <v>1.5E-3</v>
      </c>
      <c r="F163" s="6">
        <f t="shared" si="64"/>
        <v>0.05</v>
      </c>
      <c r="G163" s="6">
        <f t="shared" si="64"/>
        <v>1.7500000000000002E-2</v>
      </c>
      <c r="H163" s="7">
        <f t="shared" si="48"/>
        <v>6.7500000000000004E-2</v>
      </c>
      <c r="I163" s="7">
        <f t="shared" si="53"/>
        <v>0.25925925925925924</v>
      </c>
      <c r="J163" s="7">
        <f t="shared" si="51"/>
        <v>6.9000000000000006E-2</v>
      </c>
      <c r="K163" s="6">
        <f t="shared" si="54"/>
        <v>1.8691588785046731E-2</v>
      </c>
      <c r="L163" s="6">
        <f t="shared" si="65"/>
        <v>2.142857142857143E-4</v>
      </c>
      <c r="M163" s="6">
        <f t="shared" si="65"/>
        <v>8.3333333333333332E-3</v>
      </c>
      <c r="N163" s="6">
        <f t="shared" si="65"/>
        <v>2.9166666666666668E-3</v>
      </c>
      <c r="O163" s="7">
        <f t="shared" si="63"/>
        <v>1.125E-2</v>
      </c>
      <c r="P163" s="7">
        <f t="shared" si="60"/>
        <v>0.2592592592592593</v>
      </c>
      <c r="Q163" s="95">
        <f t="shared" si="66"/>
        <v>1.1464285714285713E-2</v>
      </c>
      <c r="R163" s="88">
        <f t="shared" si="56"/>
        <v>666.66666666666663</v>
      </c>
      <c r="S163" s="89">
        <f t="shared" si="57"/>
        <v>14.814814814814813</v>
      </c>
      <c r="T163" s="89">
        <f t="shared" si="58"/>
        <v>14.492753623188404</v>
      </c>
      <c r="U163" s="89">
        <f t="shared" si="61"/>
        <v>4666.6666666666661</v>
      </c>
      <c r="V163" s="89">
        <f t="shared" si="62"/>
        <v>88.888888888888886</v>
      </c>
      <c r="W163" s="89">
        <f t="shared" si="59"/>
        <v>87.227414330218082</v>
      </c>
      <c r="X163" s="72">
        <v>0.01</v>
      </c>
      <c r="Y163" s="66">
        <v>87.227414330218082</v>
      </c>
      <c r="Z163" s="56">
        <v>4666.6666666666661</v>
      </c>
      <c r="AA163" s="56">
        <v>88.888888888888886</v>
      </c>
      <c r="AB163" s="121"/>
      <c r="AC163" s="122"/>
    </row>
    <row r="164" spans="1:29" s="18" customFormat="1">
      <c r="A164" s="31"/>
      <c r="C164" s="6" t="s">
        <v>139</v>
      </c>
      <c r="D164" s="6">
        <f t="shared" si="52"/>
        <v>1.0309278350515464E-2</v>
      </c>
      <c r="E164" s="6">
        <f t="shared" si="64"/>
        <v>1.25E-3</v>
      </c>
      <c r="F164" s="6">
        <f t="shared" si="64"/>
        <v>0.1</v>
      </c>
      <c r="G164" s="6">
        <f t="shared" si="64"/>
        <v>0.02</v>
      </c>
      <c r="H164" s="7">
        <f t="shared" si="48"/>
        <v>0.12000000000000001</v>
      </c>
      <c r="I164" s="7">
        <f t="shared" si="53"/>
        <v>0.16666666666666666</v>
      </c>
      <c r="J164" s="7">
        <f t="shared" si="51"/>
        <v>0.12125000000000001</v>
      </c>
      <c r="K164" s="6">
        <f t="shared" si="54"/>
        <v>8.8495575221238937E-3</v>
      </c>
      <c r="L164" s="6">
        <f t="shared" si="65"/>
        <v>1.7857142857142857E-4</v>
      </c>
      <c r="M164" s="6">
        <f t="shared" si="65"/>
        <v>1.6666666666666666E-2</v>
      </c>
      <c r="N164" s="6">
        <f t="shared" si="65"/>
        <v>3.3333333333333335E-3</v>
      </c>
      <c r="O164" s="7">
        <f t="shared" si="63"/>
        <v>0.02</v>
      </c>
      <c r="P164" s="7">
        <f t="shared" si="60"/>
        <v>0.16666666666666669</v>
      </c>
      <c r="Q164" s="95">
        <f t="shared" si="66"/>
        <v>2.0178571428571428E-2</v>
      </c>
      <c r="R164" s="88">
        <f t="shared" si="56"/>
        <v>800</v>
      </c>
      <c r="S164" s="89">
        <f t="shared" si="57"/>
        <v>8.3333333333333321</v>
      </c>
      <c r="T164" s="89">
        <f t="shared" si="58"/>
        <v>8.2474226804123703</v>
      </c>
      <c r="U164" s="89">
        <f t="shared" si="61"/>
        <v>5600</v>
      </c>
      <c r="V164" s="89">
        <f t="shared" si="62"/>
        <v>50</v>
      </c>
      <c r="W164" s="89">
        <f t="shared" si="59"/>
        <v>49.557522123893804</v>
      </c>
      <c r="X164" s="72">
        <v>0.01</v>
      </c>
      <c r="Y164" s="66">
        <v>49.557522123893804</v>
      </c>
      <c r="Z164" s="56">
        <v>5600</v>
      </c>
      <c r="AA164" s="56">
        <v>50</v>
      </c>
      <c r="AB164" s="121"/>
      <c r="AC164" s="122"/>
    </row>
    <row r="165" spans="1:29" s="27" customFormat="1" ht="16" thickBot="1">
      <c r="A165" s="32"/>
      <c r="C165" s="26" t="s">
        <v>121</v>
      </c>
      <c r="D165" s="26">
        <f t="shared" si="52"/>
        <v>5.7636887608069169E-3</v>
      </c>
      <c r="E165" s="26">
        <f t="shared" si="64"/>
        <v>1E-3</v>
      </c>
      <c r="F165" s="26">
        <f t="shared" si="64"/>
        <v>0.15</v>
      </c>
      <c r="G165" s="26">
        <f t="shared" si="64"/>
        <v>2.2499999999999999E-2</v>
      </c>
      <c r="H165" s="28">
        <f t="shared" si="48"/>
        <v>0.17249999999999999</v>
      </c>
      <c r="I165" s="28">
        <f t="shared" si="53"/>
        <v>0.13043478260869565</v>
      </c>
      <c r="J165" s="28">
        <f t="shared" si="51"/>
        <v>0.17349999999999999</v>
      </c>
      <c r="K165" s="26">
        <f t="shared" si="54"/>
        <v>4.9443757725587149E-3</v>
      </c>
      <c r="L165" s="26">
        <f t="shared" si="65"/>
        <v>1.4285714285714287E-4</v>
      </c>
      <c r="M165" s="26">
        <f t="shared" si="65"/>
        <v>2.4999999999999998E-2</v>
      </c>
      <c r="N165" s="26">
        <f t="shared" si="65"/>
        <v>3.7499999999999999E-3</v>
      </c>
      <c r="O165" s="28">
        <f t="shared" si="63"/>
        <v>2.8749999999999998E-2</v>
      </c>
      <c r="P165" s="28">
        <f t="shared" si="60"/>
        <v>0.13043478260869565</v>
      </c>
      <c r="Q165" s="97">
        <f t="shared" si="66"/>
        <v>2.889285714285714E-2</v>
      </c>
      <c r="R165" s="88">
        <f t="shared" si="56"/>
        <v>1000</v>
      </c>
      <c r="S165" s="89">
        <f t="shared" si="57"/>
        <v>5.7971014492753632</v>
      </c>
      <c r="T165" s="89">
        <f t="shared" si="58"/>
        <v>5.7636887608069172</v>
      </c>
      <c r="U165" s="89">
        <f t="shared" si="61"/>
        <v>6999.9999999999991</v>
      </c>
      <c r="V165" s="89">
        <f t="shared" si="62"/>
        <v>34.782608695652179</v>
      </c>
      <c r="W165" s="89">
        <f t="shared" si="59"/>
        <v>34.610630407911003</v>
      </c>
      <c r="X165" s="73">
        <v>0.01</v>
      </c>
      <c r="Y165" s="67">
        <v>34.610630407911003</v>
      </c>
      <c r="Z165" s="57">
        <v>6999.9999999999991</v>
      </c>
      <c r="AA165" s="57">
        <v>34.782608695652179</v>
      </c>
      <c r="AB165" s="136"/>
      <c r="AC165" s="129"/>
    </row>
    <row r="166" spans="1:29" s="18" customFormat="1" ht="16" thickBot="1">
      <c r="A166" s="31"/>
      <c r="C166" s="6"/>
      <c r="D166" s="6"/>
      <c r="E166" s="6"/>
      <c r="F166" s="6"/>
      <c r="G166" s="6"/>
      <c r="H166" s="7"/>
      <c r="I166" s="7"/>
      <c r="J166" s="7"/>
      <c r="K166" s="6"/>
      <c r="L166" s="13"/>
      <c r="M166" s="13"/>
      <c r="N166" s="13"/>
      <c r="O166" s="7"/>
      <c r="P166" s="7"/>
      <c r="Q166" s="95"/>
      <c r="R166" s="88"/>
      <c r="S166" s="89"/>
      <c r="T166" s="89"/>
      <c r="U166" s="89"/>
      <c r="V166" s="89"/>
      <c r="W166" s="89"/>
      <c r="X166" s="77">
        <f>AVERAGE(X159:X165)</f>
        <v>0.15285714285714286</v>
      </c>
      <c r="Y166" s="77">
        <f>AVERAGE(Y159:Y165)</f>
        <v>69.368317884262069</v>
      </c>
      <c r="Z166" s="77">
        <f>AVERAGE(Z159:Z165)</f>
        <v>4952.7508090614874</v>
      </c>
      <c r="AA166" s="77">
        <f>AVERAGE(AA159:AA165)</f>
        <v>50.632371726738505</v>
      </c>
      <c r="AB166" s="62"/>
      <c r="AC166" s="78"/>
    </row>
    <row r="167" spans="1:29" s="21" customFormat="1">
      <c r="A167" s="30"/>
      <c r="B167" s="20">
        <v>610430</v>
      </c>
      <c r="C167" s="20" t="s">
        <v>122</v>
      </c>
      <c r="D167" s="20">
        <f t="shared" si="52"/>
        <v>1</v>
      </c>
      <c r="E167" s="20">
        <f>0.003+0.1</f>
        <v>0.10300000000000001</v>
      </c>
      <c r="F167" s="20">
        <v>0</v>
      </c>
      <c r="G167" s="22">
        <v>0</v>
      </c>
      <c r="H167" s="22">
        <f t="shared" si="48"/>
        <v>0</v>
      </c>
      <c r="I167" s="22">
        <v>0</v>
      </c>
      <c r="J167" s="22">
        <f t="shared" si="51"/>
        <v>0.10300000000000001</v>
      </c>
      <c r="K167" s="20">
        <f t="shared" si="54"/>
        <v>1</v>
      </c>
      <c r="L167" s="23">
        <v>1.1771428571428573E-2</v>
      </c>
      <c r="M167" s="20">
        <v>0</v>
      </c>
      <c r="N167" s="20">
        <v>0</v>
      </c>
      <c r="O167" s="22">
        <f t="shared" si="63"/>
        <v>0</v>
      </c>
      <c r="P167" s="22">
        <v>0</v>
      </c>
      <c r="Q167" s="96">
        <f t="shared" si="66"/>
        <v>1.1771428571428573E-2</v>
      </c>
      <c r="R167" s="88">
        <f t="shared" si="56"/>
        <v>9.7087378640776691</v>
      </c>
      <c r="S167" s="89">
        <v>0</v>
      </c>
      <c r="T167" s="89">
        <f t="shared" si="58"/>
        <v>9.7087378640776691</v>
      </c>
      <c r="U167" s="89">
        <f t="shared" si="61"/>
        <v>84.951456310679603</v>
      </c>
      <c r="V167" s="89">
        <v>0</v>
      </c>
      <c r="W167" s="89">
        <f t="shared" si="59"/>
        <v>84.951456310679603</v>
      </c>
      <c r="X167" s="71">
        <v>1</v>
      </c>
      <c r="Y167" s="65">
        <v>84.951456310679603</v>
      </c>
      <c r="Z167" s="55">
        <v>84.951456310679603</v>
      </c>
      <c r="AA167" s="55">
        <v>0</v>
      </c>
      <c r="AB167" s="132" t="s">
        <v>292</v>
      </c>
      <c r="AC167" s="130">
        <v>0.02</v>
      </c>
    </row>
    <row r="168" spans="1:29" s="18" customFormat="1">
      <c r="A168" s="31"/>
      <c r="B168" s="6">
        <v>610430</v>
      </c>
      <c r="C168" s="6" t="s">
        <v>130</v>
      </c>
      <c r="D168" s="6">
        <f t="shared" si="52"/>
        <v>2.2900763358778626E-2</v>
      </c>
      <c r="E168" s="6">
        <v>3.0000000000000001E-3</v>
      </c>
      <c r="F168" s="7">
        <v>0.1</v>
      </c>
      <c r="G168" s="7">
        <v>2.8000000000000001E-2</v>
      </c>
      <c r="H168" s="7">
        <f t="shared" si="48"/>
        <v>0.128</v>
      </c>
      <c r="I168" s="7">
        <f t="shared" si="53"/>
        <v>0.21875</v>
      </c>
      <c r="J168" s="7">
        <f t="shared" ref="J168:J173" si="67">E168+H168</f>
        <v>0.13100000000000001</v>
      </c>
      <c r="K168" s="6">
        <f t="shared" si="54"/>
        <v>1.345794392523365E-2</v>
      </c>
      <c r="L168" s="13">
        <v>3.4285714285714301E-4</v>
      </c>
      <c r="M168" s="6">
        <v>0.02</v>
      </c>
      <c r="N168" s="6">
        <v>5.1333333333333344E-3</v>
      </c>
      <c r="O168" s="7">
        <f t="shared" si="63"/>
        <v>2.5133333333333334E-2</v>
      </c>
      <c r="P168" s="7">
        <f t="shared" si="60"/>
        <v>0.20424403183023876</v>
      </c>
      <c r="Q168" s="95">
        <f>L168+O168</f>
        <v>2.5476190476190479E-2</v>
      </c>
      <c r="R168" s="88">
        <f t="shared" si="56"/>
        <v>333.33333333333331</v>
      </c>
      <c r="S168" s="89">
        <f t="shared" si="57"/>
        <v>7.8125</v>
      </c>
      <c r="T168" s="89">
        <f t="shared" si="58"/>
        <v>7.6335877862595414</v>
      </c>
      <c r="U168" s="89">
        <f t="shared" si="61"/>
        <v>2916.6666666666652</v>
      </c>
      <c r="V168" s="89">
        <f t="shared" si="62"/>
        <v>39.787798408488065</v>
      </c>
      <c r="W168" s="89">
        <f>1/Q168</f>
        <v>39.252336448598129</v>
      </c>
      <c r="X168" s="72">
        <v>0.01</v>
      </c>
      <c r="Y168" s="66">
        <v>39.252336448598129</v>
      </c>
      <c r="Z168" s="56">
        <v>2916.6666666666652</v>
      </c>
      <c r="AA168" s="56">
        <v>39.787798408488065</v>
      </c>
      <c r="AB168" s="123"/>
      <c r="AC168" s="124"/>
    </row>
    <row r="169" spans="1:29" s="18" customFormat="1">
      <c r="A169" s="31"/>
      <c r="B169" s="6">
        <v>610430</v>
      </c>
      <c r="C169" s="6" t="s">
        <v>131</v>
      </c>
      <c r="D169" s="6">
        <f t="shared" si="52"/>
        <v>1.0615711252653927E-2</v>
      </c>
      <c r="E169" s="6">
        <v>2.5000000000000001E-3</v>
      </c>
      <c r="F169" s="7">
        <v>0.2</v>
      </c>
      <c r="G169" s="7">
        <v>3.3000000000000002E-2</v>
      </c>
      <c r="H169" s="7">
        <f t="shared" si="48"/>
        <v>0.23300000000000001</v>
      </c>
      <c r="I169" s="7">
        <f t="shared" si="53"/>
        <v>0.14163090128755365</v>
      </c>
      <c r="J169" s="7">
        <f t="shared" si="67"/>
        <v>0.23550000000000001</v>
      </c>
      <c r="K169" s="6">
        <f t="shared" si="54"/>
        <v>6.1661785108678901E-3</v>
      </c>
      <c r="L169" s="13">
        <v>2.8571428571428574E-4</v>
      </c>
      <c r="M169" s="6">
        <v>0.04</v>
      </c>
      <c r="N169" s="6">
        <v>6.0500000000000007E-3</v>
      </c>
      <c r="O169" s="7">
        <f t="shared" si="63"/>
        <v>4.6050000000000001E-2</v>
      </c>
      <c r="P169" s="7">
        <f t="shared" si="60"/>
        <v>0.13137893593919653</v>
      </c>
      <c r="Q169" s="95">
        <f t="shared" si="66"/>
        <v>4.6335714285714286E-2</v>
      </c>
      <c r="R169" s="88">
        <f t="shared" si="56"/>
        <v>400</v>
      </c>
      <c r="S169" s="89">
        <f t="shared" si="57"/>
        <v>4.2918454935622314</v>
      </c>
      <c r="T169" s="89">
        <f t="shared" si="58"/>
        <v>4.2462845010615711</v>
      </c>
      <c r="U169" s="89">
        <f t="shared" si="61"/>
        <v>3499.9999999999995</v>
      </c>
      <c r="V169" s="89">
        <f t="shared" si="62"/>
        <v>21.715526601520086</v>
      </c>
      <c r="W169" s="89">
        <f t="shared" si="59"/>
        <v>21.581624788037615</v>
      </c>
      <c r="X169" s="72">
        <v>0.01</v>
      </c>
      <c r="Y169" s="66">
        <v>21.581624788037615</v>
      </c>
      <c r="Z169" s="56">
        <v>3499.9999999999995</v>
      </c>
      <c r="AA169" s="56">
        <v>21.715526601520086</v>
      </c>
      <c r="AB169" s="123"/>
      <c r="AC169" s="124"/>
    </row>
    <row r="170" spans="1:29" s="18" customFormat="1">
      <c r="A170" s="31"/>
      <c r="B170" s="6">
        <v>610430</v>
      </c>
      <c r="C170" s="6" t="s">
        <v>132</v>
      </c>
      <c r="D170" s="6">
        <f>E170/J170</f>
        <v>5.8823529411764714E-3</v>
      </c>
      <c r="E170" s="6">
        <v>2E-3</v>
      </c>
      <c r="F170" s="7">
        <v>0.3</v>
      </c>
      <c r="G170" s="7">
        <v>3.7999999999999999E-2</v>
      </c>
      <c r="H170" s="7">
        <f t="shared" si="48"/>
        <v>0.33799999999999997</v>
      </c>
      <c r="I170" s="7">
        <f t="shared" si="53"/>
        <v>0.11242603550295859</v>
      </c>
      <c r="J170" s="7">
        <f t="shared" si="67"/>
        <v>0.33999999999999997</v>
      </c>
      <c r="K170" s="6">
        <f t="shared" si="54"/>
        <v>3.401601587414075E-3</v>
      </c>
      <c r="L170" s="13">
        <v>2.2857142857142859E-4</v>
      </c>
      <c r="M170" s="6">
        <v>5.9999999999999991E-2</v>
      </c>
      <c r="N170" s="6">
        <v>6.966666666666667E-3</v>
      </c>
      <c r="O170" s="7">
        <f t="shared" si="63"/>
        <v>6.696666666666666E-2</v>
      </c>
      <c r="P170" s="7">
        <f t="shared" si="60"/>
        <v>0.10403185664509708</v>
      </c>
      <c r="Q170" s="95">
        <f t="shared" si="66"/>
        <v>6.7195238095238086E-2</v>
      </c>
      <c r="R170" s="88">
        <f t="shared" si="56"/>
        <v>500</v>
      </c>
      <c r="S170" s="89">
        <f t="shared" si="57"/>
        <v>2.9585798816568052</v>
      </c>
      <c r="T170" s="89">
        <f t="shared" si="58"/>
        <v>2.9411764705882355</v>
      </c>
      <c r="U170" s="89">
        <f t="shared" si="61"/>
        <v>4375</v>
      </c>
      <c r="V170" s="89">
        <f t="shared" si="62"/>
        <v>14.932802389248383</v>
      </c>
      <c r="W170" s="89">
        <f t="shared" si="59"/>
        <v>14.882006944936576</v>
      </c>
      <c r="X170" s="72">
        <v>3.0000000000000001E-3</v>
      </c>
      <c r="Y170" s="66">
        <v>14.882006944936576</v>
      </c>
      <c r="Z170" s="56">
        <v>4375</v>
      </c>
      <c r="AA170" s="56">
        <v>14.932802389248383</v>
      </c>
      <c r="AB170" s="123"/>
      <c r="AC170" s="124"/>
    </row>
    <row r="171" spans="1:29" s="18" customFormat="1">
      <c r="A171" s="31"/>
      <c r="B171" s="6">
        <v>610430</v>
      </c>
      <c r="C171" s="6" t="s">
        <v>123</v>
      </c>
      <c r="D171" s="6">
        <f>E171/J171</f>
        <v>2.1739130434782608E-2</v>
      </c>
      <c r="E171" s="6">
        <v>3.0000000000000001E-3</v>
      </c>
      <c r="F171" s="6">
        <v>0.1</v>
      </c>
      <c r="G171" s="7">
        <v>3.5000000000000003E-2</v>
      </c>
      <c r="H171" s="7">
        <f t="shared" si="48"/>
        <v>0.13500000000000001</v>
      </c>
      <c r="I171" s="7">
        <f t="shared" si="53"/>
        <v>0.25925925925925924</v>
      </c>
      <c r="J171" s="7">
        <f t="shared" si="67"/>
        <v>0.13800000000000001</v>
      </c>
      <c r="K171" s="6">
        <f t="shared" si="54"/>
        <v>1.2812527804964856E-2</v>
      </c>
      <c r="L171" s="13">
        <v>3.428571428571429E-4</v>
      </c>
      <c r="M171" s="6">
        <v>0.02</v>
      </c>
      <c r="N171" s="6">
        <v>6.4166666666666677E-3</v>
      </c>
      <c r="O171" s="7">
        <f t="shared" si="63"/>
        <v>2.6416666666666668E-2</v>
      </c>
      <c r="P171" s="7">
        <f t="shared" si="60"/>
        <v>0.24290220820189276</v>
      </c>
      <c r="Q171" s="95">
        <f t="shared" si="66"/>
        <v>2.6759523809523809E-2</v>
      </c>
      <c r="R171" s="88">
        <f t="shared" si="56"/>
        <v>333.33333333333331</v>
      </c>
      <c r="S171" s="89">
        <f t="shared" si="57"/>
        <v>7.4074074074074066</v>
      </c>
      <c r="T171" s="89">
        <f t="shared" si="58"/>
        <v>7.2463768115942022</v>
      </c>
      <c r="U171" s="89">
        <f t="shared" si="61"/>
        <v>2916.6666666666661</v>
      </c>
      <c r="V171" s="89">
        <f t="shared" si="62"/>
        <v>37.854889589905362</v>
      </c>
      <c r="W171" s="89">
        <f t="shared" si="59"/>
        <v>37.369872764480824</v>
      </c>
      <c r="X171" s="72">
        <v>0.01</v>
      </c>
      <c r="Y171" s="66">
        <v>37.369872764480824</v>
      </c>
      <c r="Z171" s="56">
        <v>2916.6666666666661</v>
      </c>
      <c r="AA171" s="56">
        <v>37.854889589905362</v>
      </c>
      <c r="AB171" s="123"/>
      <c r="AC171" s="124"/>
    </row>
    <row r="172" spans="1:29" s="18" customFormat="1">
      <c r="A172" s="31"/>
      <c r="B172" s="6">
        <v>610430</v>
      </c>
      <c r="C172" s="6" t="s">
        <v>133</v>
      </c>
      <c r="D172" s="6">
        <f>E172/J172</f>
        <v>1.0309278350515464E-2</v>
      </c>
      <c r="E172" s="6">
        <v>2.5000000000000001E-3</v>
      </c>
      <c r="F172" s="7">
        <v>0.2</v>
      </c>
      <c r="G172" s="7">
        <v>0.04</v>
      </c>
      <c r="H172" s="7">
        <f t="shared" si="48"/>
        <v>0.24000000000000002</v>
      </c>
      <c r="I172" s="7">
        <f t="shared" si="53"/>
        <v>0.16666666666666666</v>
      </c>
      <c r="J172" s="7">
        <f t="shared" si="67"/>
        <v>0.24250000000000002</v>
      </c>
      <c r="K172" s="6">
        <f t="shared" si="54"/>
        <v>6.0000000000000001E-3</v>
      </c>
      <c r="L172" s="13">
        <v>2.8571428571428574E-4</v>
      </c>
      <c r="M172" s="6">
        <v>0.04</v>
      </c>
      <c r="N172" s="6">
        <v>7.3333333333333341E-3</v>
      </c>
      <c r="O172" s="7">
        <f t="shared" si="63"/>
        <v>4.7333333333333338E-2</v>
      </c>
      <c r="P172" s="7">
        <f t="shared" si="60"/>
        <v>0.15492957746478872</v>
      </c>
      <c r="Q172" s="95">
        <f t="shared" si="66"/>
        <v>4.7619047619047623E-2</v>
      </c>
      <c r="R172" s="88">
        <f t="shared" si="56"/>
        <v>400</v>
      </c>
      <c r="S172" s="89">
        <f t="shared" si="57"/>
        <v>4.1666666666666661</v>
      </c>
      <c r="T172" s="89">
        <f t="shared" si="58"/>
        <v>4.1237113402061851</v>
      </c>
      <c r="U172" s="89">
        <f t="shared" si="61"/>
        <v>3499.9999999999995</v>
      </c>
      <c r="V172" s="89">
        <f t="shared" si="62"/>
        <v>21.12676056338028</v>
      </c>
      <c r="W172" s="89">
        <f t="shared" si="59"/>
        <v>20.999999999999996</v>
      </c>
      <c r="X172" s="72">
        <v>0.01</v>
      </c>
      <c r="Y172" s="66">
        <v>20.999999999999996</v>
      </c>
      <c r="Z172" s="56">
        <v>3499.9999999999995</v>
      </c>
      <c r="AA172" s="56">
        <v>21.12676056338028</v>
      </c>
      <c r="AB172" s="123"/>
      <c r="AC172" s="124"/>
    </row>
    <row r="173" spans="1:29" s="27" customFormat="1" ht="16" thickBot="1">
      <c r="A173" s="32"/>
      <c r="B173" s="26">
        <v>610430</v>
      </c>
      <c r="C173" s="26" t="s">
        <v>124</v>
      </c>
      <c r="D173" s="26">
        <f>E173/J173</f>
        <v>5.7636887608069169E-3</v>
      </c>
      <c r="E173" s="26">
        <v>2E-3</v>
      </c>
      <c r="F173" s="28">
        <v>0.3</v>
      </c>
      <c r="G173" s="28">
        <v>4.4999999999999998E-2</v>
      </c>
      <c r="H173" s="28">
        <f t="shared" si="48"/>
        <v>0.34499999999999997</v>
      </c>
      <c r="I173" s="28">
        <f t="shared" si="53"/>
        <v>0.13043478260869565</v>
      </c>
      <c r="J173" s="28">
        <f t="shared" si="67"/>
        <v>0.34699999999999998</v>
      </c>
      <c r="K173" s="26">
        <f t="shared" si="54"/>
        <v>3.3378533430687396E-3</v>
      </c>
      <c r="L173" s="29">
        <v>2.2857142857142859E-4</v>
      </c>
      <c r="M173" s="26">
        <v>5.9999999999999991E-2</v>
      </c>
      <c r="N173" s="26">
        <v>8.2500000000000004E-3</v>
      </c>
      <c r="O173" s="28">
        <f t="shared" si="63"/>
        <v>6.8249999999999991E-2</v>
      </c>
      <c r="P173" s="28">
        <f t="shared" si="60"/>
        <v>0.12087912087912089</v>
      </c>
      <c r="Q173" s="97">
        <f t="shared" si="66"/>
        <v>6.8478571428571416E-2</v>
      </c>
      <c r="R173" s="88">
        <f t="shared" si="56"/>
        <v>500</v>
      </c>
      <c r="S173" s="89">
        <f t="shared" si="57"/>
        <v>2.8985507246376816</v>
      </c>
      <c r="T173" s="89">
        <f t="shared" si="58"/>
        <v>2.8818443804034586</v>
      </c>
      <c r="U173" s="89">
        <f t="shared" si="61"/>
        <v>4375</v>
      </c>
      <c r="V173" s="89">
        <f t="shared" si="62"/>
        <v>14.652014652014653</v>
      </c>
      <c r="W173" s="89">
        <f t="shared" si="59"/>
        <v>14.603108375925736</v>
      </c>
      <c r="X173" s="73">
        <v>0.01</v>
      </c>
      <c r="Y173" s="67">
        <v>14.603108375925736</v>
      </c>
      <c r="Z173" s="57">
        <v>4375</v>
      </c>
      <c r="AA173" s="57">
        <v>14.652014652014653</v>
      </c>
      <c r="AB173" s="133"/>
      <c r="AC173" s="131"/>
    </row>
    <row r="174" spans="1:29">
      <c r="I174" s="7"/>
      <c r="X174" s="77">
        <f>AVERAGE(X167:X173)</f>
        <v>0.15042857142857141</v>
      </c>
      <c r="Y174" s="77">
        <f>AVERAGE(Y167:Y173)</f>
        <v>33.377200804665492</v>
      </c>
      <c r="Z174" s="77">
        <f>AVERAGE(Z167:Z173)</f>
        <v>3095.46925566343</v>
      </c>
      <c r="AA174" s="77">
        <f>AVERAGE(AA167:AA173)</f>
        <v>21.438541743508122</v>
      </c>
    </row>
    <row r="175" spans="1:29">
      <c r="I175" s="7"/>
    </row>
    <row r="176" spans="1:29">
      <c r="I176" s="7"/>
    </row>
    <row r="177" spans="3:17">
      <c r="I177" s="7"/>
    </row>
    <row r="178" spans="3:17">
      <c r="I178" s="7"/>
    </row>
    <row r="179" spans="3:17">
      <c r="I179" s="7"/>
    </row>
    <row r="180" spans="3:17">
      <c r="C180" s="6" t="s">
        <v>114</v>
      </c>
      <c r="D180" s="2">
        <f t="shared" ref="D180:D186" si="68">E180/J180</f>
        <v>1</v>
      </c>
      <c r="E180" s="2">
        <f>0.003+0.1</f>
        <v>0.10300000000000001</v>
      </c>
      <c r="F180" s="2">
        <v>0</v>
      </c>
      <c r="G180" s="7">
        <v>0</v>
      </c>
      <c r="H180" s="7">
        <f t="shared" ref="H180:H194" si="69">F180+G180</f>
        <v>0</v>
      </c>
      <c r="I180" s="7" t="e">
        <f t="shared" si="53"/>
        <v>#DIV/0!</v>
      </c>
      <c r="J180" s="4">
        <f t="shared" ref="J180:J186" si="70">E180+H180</f>
        <v>0.10300000000000001</v>
      </c>
      <c r="K180" s="2">
        <f t="shared" ref="K180:K186" si="71">L180/Q180</f>
        <v>9.999999999100001E-2</v>
      </c>
      <c r="L180" s="14">
        <v>3.3333333329999999E-3</v>
      </c>
      <c r="O180" s="7">
        <v>0.03</v>
      </c>
      <c r="P180" s="7"/>
      <c r="Q180" s="95">
        <f t="shared" ref="Q180:Q186" si="72">L180+O180</f>
        <v>3.3333333332999995E-2</v>
      </c>
    </row>
    <row r="181" spans="3:17">
      <c r="C181" s="6" t="s">
        <v>115</v>
      </c>
      <c r="D181" s="2">
        <f t="shared" si="68"/>
        <v>2.2900763358778626E-2</v>
      </c>
      <c r="E181" s="2">
        <v>3.0000000000000001E-3</v>
      </c>
      <c r="F181" s="7">
        <v>0.1</v>
      </c>
      <c r="G181" s="7">
        <v>2.8000000000000001E-2</v>
      </c>
      <c r="H181" s="7">
        <f t="shared" si="69"/>
        <v>0.128</v>
      </c>
      <c r="I181" s="7">
        <f t="shared" si="53"/>
        <v>0.21875</v>
      </c>
      <c r="J181" s="4">
        <f t="shared" si="70"/>
        <v>0.13100000000000001</v>
      </c>
      <c r="K181" s="2">
        <f t="shared" si="71"/>
        <v>9.999999999100001E-2</v>
      </c>
      <c r="L181" s="14">
        <v>3.3333333329999999E-3</v>
      </c>
      <c r="O181" s="7">
        <v>0.03</v>
      </c>
      <c r="P181" s="7"/>
      <c r="Q181" s="95">
        <f t="shared" si="72"/>
        <v>3.3333333332999995E-2</v>
      </c>
    </row>
    <row r="182" spans="3:17">
      <c r="C182" s="6" t="s">
        <v>134</v>
      </c>
      <c r="D182" s="2">
        <f t="shared" si="68"/>
        <v>1.0615711252653927E-2</v>
      </c>
      <c r="E182" s="2">
        <v>2.5000000000000001E-3</v>
      </c>
      <c r="F182" s="7">
        <v>0.2</v>
      </c>
      <c r="G182" s="7">
        <v>3.3000000000000002E-2</v>
      </c>
      <c r="H182" s="7">
        <f t="shared" si="69"/>
        <v>0.23300000000000001</v>
      </c>
      <c r="I182" s="7">
        <f t="shared" si="53"/>
        <v>0.14163090128755365</v>
      </c>
      <c r="J182" s="4">
        <f t="shared" si="70"/>
        <v>0.23550000000000001</v>
      </c>
      <c r="K182" s="2">
        <f t="shared" si="71"/>
        <v>9.999999999100001E-2</v>
      </c>
      <c r="L182" s="14">
        <v>3.3333333329999999E-3</v>
      </c>
      <c r="O182" s="7">
        <v>0.03</v>
      </c>
      <c r="P182" s="7"/>
      <c r="Q182" s="95">
        <f t="shared" si="72"/>
        <v>3.3333333332999995E-2</v>
      </c>
    </row>
    <row r="183" spans="3:17">
      <c r="C183" s="6" t="s">
        <v>116</v>
      </c>
      <c r="D183" s="2">
        <f t="shared" si="68"/>
        <v>5.8823529411764714E-3</v>
      </c>
      <c r="E183" s="2">
        <v>2E-3</v>
      </c>
      <c r="F183" s="7">
        <v>0.3</v>
      </c>
      <c r="G183" s="7">
        <v>3.7999999999999999E-2</v>
      </c>
      <c r="H183" s="7">
        <f t="shared" si="69"/>
        <v>0.33799999999999997</v>
      </c>
      <c r="I183" s="7">
        <f t="shared" si="53"/>
        <v>0.11242603550295859</v>
      </c>
      <c r="J183" s="4">
        <f t="shared" si="70"/>
        <v>0.33999999999999997</v>
      </c>
      <c r="K183" s="2">
        <f t="shared" si="71"/>
        <v>9.999999999100001E-2</v>
      </c>
      <c r="L183" s="14">
        <v>3.3333333329999999E-3</v>
      </c>
      <c r="O183" s="7">
        <v>0.03</v>
      </c>
      <c r="P183" s="7"/>
      <c r="Q183" s="95">
        <f t="shared" si="72"/>
        <v>3.3333333332999995E-2</v>
      </c>
    </row>
    <row r="184" spans="3:17">
      <c r="C184" s="6" t="s">
        <v>117</v>
      </c>
      <c r="D184" s="2">
        <f t="shared" si="68"/>
        <v>2.1739130434782608E-2</v>
      </c>
      <c r="E184" s="2">
        <v>3.0000000000000001E-3</v>
      </c>
      <c r="F184" s="2">
        <v>0.1</v>
      </c>
      <c r="G184" s="7">
        <v>3.5000000000000003E-2</v>
      </c>
      <c r="H184" s="7">
        <f t="shared" si="69"/>
        <v>0.13500000000000001</v>
      </c>
      <c r="I184" s="7">
        <f t="shared" si="53"/>
        <v>0.25925925925925924</v>
      </c>
      <c r="J184" s="4">
        <f t="shared" si="70"/>
        <v>0.13800000000000001</v>
      </c>
      <c r="K184" s="2">
        <f t="shared" si="71"/>
        <v>9.999999999100001E-2</v>
      </c>
      <c r="L184" s="14">
        <v>3.3333333329999999E-3</v>
      </c>
      <c r="O184" s="7">
        <v>0.03</v>
      </c>
      <c r="P184" s="7"/>
      <c r="Q184" s="95">
        <f t="shared" si="72"/>
        <v>3.3333333332999995E-2</v>
      </c>
    </row>
    <row r="185" spans="3:17">
      <c r="C185" s="6" t="s">
        <v>135</v>
      </c>
      <c r="D185" s="2">
        <f t="shared" si="68"/>
        <v>1.0309278350515464E-2</v>
      </c>
      <c r="E185" s="2">
        <v>2.5000000000000001E-3</v>
      </c>
      <c r="F185" s="7">
        <v>0.2</v>
      </c>
      <c r="G185" s="7">
        <v>0.04</v>
      </c>
      <c r="H185" s="7">
        <f t="shared" si="69"/>
        <v>0.24000000000000002</v>
      </c>
      <c r="I185" s="7">
        <f t="shared" si="53"/>
        <v>0.16666666666666666</v>
      </c>
      <c r="J185" s="4">
        <f t="shared" si="70"/>
        <v>0.24250000000000002</v>
      </c>
      <c r="K185" s="2">
        <f t="shared" si="71"/>
        <v>9.999999999100001E-2</v>
      </c>
      <c r="L185" s="14">
        <v>3.3333333329999999E-3</v>
      </c>
      <c r="O185" s="7">
        <v>0.03</v>
      </c>
      <c r="P185" s="7"/>
      <c r="Q185" s="95">
        <f t="shared" si="72"/>
        <v>3.3333333332999995E-2</v>
      </c>
    </row>
    <row r="186" spans="3:17">
      <c r="C186" s="6" t="s">
        <v>118</v>
      </c>
      <c r="D186" s="2">
        <f t="shared" si="68"/>
        <v>5.7636887608069169E-3</v>
      </c>
      <c r="E186" s="2">
        <v>2E-3</v>
      </c>
      <c r="F186" s="7">
        <v>0.3</v>
      </c>
      <c r="G186" s="7">
        <v>4.4999999999999998E-2</v>
      </c>
      <c r="H186" s="7">
        <f t="shared" si="69"/>
        <v>0.34499999999999997</v>
      </c>
      <c r="I186" s="7">
        <f t="shared" si="53"/>
        <v>0.13043478260869565</v>
      </c>
      <c r="J186" s="4">
        <f t="shared" si="70"/>
        <v>0.34699999999999998</v>
      </c>
      <c r="K186" s="2">
        <f t="shared" si="71"/>
        <v>9.999999999100001E-2</v>
      </c>
      <c r="L186" s="14">
        <v>3.3333333329999999E-3</v>
      </c>
      <c r="O186" s="7">
        <v>0.03</v>
      </c>
      <c r="P186" s="7"/>
      <c r="Q186" s="95">
        <f t="shared" si="72"/>
        <v>3.3333333332999995E-2</v>
      </c>
    </row>
    <row r="187" spans="3:17">
      <c r="I187" s="7" t="e">
        <f t="shared" si="53"/>
        <v>#DIV/0!</v>
      </c>
      <c r="J187" s="14">
        <f>AVERAGE(J180:J186)</f>
        <v>0.21957142857142856</v>
      </c>
      <c r="L187" s="14">
        <f>AVERAGE(L180:L186)</f>
        <v>3.3333333329999999E-3</v>
      </c>
      <c r="Q187" s="98">
        <f>AVERAGE(Q180:Q186)</f>
        <v>3.3333333332999988E-2</v>
      </c>
    </row>
    <row r="188" spans="3:17">
      <c r="C188" s="6" t="s">
        <v>114</v>
      </c>
      <c r="D188" s="2">
        <f t="shared" ref="D188:D194" si="73">E188/J188</f>
        <v>1</v>
      </c>
      <c r="E188" s="2">
        <f>E180/7</f>
        <v>1.4714285714285716E-2</v>
      </c>
      <c r="F188" s="2">
        <f>F180/6</f>
        <v>0</v>
      </c>
      <c r="G188" s="2">
        <f>G180/6</f>
        <v>0</v>
      </c>
      <c r="H188" s="7">
        <f t="shared" si="69"/>
        <v>0</v>
      </c>
      <c r="I188" s="7" t="e">
        <f t="shared" si="53"/>
        <v>#DIV/0!</v>
      </c>
      <c r="J188" s="4">
        <f t="shared" ref="J188:J194" si="74">E188+H188</f>
        <v>1.4714285714285716E-2</v>
      </c>
    </row>
    <row r="189" spans="3:17">
      <c r="C189" s="6" t="s">
        <v>115</v>
      </c>
      <c r="D189" s="2">
        <f t="shared" si="73"/>
        <v>1.9693654266958429E-2</v>
      </c>
      <c r="E189" s="2">
        <f t="shared" ref="E189:E194" si="75">E181/7</f>
        <v>4.285714285714286E-4</v>
      </c>
      <c r="F189" s="2">
        <f t="shared" ref="F189:G194" si="76">F181/6</f>
        <v>1.6666666666666666E-2</v>
      </c>
      <c r="G189" s="2">
        <f t="shared" si="76"/>
        <v>4.6666666666666671E-3</v>
      </c>
      <c r="H189" s="7">
        <f t="shared" si="69"/>
        <v>2.1333333333333333E-2</v>
      </c>
      <c r="I189" s="7">
        <f t="shared" si="53"/>
        <v>0.21875000000000003</v>
      </c>
      <c r="J189" s="4">
        <f t="shared" si="74"/>
        <v>2.176190476190476E-2</v>
      </c>
    </row>
    <row r="190" spans="3:17">
      <c r="C190" s="6" t="s">
        <v>134</v>
      </c>
      <c r="D190" s="2">
        <f t="shared" si="73"/>
        <v>9.1130012150668297E-3</v>
      </c>
      <c r="E190" s="2">
        <f t="shared" si="75"/>
        <v>3.5714285714285714E-4</v>
      </c>
      <c r="F190" s="2">
        <f t="shared" si="76"/>
        <v>3.3333333333333333E-2</v>
      </c>
      <c r="G190" s="2">
        <f t="shared" si="76"/>
        <v>5.5000000000000005E-3</v>
      </c>
      <c r="H190" s="7">
        <f t="shared" si="69"/>
        <v>3.8833333333333331E-2</v>
      </c>
      <c r="I190" s="7">
        <f t="shared" si="53"/>
        <v>0.14163090128755368</v>
      </c>
      <c r="J190" s="4">
        <f t="shared" si="74"/>
        <v>3.9190476190476185E-2</v>
      </c>
    </row>
    <row r="191" spans="3:17">
      <c r="C191" s="6" t="s">
        <v>116</v>
      </c>
      <c r="D191" s="2">
        <f t="shared" si="73"/>
        <v>5.0462573591253156E-3</v>
      </c>
      <c r="E191" s="2">
        <f t="shared" si="75"/>
        <v>2.8571428571428574E-4</v>
      </c>
      <c r="F191" s="2">
        <f t="shared" si="76"/>
        <v>4.9999999999999996E-2</v>
      </c>
      <c r="G191" s="2">
        <f t="shared" si="76"/>
        <v>6.3333333333333332E-3</v>
      </c>
      <c r="H191" s="7">
        <f t="shared" si="69"/>
        <v>5.6333333333333332E-2</v>
      </c>
      <c r="I191" s="7">
        <f t="shared" si="53"/>
        <v>0.11242603550295859</v>
      </c>
      <c r="J191" s="4">
        <f t="shared" si="74"/>
        <v>5.6619047619047617E-2</v>
      </c>
    </row>
    <row r="192" spans="3:17">
      <c r="C192" s="6" t="s">
        <v>117</v>
      </c>
      <c r="D192" s="2">
        <f t="shared" si="73"/>
        <v>1.8691588785046731E-2</v>
      </c>
      <c r="E192" s="2">
        <f t="shared" si="75"/>
        <v>4.285714285714286E-4</v>
      </c>
      <c r="F192" s="2">
        <f t="shared" si="76"/>
        <v>1.6666666666666666E-2</v>
      </c>
      <c r="G192" s="2">
        <f t="shared" si="76"/>
        <v>5.8333333333333336E-3</v>
      </c>
      <c r="H192" s="7">
        <f t="shared" si="69"/>
        <v>2.2499999999999999E-2</v>
      </c>
      <c r="I192" s="7">
        <f t="shared" si="53"/>
        <v>0.2592592592592593</v>
      </c>
      <c r="J192" s="4">
        <f t="shared" si="74"/>
        <v>2.2928571428571427E-2</v>
      </c>
    </row>
    <row r="193" spans="3:10">
      <c r="C193" s="6" t="s">
        <v>135</v>
      </c>
      <c r="D193" s="2">
        <f t="shared" si="73"/>
        <v>8.8495575221238937E-3</v>
      </c>
      <c r="E193" s="2">
        <f t="shared" si="75"/>
        <v>3.5714285714285714E-4</v>
      </c>
      <c r="F193" s="2">
        <f t="shared" si="76"/>
        <v>3.3333333333333333E-2</v>
      </c>
      <c r="G193" s="2">
        <f t="shared" si="76"/>
        <v>6.6666666666666671E-3</v>
      </c>
      <c r="H193" s="7">
        <f t="shared" si="69"/>
        <v>0.04</v>
      </c>
      <c r="I193" s="7">
        <f t="shared" si="53"/>
        <v>0.16666666666666669</v>
      </c>
      <c r="J193" s="4">
        <f t="shared" si="74"/>
        <v>4.0357142857142855E-2</v>
      </c>
    </row>
    <row r="194" spans="3:10">
      <c r="C194" s="6" t="s">
        <v>118</v>
      </c>
      <c r="D194" s="2">
        <f t="shared" si="73"/>
        <v>4.9443757725587149E-3</v>
      </c>
      <c r="E194" s="2">
        <f t="shared" si="75"/>
        <v>2.8571428571428574E-4</v>
      </c>
      <c r="F194" s="2">
        <f t="shared" si="76"/>
        <v>4.9999999999999996E-2</v>
      </c>
      <c r="G194" s="2">
        <f t="shared" si="76"/>
        <v>7.4999999999999997E-3</v>
      </c>
      <c r="H194" s="7">
        <f t="shared" si="69"/>
        <v>5.7499999999999996E-2</v>
      </c>
      <c r="I194" s="7">
        <f t="shared" si="53"/>
        <v>0.13043478260869565</v>
      </c>
      <c r="J194" s="4">
        <f t="shared" si="74"/>
        <v>5.7785714285714281E-2</v>
      </c>
    </row>
    <row r="195" spans="3:10">
      <c r="D195" s="4">
        <f>AVERAGE(D188:D194)</f>
        <v>0.15233406213155426</v>
      </c>
      <c r="I195" s="7" t="e">
        <f t="shared" si="53"/>
        <v>#DIV/0!</v>
      </c>
      <c r="J195" s="4">
        <f>AVERAGE(J188:J194)</f>
        <v>3.6193877551020402E-2</v>
      </c>
    </row>
    <row r="196" spans="3:10">
      <c r="D196" s="4">
        <f>AVERAGE(D189:D194)</f>
        <v>1.1056405820146652E-2</v>
      </c>
      <c r="I196" s="7" t="e">
        <f t="shared" si="53"/>
        <v>#DIV/0!</v>
      </c>
    </row>
    <row r="197" spans="3:10">
      <c r="I197" s="7" t="e">
        <f t="shared" si="53"/>
        <v>#DIV/0!</v>
      </c>
    </row>
    <row r="198" spans="3:10">
      <c r="C198" s="6" t="s">
        <v>122</v>
      </c>
      <c r="D198" s="2">
        <f t="shared" ref="D198:D204" si="77">E198/J198</f>
        <v>1</v>
      </c>
      <c r="E198" s="2">
        <f>L151*0.8</f>
        <v>1.1771428571428561E-2</v>
      </c>
      <c r="F198" s="2">
        <f>M151*1.4</f>
        <v>0</v>
      </c>
      <c r="G198" s="7">
        <f>N151*1.1</f>
        <v>0</v>
      </c>
      <c r="H198" s="7">
        <f t="shared" ref="H198:H204" si="78">F198+G198</f>
        <v>0</v>
      </c>
      <c r="I198" s="7" t="e">
        <f t="shared" si="53"/>
        <v>#DIV/0!</v>
      </c>
      <c r="J198" s="4">
        <f t="shared" ref="J198:J204" si="79">E198+H198</f>
        <v>1.1771428571428561E-2</v>
      </c>
    </row>
    <row r="199" spans="3:10">
      <c r="C199" s="6" t="s">
        <v>130</v>
      </c>
      <c r="D199" s="2">
        <f t="shared" si="77"/>
        <v>1.3457943925233659E-2</v>
      </c>
      <c r="E199" s="2">
        <f t="shared" ref="E199:E204" si="80">L152*0.8</f>
        <v>3.4285714285714323E-4</v>
      </c>
      <c r="F199" s="2">
        <f t="shared" ref="F199:F204" si="81">M152*1.2</f>
        <v>0.02</v>
      </c>
      <c r="G199" s="7">
        <f t="shared" ref="G199:G204" si="82">N152*1.1</f>
        <v>5.1333333333333344E-3</v>
      </c>
      <c r="H199" s="7">
        <f t="shared" si="78"/>
        <v>2.5133333333333334E-2</v>
      </c>
      <c r="I199" s="7">
        <f t="shared" si="53"/>
        <v>0.20424403183023876</v>
      </c>
      <c r="J199" s="4">
        <f t="shared" si="79"/>
        <v>2.5476190476190479E-2</v>
      </c>
    </row>
    <row r="200" spans="3:10">
      <c r="C200" s="6" t="s">
        <v>131</v>
      </c>
      <c r="D200" s="2">
        <f t="shared" si="77"/>
        <v>6.1661785108678901E-3</v>
      </c>
      <c r="E200" s="2">
        <f t="shared" si="80"/>
        <v>2.8571428571428574E-4</v>
      </c>
      <c r="F200" s="2">
        <f t="shared" si="81"/>
        <v>0.04</v>
      </c>
      <c r="G200" s="7">
        <f t="shared" si="82"/>
        <v>6.0500000000000007E-3</v>
      </c>
      <c r="H200" s="7">
        <f>F200+G200</f>
        <v>4.6050000000000001E-2</v>
      </c>
      <c r="I200" s="7">
        <f t="shared" si="53"/>
        <v>0.13137893593919653</v>
      </c>
      <c r="J200" s="4">
        <f t="shared" si="79"/>
        <v>4.6335714285714286E-2</v>
      </c>
    </row>
    <row r="201" spans="3:10">
      <c r="C201" s="6" t="s">
        <v>132</v>
      </c>
      <c r="D201" s="2">
        <f t="shared" si="77"/>
        <v>3.401601587414075E-3</v>
      </c>
      <c r="E201" s="2">
        <f t="shared" si="80"/>
        <v>2.2857142857142859E-4</v>
      </c>
      <c r="F201" s="2">
        <f t="shared" si="81"/>
        <v>5.9999999999999991E-2</v>
      </c>
      <c r="G201" s="7">
        <f t="shared" si="82"/>
        <v>6.966666666666667E-3</v>
      </c>
      <c r="H201" s="7">
        <f t="shared" si="78"/>
        <v>6.696666666666666E-2</v>
      </c>
      <c r="I201" s="7">
        <f t="shared" si="53"/>
        <v>0.10403185664509708</v>
      </c>
      <c r="J201" s="4">
        <f t="shared" si="79"/>
        <v>6.7195238095238086E-2</v>
      </c>
    </row>
    <row r="202" spans="3:10">
      <c r="C202" s="6" t="s">
        <v>123</v>
      </c>
      <c r="D202" s="2">
        <f t="shared" si="77"/>
        <v>1.2812527804964856E-2</v>
      </c>
      <c r="E202" s="2">
        <f t="shared" si="80"/>
        <v>3.428571428571429E-4</v>
      </c>
      <c r="F202" s="2">
        <f t="shared" si="81"/>
        <v>0.02</v>
      </c>
      <c r="G202" s="7">
        <f t="shared" si="82"/>
        <v>6.4166666666666677E-3</v>
      </c>
      <c r="H202" s="7">
        <f t="shared" si="78"/>
        <v>2.6416666666666668E-2</v>
      </c>
      <c r="I202" s="7">
        <f t="shared" si="53"/>
        <v>0.24290220820189276</v>
      </c>
      <c r="J202" s="4">
        <f t="shared" si="79"/>
        <v>2.6759523809523809E-2</v>
      </c>
    </row>
    <row r="203" spans="3:10">
      <c r="C203" s="6" t="s">
        <v>133</v>
      </c>
      <c r="D203" s="2">
        <f t="shared" si="77"/>
        <v>6.0000000000000001E-3</v>
      </c>
      <c r="E203" s="2">
        <f t="shared" si="80"/>
        <v>2.8571428571428574E-4</v>
      </c>
      <c r="F203" s="2">
        <f t="shared" si="81"/>
        <v>0.04</v>
      </c>
      <c r="G203" s="7">
        <f t="shared" si="82"/>
        <v>7.3333333333333341E-3</v>
      </c>
      <c r="H203" s="7">
        <f t="shared" si="78"/>
        <v>4.7333333333333338E-2</v>
      </c>
      <c r="I203" s="7">
        <f t="shared" si="53"/>
        <v>0.15492957746478872</v>
      </c>
      <c r="J203" s="4">
        <f t="shared" si="79"/>
        <v>4.7619047619047623E-2</v>
      </c>
    </row>
    <row r="204" spans="3:10">
      <c r="C204" s="6" t="s">
        <v>124</v>
      </c>
      <c r="D204" s="2">
        <f t="shared" si="77"/>
        <v>3.3378533430687396E-3</v>
      </c>
      <c r="E204" s="2">
        <f t="shared" si="80"/>
        <v>2.2857142857142859E-4</v>
      </c>
      <c r="F204" s="2">
        <f t="shared" si="81"/>
        <v>5.9999999999999991E-2</v>
      </c>
      <c r="G204" s="7">
        <f t="shared" si="82"/>
        <v>8.2500000000000004E-3</v>
      </c>
      <c r="H204" s="7">
        <f t="shared" si="78"/>
        <v>6.8249999999999991E-2</v>
      </c>
      <c r="I204" s="7">
        <f t="shared" si="53"/>
        <v>0.12087912087912089</v>
      </c>
      <c r="J204" s="4">
        <f t="shared" si="79"/>
        <v>6.8478571428571416E-2</v>
      </c>
    </row>
    <row r="205" spans="3:10">
      <c r="D205" s="4">
        <f>AVERAGE(D198:D204)</f>
        <v>0.14931087216736419</v>
      </c>
    </row>
    <row r="206" spans="3:10">
      <c r="D206" s="4">
        <f>AVERAGE(D199:D204)</f>
        <v>7.5293508619248698E-3</v>
      </c>
    </row>
  </sheetData>
  <autoFilter ref="A1:Q163"/>
  <mergeCells count="50">
    <mergeCell ref="AB63:AB69"/>
    <mergeCell ref="AB2:AB8"/>
    <mergeCell ref="AB9:AB13"/>
    <mergeCell ref="AB14:AB20"/>
    <mergeCell ref="AB21:AB25"/>
    <mergeCell ref="AB26:AB32"/>
    <mergeCell ref="AB33:AB35"/>
    <mergeCell ref="AB36:AB40"/>
    <mergeCell ref="AB41:AB43"/>
    <mergeCell ref="AB44:AB46"/>
    <mergeCell ref="AB47:AB53"/>
    <mergeCell ref="AB55:AB61"/>
    <mergeCell ref="AB159:AB165"/>
    <mergeCell ref="AB71:AB77"/>
    <mergeCell ref="AB79:AB85"/>
    <mergeCell ref="AB87:AB93"/>
    <mergeCell ref="AB95:AB101"/>
    <mergeCell ref="AB103:AB109"/>
    <mergeCell ref="AB111:AB117"/>
    <mergeCell ref="AC87:AC93"/>
    <mergeCell ref="AB167:AB173"/>
    <mergeCell ref="AC2:AC8"/>
    <mergeCell ref="AC9:AC13"/>
    <mergeCell ref="AC14:AC20"/>
    <mergeCell ref="AC21:AC25"/>
    <mergeCell ref="AC26:AC32"/>
    <mergeCell ref="AC33:AC35"/>
    <mergeCell ref="AC36:AC40"/>
    <mergeCell ref="AC41:AC43"/>
    <mergeCell ref="AC44:AC46"/>
    <mergeCell ref="AB119:AB125"/>
    <mergeCell ref="AB127:AB133"/>
    <mergeCell ref="AB135:AB141"/>
    <mergeCell ref="AB143:AB149"/>
    <mergeCell ref="AB151:AB157"/>
    <mergeCell ref="AC47:AC53"/>
    <mergeCell ref="AC55:AC61"/>
    <mergeCell ref="AC63:AC69"/>
    <mergeCell ref="AC71:AC77"/>
    <mergeCell ref="AC79:AC85"/>
    <mergeCell ref="AC143:AC149"/>
    <mergeCell ref="AC151:AC157"/>
    <mergeCell ref="AC159:AC165"/>
    <mergeCell ref="AC167:AC173"/>
    <mergeCell ref="AC95:AC101"/>
    <mergeCell ref="AC103:AC109"/>
    <mergeCell ref="AC111:AC117"/>
    <mergeCell ref="AC119:AC125"/>
    <mergeCell ref="AC127:AC133"/>
    <mergeCell ref="AC135:AC1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0"/>
  <sheetViews>
    <sheetView zoomScale="95" zoomScaleNormal="95" zoomScalePageLayoutView="95" workbookViewId="0">
      <pane xSplit="2" ySplit="2" topLeftCell="Q3" activePane="bottomRight" state="frozen"/>
      <selection pane="topRight" activeCell="C1" sqref="C1"/>
      <selection pane="bottomLeft" activeCell="A2" sqref="A2"/>
      <selection pane="bottomRight" activeCell="AB85" sqref="AB85"/>
    </sheetView>
  </sheetViews>
  <sheetFormatPr baseColWidth="10" defaultRowHeight="15" x14ac:dyDescent="0"/>
  <cols>
    <col min="1" max="1" width="8.1640625" bestFit="1" customWidth="1"/>
    <col min="2" max="2" width="23.1640625" bestFit="1" customWidth="1"/>
    <col min="3" max="3" width="13" bestFit="1" customWidth="1"/>
    <col min="7" max="7" width="10.83203125" style="42"/>
    <col min="8" max="8" width="10.83203125" style="43"/>
    <col min="9" max="9" width="16.33203125" customWidth="1"/>
    <col min="11" max="11" width="10.83203125" style="42"/>
    <col min="12" max="12" width="10.83203125" style="43"/>
    <col min="18" max="18" width="10.83203125" style="42"/>
    <col min="19" max="19" width="10.83203125" style="79"/>
    <col min="20" max="20" width="10.83203125" style="80"/>
    <col min="21" max="21" width="13.83203125" style="80" customWidth="1"/>
    <col min="22" max="25" width="10.83203125" style="80"/>
    <col min="26" max="30" width="11.5" style="80" customWidth="1"/>
  </cols>
  <sheetData>
    <row r="1" spans="1:33">
      <c r="A1" s="138" t="s">
        <v>296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AE1" t="s">
        <v>366</v>
      </c>
    </row>
    <row r="2" spans="1:33" ht="75">
      <c r="A2" s="1" t="s">
        <v>113</v>
      </c>
      <c r="B2" s="1" t="s">
        <v>1</v>
      </c>
      <c r="C2" s="1" t="s">
        <v>182</v>
      </c>
      <c r="D2" s="1" t="s">
        <v>179</v>
      </c>
      <c r="E2" s="1" t="s">
        <v>180</v>
      </c>
      <c r="F2" s="1" t="s">
        <v>183</v>
      </c>
      <c r="G2" s="40" t="s">
        <v>186</v>
      </c>
      <c r="H2" s="41" t="s">
        <v>206</v>
      </c>
      <c r="I2" s="1" t="s">
        <v>209</v>
      </c>
      <c r="J2" s="1" t="s">
        <v>208</v>
      </c>
      <c r="K2" s="40" t="s">
        <v>207</v>
      </c>
      <c r="L2" s="41" t="s">
        <v>217</v>
      </c>
      <c r="M2" s="1" t="s">
        <v>218</v>
      </c>
      <c r="N2" s="1" t="s">
        <v>181</v>
      </c>
      <c r="O2" s="1" t="s">
        <v>219</v>
      </c>
      <c r="P2" s="1" t="s">
        <v>215</v>
      </c>
      <c r="Q2" s="1" t="s">
        <v>216</v>
      </c>
      <c r="R2" s="40" t="s">
        <v>220</v>
      </c>
      <c r="S2" s="81" t="s">
        <v>294</v>
      </c>
      <c r="T2" s="82" t="s">
        <v>295</v>
      </c>
      <c r="U2" s="82" t="s">
        <v>229</v>
      </c>
      <c r="V2" s="82" t="s">
        <v>230</v>
      </c>
      <c r="W2" s="82" t="s">
        <v>363</v>
      </c>
      <c r="X2" s="82" t="s">
        <v>231</v>
      </c>
      <c r="Y2" s="82" t="s">
        <v>232</v>
      </c>
      <c r="Z2" s="82" t="s">
        <v>364</v>
      </c>
      <c r="AA2" s="82" t="s">
        <v>374</v>
      </c>
      <c r="AB2" s="82" t="s">
        <v>371</v>
      </c>
      <c r="AC2" s="82" t="s">
        <v>372</v>
      </c>
      <c r="AD2" s="82" t="s">
        <v>373</v>
      </c>
      <c r="AE2" s="82" t="s">
        <v>362</v>
      </c>
      <c r="AF2" s="82" t="s">
        <v>361</v>
      </c>
      <c r="AG2" s="82" t="s">
        <v>232</v>
      </c>
    </row>
    <row r="3" spans="1:33">
      <c r="A3">
        <v>610620</v>
      </c>
      <c r="B3" t="s">
        <v>4</v>
      </c>
      <c r="C3">
        <v>0</v>
      </c>
      <c r="D3">
        <v>20</v>
      </c>
      <c r="E3">
        <v>20</v>
      </c>
      <c r="L3" s="43">
        <v>0</v>
      </c>
      <c r="M3">
        <v>20</v>
      </c>
      <c r="N3">
        <v>1</v>
      </c>
      <c r="O3">
        <v>20</v>
      </c>
      <c r="S3" s="79">
        <v>0</v>
      </c>
      <c r="T3" s="80">
        <v>20</v>
      </c>
      <c r="U3" s="80">
        <v>1</v>
      </c>
      <c r="V3" s="80">
        <v>20</v>
      </c>
    </row>
    <row r="4" spans="1:33">
      <c r="A4">
        <v>610620</v>
      </c>
      <c r="B4" t="s">
        <v>103</v>
      </c>
      <c r="C4">
        <v>150</v>
      </c>
      <c r="D4" s="35" t="s">
        <v>185</v>
      </c>
      <c r="E4" s="35" t="s">
        <v>185</v>
      </c>
    </row>
    <row r="5" spans="1:33">
      <c r="A5" s="16">
        <v>610620</v>
      </c>
      <c r="B5" s="16" t="s">
        <v>141</v>
      </c>
      <c r="C5" s="16"/>
    </row>
    <row r="6" spans="1:33">
      <c r="A6" s="16">
        <v>610620</v>
      </c>
      <c r="B6" s="16" t="s">
        <v>104</v>
      </c>
      <c r="C6" s="16"/>
    </row>
    <row r="7" spans="1:33">
      <c r="A7" s="16">
        <v>610620</v>
      </c>
      <c r="B7" s="16" t="s">
        <v>5</v>
      </c>
      <c r="C7" s="16">
        <v>60</v>
      </c>
      <c r="D7">
        <v>150</v>
      </c>
      <c r="E7">
        <v>150</v>
      </c>
      <c r="G7" s="51"/>
      <c r="L7" s="43">
        <v>20</v>
      </c>
      <c r="M7">
        <v>120</v>
      </c>
      <c r="N7">
        <v>1</v>
      </c>
      <c r="O7">
        <v>120</v>
      </c>
    </row>
    <row r="8" spans="1:33">
      <c r="A8">
        <v>610620</v>
      </c>
      <c r="B8" t="s">
        <v>140</v>
      </c>
      <c r="S8" s="79">
        <v>20</v>
      </c>
      <c r="T8" s="80">
        <v>120</v>
      </c>
      <c r="U8" s="80">
        <v>1</v>
      </c>
      <c r="V8" s="80">
        <v>120</v>
      </c>
    </row>
    <row r="9" spans="1:33" ht="16" thickBot="1">
      <c r="A9" s="16">
        <v>610620</v>
      </c>
      <c r="B9" s="16" t="s">
        <v>6</v>
      </c>
      <c r="C9" s="16">
        <v>20</v>
      </c>
      <c r="D9">
        <v>60</v>
      </c>
      <c r="E9" s="16">
        <v>60</v>
      </c>
      <c r="F9" s="16"/>
      <c r="G9" s="51"/>
      <c r="L9" s="43">
        <v>20</v>
      </c>
      <c r="M9">
        <v>120</v>
      </c>
      <c r="N9">
        <v>1</v>
      </c>
      <c r="O9">
        <v>120</v>
      </c>
      <c r="P9">
        <v>40</v>
      </c>
      <c r="Q9">
        <v>1</v>
      </c>
    </row>
    <row r="10" spans="1:33" s="21" customFormat="1">
      <c r="A10" s="30"/>
      <c r="B10" s="21" t="s">
        <v>13</v>
      </c>
      <c r="G10" s="44"/>
      <c r="H10" s="45"/>
      <c r="K10" s="44"/>
      <c r="L10" s="45">
        <v>0</v>
      </c>
      <c r="M10" s="21">
        <v>10</v>
      </c>
      <c r="N10" s="21">
        <v>1</v>
      </c>
      <c r="O10" s="21">
        <v>10</v>
      </c>
      <c r="R10" s="44"/>
      <c r="S10" s="83">
        <v>0</v>
      </c>
      <c r="T10" s="84">
        <v>10</v>
      </c>
      <c r="U10" s="84">
        <v>1</v>
      </c>
      <c r="V10" s="84">
        <v>10</v>
      </c>
      <c r="W10" s="80">
        <f>V10-T10</f>
        <v>0</v>
      </c>
      <c r="X10" s="84"/>
      <c r="Y10" s="84"/>
      <c r="Z10" s="84"/>
      <c r="AA10" s="84"/>
      <c r="AB10" s="84"/>
      <c r="AC10" s="84"/>
      <c r="AD10" s="84"/>
    </row>
    <row r="11" spans="1:33" s="18" customFormat="1">
      <c r="A11" s="31"/>
      <c r="B11" s="18" t="s">
        <v>16</v>
      </c>
      <c r="G11" s="42"/>
      <c r="H11" s="43"/>
      <c r="K11" s="42"/>
      <c r="L11" s="43">
        <v>0</v>
      </c>
      <c r="M11" s="18">
        <v>70</v>
      </c>
      <c r="N11" s="18">
        <v>1</v>
      </c>
      <c r="O11" s="18">
        <v>70</v>
      </c>
      <c r="R11" s="42"/>
      <c r="S11" s="79">
        <v>0</v>
      </c>
      <c r="T11" s="85">
        <v>70</v>
      </c>
      <c r="U11" s="85">
        <v>1</v>
      </c>
      <c r="V11" s="85">
        <v>70</v>
      </c>
      <c r="W11" s="80">
        <f>V11-T11</f>
        <v>0</v>
      </c>
      <c r="X11" s="85"/>
      <c r="Y11" s="85"/>
      <c r="Z11" s="85"/>
      <c r="AA11" s="85"/>
      <c r="AB11" s="85"/>
      <c r="AC11" s="85"/>
      <c r="AD11" s="85"/>
    </row>
    <row r="12" spans="1:33" s="18" customFormat="1">
      <c r="A12" s="31"/>
      <c r="B12" s="18" t="s">
        <v>17</v>
      </c>
      <c r="G12" s="42"/>
      <c r="H12" s="43"/>
      <c r="K12" s="42"/>
      <c r="L12" s="43"/>
      <c r="R12" s="42"/>
      <c r="S12" s="79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</row>
    <row r="13" spans="1:33" s="18" customFormat="1">
      <c r="A13" s="31"/>
      <c r="B13" s="18" t="s">
        <v>15</v>
      </c>
      <c r="G13" s="42"/>
      <c r="H13" s="43"/>
      <c r="K13" s="42"/>
      <c r="L13" s="43">
        <v>0</v>
      </c>
      <c r="M13" s="18">
        <v>100</v>
      </c>
      <c r="N13" s="18">
        <v>1</v>
      </c>
      <c r="O13" s="18">
        <v>100</v>
      </c>
      <c r="R13" s="42"/>
      <c r="S13" s="79">
        <v>0</v>
      </c>
      <c r="T13" s="85">
        <v>100</v>
      </c>
      <c r="U13" s="85">
        <v>1</v>
      </c>
      <c r="V13" s="85">
        <v>100</v>
      </c>
      <c r="W13" s="80">
        <f>V13-T13</f>
        <v>0</v>
      </c>
      <c r="X13" s="85"/>
      <c r="Y13" s="85"/>
      <c r="Z13" s="85"/>
      <c r="AA13" s="85"/>
      <c r="AB13" s="85"/>
      <c r="AC13" s="85"/>
      <c r="AD13" s="85"/>
    </row>
    <row r="14" spans="1:33" s="27" customFormat="1" ht="16" thickBot="1">
      <c r="A14" s="32"/>
      <c r="B14" s="27" t="s">
        <v>14</v>
      </c>
      <c r="G14" s="46"/>
      <c r="H14" s="47"/>
      <c r="K14" s="46"/>
      <c r="L14" s="47">
        <v>0</v>
      </c>
      <c r="M14" s="27">
        <v>50</v>
      </c>
      <c r="N14" s="27">
        <v>0.6</v>
      </c>
      <c r="O14" s="27">
        <v>100</v>
      </c>
      <c r="R14" s="46"/>
      <c r="S14" s="86">
        <v>0</v>
      </c>
      <c r="T14" s="87">
        <v>50</v>
      </c>
      <c r="U14" s="87">
        <v>0.6</v>
      </c>
      <c r="V14" s="87">
        <v>100</v>
      </c>
      <c r="W14" s="109">
        <f>T14+(5/U14)</f>
        <v>58.333333333333336</v>
      </c>
      <c r="X14" s="87"/>
      <c r="Y14" s="87"/>
      <c r="Z14" s="87"/>
      <c r="AA14" s="87"/>
      <c r="AB14" s="87"/>
      <c r="AC14" s="87"/>
      <c r="AD14" s="87"/>
    </row>
    <row r="15" spans="1:33">
      <c r="A15" s="6">
        <v>610581</v>
      </c>
      <c r="B15" s="6" t="s">
        <v>8</v>
      </c>
      <c r="C15" s="6">
        <v>0</v>
      </c>
      <c r="D15" s="18">
        <v>10</v>
      </c>
      <c r="E15" s="18">
        <v>10</v>
      </c>
      <c r="F15" s="18"/>
      <c r="I15" s="18"/>
      <c r="J15" s="18"/>
      <c r="L15" s="43">
        <v>0</v>
      </c>
      <c r="M15" s="18">
        <v>10</v>
      </c>
      <c r="N15" s="18">
        <v>0.6</v>
      </c>
      <c r="O15" s="18">
        <v>40</v>
      </c>
      <c r="P15" s="18"/>
      <c r="Q15" s="18"/>
      <c r="S15" s="79">
        <v>0</v>
      </c>
      <c r="T15" s="85">
        <v>10</v>
      </c>
      <c r="U15" s="85">
        <v>0.6</v>
      </c>
      <c r="V15" s="85">
        <v>40</v>
      </c>
      <c r="W15" s="104">
        <f>T15+(5/U15)</f>
        <v>18.333333333333336</v>
      </c>
      <c r="X15" s="85"/>
      <c r="Y15" s="85"/>
      <c r="Z15" s="85"/>
      <c r="AA15" s="85"/>
      <c r="AB15" s="85"/>
      <c r="AC15" s="85"/>
      <c r="AD15" s="85"/>
      <c r="AE15" s="18"/>
      <c r="AF15" s="18"/>
      <c r="AG15" s="18"/>
    </row>
    <row r="16" spans="1:33">
      <c r="A16" s="6">
        <v>610581</v>
      </c>
      <c r="B16" s="6" t="s">
        <v>11</v>
      </c>
      <c r="C16" s="6">
        <v>50</v>
      </c>
      <c r="D16" s="18">
        <v>480</v>
      </c>
      <c r="E16" s="18">
        <v>480</v>
      </c>
      <c r="F16" s="18"/>
      <c r="I16" s="18"/>
      <c r="J16" s="18"/>
      <c r="M16" s="18"/>
      <c r="N16" s="18"/>
      <c r="O16" s="18"/>
      <c r="P16" s="18"/>
      <c r="Q16" s="18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18"/>
      <c r="AF16" s="18"/>
      <c r="AG16" s="18"/>
    </row>
    <row r="17" spans="1:33">
      <c r="A17" s="6">
        <v>610581</v>
      </c>
      <c r="B17" s="6" t="s">
        <v>147</v>
      </c>
      <c r="C17" s="18"/>
      <c r="D17" s="18"/>
      <c r="E17" s="18"/>
      <c r="F17" s="18"/>
      <c r="I17" s="18"/>
      <c r="J17" s="18"/>
      <c r="M17" s="18"/>
      <c r="N17" s="18"/>
      <c r="O17" s="18"/>
      <c r="P17" s="18"/>
      <c r="Q17" s="18"/>
      <c r="T17" s="85"/>
      <c r="U17" s="85"/>
      <c r="V17" s="85"/>
      <c r="W17" s="85"/>
      <c r="X17" s="85">
        <v>25</v>
      </c>
      <c r="Y17" s="85">
        <v>0.7</v>
      </c>
      <c r="Z17" s="85"/>
      <c r="AA17" s="85"/>
      <c r="AB17" s="85"/>
      <c r="AC17" s="85"/>
      <c r="AD17" s="85"/>
      <c r="AE17" s="18"/>
      <c r="AF17" s="18"/>
      <c r="AG17" s="18"/>
    </row>
    <row r="18" spans="1:33">
      <c r="A18" s="6">
        <v>610581</v>
      </c>
      <c r="B18" s="6" t="s">
        <v>12</v>
      </c>
      <c r="C18" s="6">
        <v>70</v>
      </c>
      <c r="D18" s="18">
        <v>120</v>
      </c>
      <c r="E18" s="18">
        <v>120</v>
      </c>
      <c r="F18" s="18"/>
      <c r="I18" s="18"/>
      <c r="J18" s="18"/>
      <c r="M18" s="18"/>
      <c r="N18" s="18"/>
      <c r="O18" s="18"/>
      <c r="P18" s="18">
        <v>50</v>
      </c>
      <c r="Q18" s="18">
        <v>0.7</v>
      </c>
      <c r="T18" s="85"/>
      <c r="U18" s="85"/>
      <c r="V18" s="85"/>
      <c r="W18" s="85"/>
      <c r="X18" s="85">
        <v>25</v>
      </c>
      <c r="Y18" s="85">
        <v>0.7</v>
      </c>
      <c r="Z18" s="85">
        <f>50/2</f>
        <v>25</v>
      </c>
      <c r="AA18" s="104">
        <f>X18+(5/Y18)</f>
        <v>32.142857142857146</v>
      </c>
      <c r="AB18" s="104"/>
      <c r="AC18" s="104"/>
      <c r="AD18" s="104"/>
      <c r="AE18" s="18"/>
      <c r="AF18" s="18"/>
      <c r="AG18" s="18"/>
    </row>
    <row r="19" spans="1:33">
      <c r="A19" s="6">
        <v>610581</v>
      </c>
      <c r="B19" s="6" t="s">
        <v>9</v>
      </c>
      <c r="C19" s="6">
        <v>10</v>
      </c>
      <c r="D19" s="18">
        <v>50</v>
      </c>
      <c r="E19" s="18">
        <v>50</v>
      </c>
      <c r="F19" s="18"/>
      <c r="I19" s="18"/>
      <c r="J19" s="18"/>
      <c r="L19" s="43">
        <v>0</v>
      </c>
      <c r="M19" s="18">
        <v>40</v>
      </c>
      <c r="N19" s="18">
        <v>0.6</v>
      </c>
      <c r="O19" s="6">
        <v>80</v>
      </c>
      <c r="P19" s="18"/>
      <c r="Q19" s="18"/>
      <c r="S19" s="79">
        <v>0</v>
      </c>
      <c r="T19" s="85">
        <v>40</v>
      </c>
      <c r="U19" s="85">
        <v>0.6</v>
      </c>
      <c r="V19" s="85">
        <v>80</v>
      </c>
      <c r="W19" s="104">
        <f>T19+(5/U19)</f>
        <v>48.333333333333336</v>
      </c>
      <c r="X19" s="85"/>
      <c r="Y19" s="85"/>
      <c r="Z19" s="85"/>
      <c r="AA19" s="85"/>
      <c r="AB19" s="85"/>
      <c r="AC19" s="85"/>
      <c r="AD19" s="85"/>
      <c r="AE19" s="18"/>
      <c r="AF19" s="18"/>
      <c r="AG19" s="18"/>
    </row>
    <row r="20" spans="1:33">
      <c r="A20" s="6">
        <v>610581</v>
      </c>
      <c r="B20" s="6" t="s">
        <v>146</v>
      </c>
      <c r="C20" s="6"/>
      <c r="D20" s="18"/>
      <c r="E20" s="18"/>
      <c r="F20" s="18"/>
      <c r="I20" s="18"/>
      <c r="J20" s="18"/>
      <c r="M20" s="18"/>
      <c r="N20" s="18"/>
      <c r="O20" s="18"/>
      <c r="P20" s="18"/>
      <c r="Q20" s="18"/>
      <c r="S20" s="79">
        <v>0</v>
      </c>
      <c r="T20" s="85">
        <v>45</v>
      </c>
      <c r="U20" s="85">
        <v>0.55000000000000004</v>
      </c>
      <c r="V20" s="85">
        <v>90</v>
      </c>
      <c r="W20" s="104">
        <f>T20+(5/U20)</f>
        <v>54.090909090909093</v>
      </c>
      <c r="X20" s="85">
        <v>10</v>
      </c>
      <c r="Y20" s="85">
        <v>0.8</v>
      </c>
      <c r="Z20" s="85"/>
      <c r="AA20" s="85"/>
      <c r="AB20" s="85"/>
      <c r="AC20" s="85"/>
      <c r="AD20" s="85"/>
      <c r="AE20" s="18"/>
      <c r="AF20" s="18"/>
      <c r="AG20" s="18"/>
    </row>
    <row r="21" spans="1:33" ht="16" thickBot="1">
      <c r="A21" s="6">
        <v>610581</v>
      </c>
      <c r="B21" s="6" t="s">
        <v>10</v>
      </c>
      <c r="C21" s="6">
        <v>15</v>
      </c>
      <c r="D21" s="18" t="s">
        <v>187</v>
      </c>
      <c r="E21" s="18">
        <v>70</v>
      </c>
      <c r="F21" s="18" t="s">
        <v>188</v>
      </c>
      <c r="I21" s="18"/>
      <c r="J21" s="18"/>
      <c r="L21" s="43">
        <v>0</v>
      </c>
      <c r="M21" s="18">
        <v>50</v>
      </c>
      <c r="N21" s="18">
        <v>0.5</v>
      </c>
      <c r="O21" s="6">
        <v>100</v>
      </c>
      <c r="P21" s="6">
        <v>20</v>
      </c>
      <c r="Q21" s="6">
        <v>0.8</v>
      </c>
      <c r="S21" s="79">
        <v>0</v>
      </c>
      <c r="T21" s="85">
        <v>50</v>
      </c>
      <c r="U21" s="85">
        <v>0.5</v>
      </c>
      <c r="V21" s="85">
        <v>100</v>
      </c>
      <c r="W21" s="104">
        <f>T21+(5/U21)</f>
        <v>60</v>
      </c>
      <c r="X21" s="85">
        <v>10</v>
      </c>
      <c r="Y21" s="85">
        <v>0.8</v>
      </c>
      <c r="Z21" s="85">
        <f>15/2</f>
        <v>7.5</v>
      </c>
      <c r="AA21" s="104">
        <f>X21+(5/Y21)</f>
        <v>16.25</v>
      </c>
      <c r="AB21" s="104"/>
      <c r="AC21" s="104"/>
      <c r="AD21" s="104"/>
      <c r="AE21" s="18"/>
      <c r="AF21" s="18"/>
      <c r="AG21" s="18"/>
    </row>
    <row r="22" spans="1:33" s="21" customFormat="1">
      <c r="A22" s="30">
        <v>610790</v>
      </c>
      <c r="B22" s="21" t="s">
        <v>18</v>
      </c>
      <c r="C22" s="21">
        <v>0</v>
      </c>
      <c r="D22" s="21">
        <v>25</v>
      </c>
      <c r="E22" s="21">
        <v>25</v>
      </c>
      <c r="G22" s="44"/>
      <c r="H22" s="45"/>
      <c r="K22" s="44"/>
      <c r="L22" s="45">
        <v>0</v>
      </c>
      <c r="M22" s="21">
        <v>20</v>
      </c>
      <c r="N22" s="21">
        <v>1</v>
      </c>
      <c r="O22" s="21">
        <v>20</v>
      </c>
      <c r="R22" s="44"/>
      <c r="S22" s="83">
        <v>0</v>
      </c>
      <c r="T22" s="84">
        <v>20</v>
      </c>
      <c r="U22" s="84">
        <v>1</v>
      </c>
      <c r="V22" s="84">
        <v>20</v>
      </c>
      <c r="W22" s="104">
        <f>V22-T22</f>
        <v>0</v>
      </c>
      <c r="X22" s="84"/>
      <c r="Y22" s="84"/>
      <c r="Z22" s="84"/>
      <c r="AA22" s="84"/>
      <c r="AB22" s="84"/>
      <c r="AC22" s="84"/>
      <c r="AD22" s="84"/>
    </row>
    <row r="23" spans="1:33" s="18" customFormat="1">
      <c r="A23" s="31">
        <v>610790</v>
      </c>
      <c r="B23" t="s">
        <v>19</v>
      </c>
      <c r="C23">
        <v>195</v>
      </c>
      <c r="D23" s="35" t="s">
        <v>185</v>
      </c>
      <c r="E23" s="35" t="s">
        <v>185</v>
      </c>
      <c r="F23"/>
      <c r="G23" s="42"/>
      <c r="H23" s="43"/>
      <c r="I23"/>
      <c r="J23"/>
      <c r="K23" s="42"/>
      <c r="L23" s="43"/>
      <c r="M23"/>
      <c r="N23"/>
      <c r="O23"/>
      <c r="P23"/>
      <c r="Q23"/>
      <c r="R23" s="42"/>
      <c r="S23" s="79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/>
      <c r="AF23"/>
      <c r="AG23"/>
    </row>
    <row r="24" spans="1:33" s="18" customFormat="1">
      <c r="A24" s="31">
        <v>610790</v>
      </c>
      <c r="B24" t="s">
        <v>143</v>
      </c>
      <c r="C24"/>
      <c r="D24"/>
      <c r="E24"/>
      <c r="F24"/>
      <c r="G24" s="42"/>
      <c r="H24" s="43"/>
      <c r="I24"/>
      <c r="J24"/>
      <c r="K24" s="42"/>
      <c r="L24" s="43"/>
      <c r="M24"/>
      <c r="N24"/>
      <c r="O24"/>
      <c r="P24"/>
      <c r="Q24"/>
      <c r="R24" s="42"/>
      <c r="S24" s="79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/>
      <c r="AF24"/>
      <c r="AG24"/>
    </row>
    <row r="25" spans="1:33" s="18" customFormat="1">
      <c r="A25" s="31">
        <v>610790</v>
      </c>
      <c r="B25" t="s">
        <v>20</v>
      </c>
      <c r="C25">
        <v>120</v>
      </c>
      <c r="D25">
        <v>195</v>
      </c>
      <c r="E25">
        <v>195</v>
      </c>
      <c r="F25"/>
      <c r="G25" s="42"/>
      <c r="H25" s="43"/>
      <c r="I25"/>
      <c r="J25"/>
      <c r="K25" s="42"/>
      <c r="L25" s="43">
        <v>0</v>
      </c>
      <c r="M25">
        <v>70</v>
      </c>
      <c r="N25">
        <v>1</v>
      </c>
      <c r="O25"/>
      <c r="P25"/>
      <c r="Q25"/>
      <c r="R25" s="42"/>
      <c r="S25" s="79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/>
      <c r="AF25"/>
      <c r="AG25"/>
    </row>
    <row r="26" spans="1:33" s="27" customFormat="1" ht="16" thickBot="1">
      <c r="A26" s="32">
        <v>610790</v>
      </c>
      <c r="B26" s="27" t="s">
        <v>105</v>
      </c>
      <c r="C26" s="27">
        <v>25</v>
      </c>
      <c r="D26" s="27" t="s">
        <v>184</v>
      </c>
      <c r="E26" s="27">
        <v>999</v>
      </c>
      <c r="F26" s="27" t="s">
        <v>189</v>
      </c>
      <c r="G26" s="46"/>
      <c r="H26" s="47"/>
      <c r="K26" s="46"/>
      <c r="L26" s="47"/>
      <c r="R26" s="46"/>
      <c r="S26" s="86"/>
      <c r="T26" s="87"/>
      <c r="U26" s="87"/>
      <c r="V26" s="87"/>
      <c r="W26" s="80"/>
      <c r="X26" s="87"/>
      <c r="Y26" s="87"/>
      <c r="Z26" s="87"/>
      <c r="AA26" s="87"/>
      <c r="AB26" s="87"/>
      <c r="AC26" s="87"/>
      <c r="AD26" s="87"/>
    </row>
    <row r="27" spans="1:33">
      <c r="A27">
        <v>610790</v>
      </c>
      <c r="B27" t="s">
        <v>142</v>
      </c>
      <c r="S27" s="79">
        <v>0</v>
      </c>
      <c r="T27" s="80">
        <v>120</v>
      </c>
      <c r="U27" s="80">
        <v>1</v>
      </c>
      <c r="V27" s="80">
        <v>120</v>
      </c>
      <c r="W27" s="104">
        <f>V27-T27</f>
        <v>0</v>
      </c>
    </row>
    <row r="28" spans="1:33">
      <c r="A28">
        <v>610790</v>
      </c>
      <c r="B28" t="s">
        <v>106</v>
      </c>
      <c r="L28" s="43">
        <v>0</v>
      </c>
      <c r="M28">
        <v>120</v>
      </c>
      <c r="N28">
        <v>1</v>
      </c>
      <c r="O28">
        <v>120</v>
      </c>
    </row>
    <row r="29" spans="1:33">
      <c r="A29" s="6">
        <v>610430</v>
      </c>
      <c r="B29" s="6" t="s">
        <v>114</v>
      </c>
      <c r="C29" s="6">
        <v>0</v>
      </c>
      <c r="D29">
        <v>25</v>
      </c>
      <c r="E29">
        <v>25</v>
      </c>
      <c r="L29" s="43">
        <v>0</v>
      </c>
      <c r="M29">
        <v>20</v>
      </c>
      <c r="N29">
        <v>0.8</v>
      </c>
      <c r="O29">
        <v>40</v>
      </c>
      <c r="S29" s="79">
        <v>0</v>
      </c>
      <c r="T29" s="80">
        <v>20</v>
      </c>
      <c r="U29" s="80">
        <v>0.8</v>
      </c>
      <c r="V29" s="80">
        <v>40</v>
      </c>
      <c r="W29" s="104">
        <f>T29+(5/U29)</f>
        <v>26.25</v>
      </c>
    </row>
    <row r="30" spans="1:33">
      <c r="A30" s="6">
        <v>610430</v>
      </c>
      <c r="B30" s="6" t="s">
        <v>117</v>
      </c>
      <c r="C30" s="6">
        <v>50</v>
      </c>
      <c r="D30" s="35" t="s">
        <v>185</v>
      </c>
      <c r="E30" s="35" t="s">
        <v>185</v>
      </c>
    </row>
    <row r="31" spans="1:33">
      <c r="A31" s="6">
        <v>610430</v>
      </c>
      <c r="B31" s="6" t="s">
        <v>135</v>
      </c>
      <c r="C31" s="6"/>
      <c r="X31" s="80">
        <v>15</v>
      </c>
      <c r="Y31" s="80">
        <v>0.8</v>
      </c>
      <c r="AA31" s="104">
        <f>X31+(5/Y31)</f>
        <v>21.25</v>
      </c>
      <c r="AB31" s="104"/>
      <c r="AC31" s="104"/>
      <c r="AD31" s="104"/>
    </row>
    <row r="32" spans="1:33">
      <c r="A32" s="6">
        <v>610430</v>
      </c>
      <c r="B32" s="6" t="s">
        <v>118</v>
      </c>
      <c r="C32" s="6"/>
      <c r="X32" s="80">
        <v>15</v>
      </c>
      <c r="Y32" s="80">
        <v>0.8</v>
      </c>
      <c r="AA32" s="104">
        <f>X32+(5/Y32)</f>
        <v>21.25</v>
      </c>
      <c r="AB32" s="104"/>
      <c r="AC32" s="104"/>
      <c r="AD32" s="104"/>
    </row>
    <row r="33" spans="1:33" ht="16" thickBot="1">
      <c r="A33" s="6">
        <v>610430</v>
      </c>
      <c r="B33" s="6" t="s">
        <v>115</v>
      </c>
      <c r="C33" s="6">
        <v>25</v>
      </c>
      <c r="D33">
        <v>50</v>
      </c>
      <c r="E33">
        <v>50</v>
      </c>
      <c r="S33" s="79">
        <v>0</v>
      </c>
      <c r="T33" s="80">
        <v>20</v>
      </c>
      <c r="U33" s="80">
        <v>0.8</v>
      </c>
      <c r="V33" s="80">
        <v>40</v>
      </c>
      <c r="W33" s="104">
        <f>V33-T33</f>
        <v>20</v>
      </c>
    </row>
    <row r="34" spans="1:33" s="21" customFormat="1">
      <c r="A34" s="19">
        <v>610430</v>
      </c>
      <c r="B34" s="20" t="s">
        <v>134</v>
      </c>
      <c r="C34" s="20"/>
      <c r="G34" s="44"/>
      <c r="H34" s="45"/>
      <c r="K34" s="44"/>
      <c r="L34" s="45">
        <v>0</v>
      </c>
      <c r="M34" s="21">
        <v>20</v>
      </c>
      <c r="N34" s="21">
        <v>0.8</v>
      </c>
      <c r="O34" s="21">
        <v>40</v>
      </c>
      <c r="R34" s="44"/>
      <c r="S34" s="83">
        <v>0</v>
      </c>
      <c r="T34" s="84">
        <v>20</v>
      </c>
      <c r="U34" s="84">
        <v>0.8</v>
      </c>
      <c r="V34" s="84">
        <v>40</v>
      </c>
      <c r="W34" s="104">
        <f>V34-T34</f>
        <v>20</v>
      </c>
      <c r="X34" s="84">
        <v>15</v>
      </c>
      <c r="Y34" s="84">
        <v>0.8</v>
      </c>
      <c r="Z34" s="84"/>
      <c r="AA34" s="110">
        <f>X34+(5/Y34)</f>
        <v>21.25</v>
      </c>
      <c r="AB34" s="110"/>
      <c r="AC34" s="110"/>
      <c r="AD34" s="110"/>
    </row>
    <row r="35" spans="1:33" s="18" customFormat="1">
      <c r="A35" s="24">
        <v>610430</v>
      </c>
      <c r="B35" s="6" t="s">
        <v>116</v>
      </c>
      <c r="C35" s="6"/>
      <c r="D35"/>
      <c r="E35"/>
      <c r="F35"/>
      <c r="G35" s="42"/>
      <c r="H35" s="43"/>
      <c r="I35"/>
      <c r="J35"/>
      <c r="K35" s="42"/>
      <c r="L35" s="43"/>
      <c r="M35"/>
      <c r="N35"/>
      <c r="O35"/>
      <c r="P35"/>
      <c r="Q35"/>
      <c r="R35" s="42"/>
      <c r="S35" s="79">
        <v>0</v>
      </c>
      <c r="T35" s="80">
        <v>20</v>
      </c>
      <c r="U35" s="80">
        <v>0.8</v>
      </c>
      <c r="V35" s="80">
        <v>40</v>
      </c>
      <c r="W35" s="104">
        <f>V35-T35</f>
        <v>20</v>
      </c>
      <c r="X35" s="80">
        <v>15</v>
      </c>
      <c r="Y35" s="80">
        <v>0.8</v>
      </c>
      <c r="Z35" s="80"/>
      <c r="AA35" s="104">
        <f>X35+(5/Y35)</f>
        <v>21.25</v>
      </c>
      <c r="AB35" s="104"/>
      <c r="AC35" s="104"/>
      <c r="AD35" s="104"/>
      <c r="AE35"/>
      <c r="AF35"/>
      <c r="AG35"/>
    </row>
    <row r="36" spans="1:33" s="27" customFormat="1" ht="16" thickBot="1">
      <c r="A36" s="32"/>
      <c r="B36" s="26" t="s">
        <v>119</v>
      </c>
      <c r="C36" s="26"/>
      <c r="G36" s="46"/>
      <c r="H36" s="47"/>
      <c r="K36" s="46"/>
      <c r="L36" s="47">
        <v>0</v>
      </c>
      <c r="M36" s="27">
        <v>30</v>
      </c>
      <c r="N36" s="27">
        <v>0.4</v>
      </c>
      <c r="O36" s="27">
        <v>80</v>
      </c>
      <c r="R36" s="46"/>
      <c r="S36" s="86">
        <v>0</v>
      </c>
      <c r="T36" s="87">
        <v>30</v>
      </c>
      <c r="U36" s="87">
        <v>0.4</v>
      </c>
      <c r="V36" s="87">
        <v>80</v>
      </c>
      <c r="W36" s="109">
        <f>T36+(5/U36)</f>
        <v>42.5</v>
      </c>
      <c r="X36" s="87"/>
      <c r="Y36" s="87"/>
      <c r="Z36" s="87"/>
      <c r="AA36" s="87"/>
      <c r="AB36" s="87"/>
      <c r="AC36" s="87"/>
      <c r="AD36" s="87"/>
    </row>
    <row r="37" spans="1:33">
      <c r="A37" s="18"/>
      <c r="B37" s="6" t="s">
        <v>120</v>
      </c>
      <c r="C37" s="6"/>
      <c r="D37" s="18"/>
      <c r="E37" s="18"/>
      <c r="F37" s="18"/>
      <c r="I37" s="18"/>
      <c r="J37" s="18"/>
      <c r="M37" s="18"/>
      <c r="N37" s="18"/>
      <c r="O37" s="18"/>
      <c r="P37" s="18"/>
      <c r="Q37" s="18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18"/>
      <c r="AF37" s="18"/>
      <c r="AG37" s="18"/>
    </row>
    <row r="38" spans="1:33">
      <c r="A38" s="18"/>
      <c r="B38" s="6" t="s">
        <v>139</v>
      </c>
      <c r="C38" s="6"/>
      <c r="D38" s="18"/>
      <c r="E38" s="18"/>
      <c r="F38" s="18"/>
      <c r="I38" s="18"/>
      <c r="J38" s="18"/>
      <c r="M38" s="18"/>
      <c r="N38" s="18"/>
      <c r="O38" s="18"/>
      <c r="P38" s="18"/>
      <c r="Q38" s="18"/>
      <c r="T38" s="85"/>
      <c r="U38" s="85"/>
      <c r="V38" s="85"/>
      <c r="W38" s="85"/>
      <c r="X38" s="85">
        <v>20</v>
      </c>
      <c r="Y38" s="85">
        <v>0.7</v>
      </c>
      <c r="Z38" s="85"/>
      <c r="AA38" s="104">
        <f>X38+(5/Y38)</f>
        <v>27.142857142857142</v>
      </c>
      <c r="AB38" s="104"/>
      <c r="AC38" s="104"/>
      <c r="AD38" s="104"/>
      <c r="AE38" s="18"/>
      <c r="AF38" s="18"/>
      <c r="AG38" s="18"/>
    </row>
    <row r="39" spans="1:33">
      <c r="A39" s="18"/>
      <c r="B39" s="6" t="s">
        <v>121</v>
      </c>
      <c r="C39" s="6"/>
      <c r="D39" s="18"/>
      <c r="E39" s="18"/>
      <c r="F39" s="18"/>
      <c r="I39" s="18"/>
      <c r="J39" s="18"/>
      <c r="M39" s="18"/>
      <c r="N39" s="18"/>
      <c r="O39" s="18"/>
      <c r="P39" s="18"/>
      <c r="Q39" s="18"/>
      <c r="T39" s="85"/>
      <c r="U39" s="85"/>
      <c r="V39" s="85"/>
      <c r="W39" s="85"/>
      <c r="X39" s="85">
        <v>20</v>
      </c>
      <c r="Y39" s="85">
        <v>0.7</v>
      </c>
      <c r="Z39" s="85"/>
      <c r="AA39" s="104">
        <f>X39+(5/Y39)</f>
        <v>27.142857142857142</v>
      </c>
      <c r="AB39" s="104"/>
      <c r="AC39" s="104"/>
      <c r="AD39" s="104"/>
      <c r="AE39" s="18"/>
      <c r="AF39" s="18"/>
      <c r="AG39" s="18"/>
    </row>
    <row r="40" spans="1:33">
      <c r="A40" s="18"/>
      <c r="B40" s="6" t="s">
        <v>136</v>
      </c>
      <c r="C40" s="6"/>
      <c r="D40" s="18"/>
      <c r="E40" s="18"/>
      <c r="F40" s="18"/>
      <c r="I40" s="18"/>
      <c r="J40" s="18"/>
      <c r="M40" s="18"/>
      <c r="N40" s="18"/>
      <c r="O40" s="18"/>
      <c r="P40" s="18"/>
      <c r="Q40" s="18"/>
      <c r="S40" s="79">
        <v>0</v>
      </c>
      <c r="T40" s="85">
        <v>30</v>
      </c>
      <c r="U40" s="85">
        <v>0.4</v>
      </c>
      <c r="V40" s="85">
        <v>80</v>
      </c>
      <c r="W40" s="104">
        <f>T40+(5/U40)</f>
        <v>42.5</v>
      </c>
      <c r="X40" s="85"/>
      <c r="Y40" s="85"/>
      <c r="Z40" s="85"/>
      <c r="AA40" s="85"/>
      <c r="AB40" s="85"/>
      <c r="AC40" s="85"/>
      <c r="AD40" s="85"/>
      <c r="AE40" s="18"/>
      <c r="AF40" s="18"/>
      <c r="AG40" s="18"/>
    </row>
    <row r="41" spans="1:33" ht="16" thickBot="1">
      <c r="A41" s="18"/>
      <c r="B41" s="6" t="s">
        <v>137</v>
      </c>
      <c r="C41" s="6"/>
      <c r="D41" s="18"/>
      <c r="E41" s="18"/>
      <c r="F41" s="18"/>
      <c r="I41" s="18"/>
      <c r="J41" s="18"/>
      <c r="L41" s="43">
        <v>0</v>
      </c>
      <c r="M41" s="18">
        <v>30</v>
      </c>
      <c r="N41" s="18">
        <v>0.4</v>
      </c>
      <c r="O41" s="18">
        <v>80</v>
      </c>
      <c r="P41" s="18"/>
      <c r="Q41" s="18"/>
      <c r="S41" s="79">
        <v>0</v>
      </c>
      <c r="T41" s="85">
        <v>30</v>
      </c>
      <c r="U41" s="85">
        <v>0.4</v>
      </c>
      <c r="V41" s="85">
        <v>80</v>
      </c>
      <c r="W41" s="104">
        <f>T41+(5/U41)</f>
        <v>42.5</v>
      </c>
      <c r="X41" s="80">
        <v>20</v>
      </c>
      <c r="Y41" s="80">
        <v>0.7</v>
      </c>
      <c r="AA41" s="104">
        <f>X41+(5/Y41)</f>
        <v>27.142857142857142</v>
      </c>
      <c r="AB41" s="104"/>
      <c r="AC41" s="104"/>
      <c r="AD41" s="104"/>
      <c r="AE41" s="18"/>
      <c r="AF41" s="18"/>
      <c r="AG41" s="18"/>
    </row>
    <row r="42" spans="1:33" s="21" customFormat="1">
      <c r="A42" s="30"/>
      <c r="B42" s="20" t="s">
        <v>138</v>
      </c>
      <c r="C42" s="20"/>
      <c r="G42" s="44"/>
      <c r="H42" s="45"/>
      <c r="K42" s="44"/>
      <c r="L42" s="45"/>
      <c r="R42" s="44"/>
      <c r="S42" s="83">
        <v>0</v>
      </c>
      <c r="T42" s="84">
        <v>30</v>
      </c>
      <c r="U42" s="84">
        <v>0.4</v>
      </c>
      <c r="V42" s="84">
        <v>80</v>
      </c>
      <c r="W42" s="104">
        <f>T42+(5/U42)</f>
        <v>42.5</v>
      </c>
      <c r="X42" s="84">
        <v>20</v>
      </c>
      <c r="Y42" s="84">
        <v>0.7</v>
      </c>
      <c r="Z42" s="84"/>
      <c r="AA42" s="110">
        <f>X42+(5/Y42)</f>
        <v>27.142857142857142</v>
      </c>
      <c r="AB42" s="110"/>
      <c r="AC42" s="110"/>
      <c r="AD42" s="110"/>
    </row>
    <row r="43" spans="1:33" s="18" customFormat="1">
      <c r="A43" s="24">
        <v>610430</v>
      </c>
      <c r="B43" s="6" t="s">
        <v>122</v>
      </c>
      <c r="C43" s="6">
        <v>0</v>
      </c>
      <c r="D43">
        <v>25</v>
      </c>
      <c r="E43">
        <v>25</v>
      </c>
      <c r="G43" s="42"/>
      <c r="H43" s="43"/>
      <c r="K43" s="42"/>
      <c r="L43" s="43"/>
      <c r="R43" s="42"/>
      <c r="S43" s="79">
        <v>0</v>
      </c>
      <c r="T43" s="80">
        <v>20</v>
      </c>
      <c r="U43" s="80">
        <v>0.8</v>
      </c>
      <c r="V43" s="80">
        <v>40</v>
      </c>
      <c r="W43" s="104">
        <f>T43+(5/U43)</f>
        <v>26.25</v>
      </c>
      <c r="X43" s="85"/>
      <c r="Y43" s="85"/>
      <c r="Z43" s="85"/>
      <c r="AA43" s="85"/>
      <c r="AB43" s="85"/>
      <c r="AC43" s="85"/>
      <c r="AD43" s="85"/>
    </row>
    <row r="44" spans="1:33" s="27" customFormat="1" ht="16" thickBot="1">
      <c r="A44" s="25">
        <v>610430</v>
      </c>
      <c r="B44" s="26" t="s">
        <v>123</v>
      </c>
      <c r="C44" s="26">
        <v>50</v>
      </c>
      <c r="D44" s="39" t="s">
        <v>185</v>
      </c>
      <c r="E44" s="39" t="s">
        <v>185</v>
      </c>
      <c r="G44" s="46"/>
      <c r="H44" s="47"/>
      <c r="K44" s="46"/>
      <c r="L44" s="47"/>
      <c r="R44" s="46"/>
      <c r="S44" s="86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</row>
    <row r="45" spans="1:33" s="21" customFormat="1">
      <c r="A45" s="19">
        <v>610430</v>
      </c>
      <c r="B45" s="20" t="s">
        <v>133</v>
      </c>
      <c r="C45" s="20"/>
      <c r="G45" s="44"/>
      <c r="H45" s="45"/>
      <c r="K45" s="44"/>
      <c r="L45" s="45"/>
      <c r="R45" s="44"/>
      <c r="S45" s="83"/>
      <c r="T45" s="84"/>
      <c r="U45" s="84"/>
      <c r="V45" s="84"/>
      <c r="W45" s="85"/>
      <c r="X45" s="84">
        <v>15</v>
      </c>
      <c r="Y45" s="84">
        <v>0.8</v>
      </c>
      <c r="Z45" s="84"/>
      <c r="AA45" s="110">
        <f>X45+(5/Y45)</f>
        <v>21.25</v>
      </c>
      <c r="AB45" s="110"/>
      <c r="AC45" s="110"/>
      <c r="AD45" s="110"/>
    </row>
    <row r="46" spans="1:33" s="18" customFormat="1">
      <c r="A46" s="24">
        <v>610430</v>
      </c>
      <c r="B46" s="6" t="s">
        <v>124</v>
      </c>
      <c r="C46" s="6"/>
      <c r="G46" s="42"/>
      <c r="H46" s="43"/>
      <c r="K46" s="42"/>
      <c r="L46" s="43"/>
      <c r="R46" s="42"/>
      <c r="S46" s="79"/>
      <c r="T46" s="85"/>
      <c r="U46" s="85"/>
      <c r="V46" s="85"/>
      <c r="W46" s="85"/>
      <c r="X46" s="85">
        <v>15</v>
      </c>
      <c r="Y46" s="85">
        <v>0.8</v>
      </c>
      <c r="Z46" s="85"/>
      <c r="AA46" s="104">
        <f>X46+(5/Y46)</f>
        <v>21.25</v>
      </c>
      <c r="AB46" s="104"/>
      <c r="AC46" s="104"/>
      <c r="AD46" s="104"/>
    </row>
    <row r="47" spans="1:33" s="27" customFormat="1" ht="16" thickBot="1">
      <c r="A47" s="25">
        <v>610430</v>
      </c>
      <c r="B47" s="26" t="s">
        <v>130</v>
      </c>
      <c r="C47" s="26">
        <v>25</v>
      </c>
      <c r="D47" s="27">
        <v>50</v>
      </c>
      <c r="E47" s="27">
        <v>50</v>
      </c>
      <c r="G47" s="46"/>
      <c r="H47" s="47"/>
      <c r="K47" s="46"/>
      <c r="L47" s="47"/>
      <c r="R47" s="46"/>
      <c r="S47" s="86">
        <v>0</v>
      </c>
      <c r="T47" s="87">
        <v>20</v>
      </c>
      <c r="U47" s="87">
        <v>0.8</v>
      </c>
      <c r="V47" s="87">
        <v>40</v>
      </c>
      <c r="W47" s="109">
        <f>T47+(5/U47)</f>
        <v>26.25</v>
      </c>
      <c r="X47" s="87"/>
      <c r="Y47" s="87"/>
      <c r="Z47" s="87"/>
      <c r="AA47" s="87"/>
      <c r="AB47" s="87"/>
      <c r="AC47" s="87"/>
      <c r="AD47" s="87"/>
    </row>
    <row r="48" spans="1:33" s="21" customFormat="1">
      <c r="A48" s="19">
        <v>610430</v>
      </c>
      <c r="B48" s="20" t="s">
        <v>131</v>
      </c>
      <c r="C48" s="20"/>
      <c r="G48" s="44"/>
      <c r="H48" s="45"/>
      <c r="K48" s="44"/>
      <c r="L48" s="45"/>
      <c r="R48" s="44"/>
      <c r="S48" s="83">
        <v>0</v>
      </c>
      <c r="T48" s="84">
        <v>20</v>
      </c>
      <c r="U48" s="84">
        <v>0.8</v>
      </c>
      <c r="V48" s="84">
        <v>40</v>
      </c>
      <c r="W48" s="104">
        <f>T48+(5/U48)</f>
        <v>26.25</v>
      </c>
      <c r="X48" s="84">
        <v>15</v>
      </c>
      <c r="Y48" s="84">
        <v>0.8</v>
      </c>
      <c r="Z48" s="84"/>
      <c r="AA48" s="110">
        <f>X48+(5/Y48)</f>
        <v>21.25</v>
      </c>
      <c r="AB48" s="110"/>
      <c r="AC48" s="110"/>
      <c r="AD48" s="110"/>
    </row>
    <row r="49" spans="1:33" s="18" customFormat="1">
      <c r="A49" s="24">
        <v>610430</v>
      </c>
      <c r="B49" s="6" t="s">
        <v>132</v>
      </c>
      <c r="C49" s="6"/>
      <c r="D49"/>
      <c r="E49"/>
      <c r="G49" s="42"/>
      <c r="H49" s="43"/>
      <c r="K49" s="42"/>
      <c r="L49" s="43"/>
      <c r="R49" s="42"/>
      <c r="S49" s="79">
        <v>0</v>
      </c>
      <c r="T49" s="80">
        <v>20</v>
      </c>
      <c r="U49" s="80">
        <v>0.8</v>
      </c>
      <c r="V49" s="80">
        <v>40</v>
      </c>
      <c r="W49" s="104">
        <f>T49+(5/U49)</f>
        <v>26.25</v>
      </c>
      <c r="X49" s="80">
        <v>15</v>
      </c>
      <c r="Y49" s="80">
        <v>0.8</v>
      </c>
      <c r="Z49" s="80"/>
      <c r="AA49" s="104">
        <f>X49+(5/Y49)</f>
        <v>21.25</v>
      </c>
      <c r="AB49" s="104"/>
      <c r="AC49" s="104"/>
      <c r="AD49" s="104"/>
    </row>
    <row r="50" spans="1:33" s="18" customFormat="1">
      <c r="A50" s="24">
        <v>611520</v>
      </c>
      <c r="B50" s="6" t="s">
        <v>22</v>
      </c>
      <c r="C50" s="6">
        <v>0</v>
      </c>
      <c r="D50" s="18">
        <v>5</v>
      </c>
      <c r="E50" s="18">
        <v>5</v>
      </c>
      <c r="G50" s="42"/>
      <c r="H50" s="43"/>
      <c r="K50" s="42"/>
      <c r="L50" s="43">
        <v>0</v>
      </c>
      <c r="M50" s="18">
        <v>10</v>
      </c>
      <c r="N50" s="18">
        <v>1</v>
      </c>
      <c r="O50" s="18">
        <v>10</v>
      </c>
      <c r="R50" s="42"/>
      <c r="S50" s="79">
        <v>0</v>
      </c>
      <c r="T50" s="85">
        <v>10</v>
      </c>
      <c r="U50" s="85">
        <v>1</v>
      </c>
      <c r="V50" s="85">
        <v>10</v>
      </c>
      <c r="W50" s="104">
        <f>V50-T50</f>
        <v>0</v>
      </c>
      <c r="X50" s="85"/>
      <c r="Y50" s="85"/>
      <c r="Z50" s="85"/>
      <c r="AA50" s="85"/>
      <c r="AB50" s="85"/>
      <c r="AC50" s="85"/>
      <c r="AD50" s="85"/>
    </row>
    <row r="51" spans="1:33" s="18" customFormat="1">
      <c r="A51" s="24">
        <v>611520</v>
      </c>
      <c r="B51" s="6" t="s">
        <v>126</v>
      </c>
      <c r="C51" s="6">
        <v>25</v>
      </c>
      <c r="D51" s="37" t="s">
        <v>185</v>
      </c>
      <c r="E51" s="37" t="s">
        <v>185</v>
      </c>
      <c r="G51" s="42"/>
      <c r="H51" s="43"/>
      <c r="K51" s="42"/>
      <c r="L51" s="43"/>
      <c r="R51" s="42"/>
      <c r="S51" s="79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</row>
    <row r="52" spans="1:33" s="18" customFormat="1">
      <c r="A52" s="24">
        <v>611520</v>
      </c>
      <c r="B52" s="6" t="s">
        <v>125</v>
      </c>
      <c r="C52" s="6">
        <v>5</v>
      </c>
      <c r="D52" s="18">
        <v>25</v>
      </c>
      <c r="E52" s="18">
        <v>25</v>
      </c>
      <c r="G52" s="42"/>
      <c r="H52" s="43"/>
      <c r="K52" s="42"/>
      <c r="L52" s="43">
        <v>0</v>
      </c>
      <c r="M52" s="18">
        <v>20</v>
      </c>
      <c r="N52" s="18">
        <v>1</v>
      </c>
      <c r="O52" s="6">
        <v>20</v>
      </c>
      <c r="R52" s="42"/>
      <c r="S52" s="79">
        <v>0</v>
      </c>
      <c r="T52" s="85">
        <v>20</v>
      </c>
      <c r="U52" s="85">
        <v>1</v>
      </c>
      <c r="V52" s="85">
        <v>20</v>
      </c>
      <c r="W52" s="104">
        <f>V52-T52</f>
        <v>0</v>
      </c>
      <c r="X52" s="85"/>
      <c r="Y52" s="85"/>
      <c r="Z52" s="85"/>
      <c r="AA52" s="85"/>
      <c r="AB52" s="85"/>
      <c r="AC52" s="85"/>
      <c r="AD52" s="85"/>
    </row>
    <row r="53" spans="1:33" s="18" customFormat="1">
      <c r="A53" s="24">
        <v>611140</v>
      </c>
      <c r="B53" s="6" t="s">
        <v>23</v>
      </c>
      <c r="C53" s="6">
        <v>0</v>
      </c>
      <c r="D53">
        <v>20</v>
      </c>
      <c r="E53">
        <v>20</v>
      </c>
      <c r="F53"/>
      <c r="G53" s="42"/>
      <c r="H53" s="43"/>
      <c r="I53"/>
      <c r="J53"/>
      <c r="K53" s="42"/>
      <c r="L53" s="43">
        <v>0</v>
      </c>
      <c r="M53">
        <v>20</v>
      </c>
      <c r="N53">
        <v>0.6</v>
      </c>
      <c r="O53">
        <v>60</v>
      </c>
      <c r="P53"/>
      <c r="Q53"/>
      <c r="R53" s="42"/>
      <c r="S53" s="79">
        <v>0</v>
      </c>
      <c r="T53" s="80">
        <v>20</v>
      </c>
      <c r="U53" s="80">
        <v>0.6</v>
      </c>
      <c r="V53" s="80">
        <v>60</v>
      </c>
      <c r="W53" s="104">
        <f>T53+(5/U53)</f>
        <v>28.333333333333336</v>
      </c>
      <c r="X53" s="80"/>
      <c r="Y53" s="80"/>
      <c r="Z53" s="80"/>
      <c r="AA53" s="80"/>
      <c r="AB53" s="80"/>
      <c r="AC53" s="80"/>
      <c r="AD53" s="80"/>
      <c r="AE53"/>
      <c r="AF53"/>
      <c r="AG53"/>
    </row>
    <row r="54" spans="1:33" s="27" customFormat="1" ht="16" thickBot="1">
      <c r="A54" s="25">
        <v>611140</v>
      </c>
      <c r="B54" s="26" t="s">
        <v>24</v>
      </c>
      <c r="C54" s="26">
        <v>100</v>
      </c>
      <c r="D54" s="39" t="s">
        <v>185</v>
      </c>
      <c r="E54" s="39" t="s">
        <v>185</v>
      </c>
      <c r="G54" s="46"/>
      <c r="H54" s="47"/>
      <c r="K54" s="46"/>
      <c r="L54" s="47"/>
      <c r="R54" s="46"/>
      <c r="S54" s="86"/>
      <c r="T54" s="87"/>
      <c r="U54" s="87"/>
      <c r="V54" s="87"/>
      <c r="W54" s="87"/>
      <c r="X54" s="87"/>
      <c r="Y54" s="87"/>
      <c r="Z54" s="87"/>
      <c r="AA54" s="80"/>
      <c r="AB54" s="80"/>
      <c r="AC54" s="80"/>
      <c r="AD54" s="80"/>
    </row>
    <row r="55" spans="1:33">
      <c r="A55" s="6">
        <v>611140</v>
      </c>
      <c r="B55" s="6" t="s">
        <v>148</v>
      </c>
      <c r="C55" s="6"/>
      <c r="X55" s="80">
        <v>10</v>
      </c>
      <c r="Y55" s="80">
        <v>0.7</v>
      </c>
      <c r="AA55" s="104">
        <f>X55+(5/Y55)</f>
        <v>17.142857142857142</v>
      </c>
      <c r="AB55" s="104"/>
      <c r="AC55" s="104"/>
      <c r="AD55" s="104"/>
    </row>
    <row r="56" spans="1:33">
      <c r="A56" s="6">
        <v>611140</v>
      </c>
      <c r="B56" s="6" t="s">
        <v>25</v>
      </c>
      <c r="C56" s="6">
        <v>60</v>
      </c>
      <c r="D56" t="s">
        <v>190</v>
      </c>
      <c r="E56" s="35" t="s">
        <v>185</v>
      </c>
      <c r="F56" t="s">
        <v>193</v>
      </c>
      <c r="P56">
        <v>20</v>
      </c>
      <c r="Q56">
        <v>0.7</v>
      </c>
      <c r="R56" s="42">
        <v>60</v>
      </c>
      <c r="X56" s="80">
        <v>10</v>
      </c>
      <c r="Y56" s="80">
        <v>0.7</v>
      </c>
      <c r="Z56" s="80">
        <f>24/2</f>
        <v>12</v>
      </c>
      <c r="AA56" s="104">
        <f>X56+(5/Y56)</f>
        <v>17.142857142857142</v>
      </c>
      <c r="AB56" s="104"/>
      <c r="AC56" s="104"/>
      <c r="AD56" s="104"/>
      <c r="AE56" s="18"/>
      <c r="AF56" s="18"/>
    </row>
    <row r="57" spans="1:33">
      <c r="A57" s="6">
        <v>611140</v>
      </c>
      <c r="B57" s="6" t="s">
        <v>127</v>
      </c>
      <c r="C57" s="6"/>
      <c r="S57" s="79">
        <v>0</v>
      </c>
      <c r="T57" s="80">
        <v>40</v>
      </c>
      <c r="U57" s="80">
        <v>0.7</v>
      </c>
      <c r="V57" s="80">
        <v>70</v>
      </c>
      <c r="W57" s="104">
        <f>T57+(5/U57)</f>
        <v>47.142857142857146</v>
      </c>
    </row>
    <row r="58" spans="1:33">
      <c r="A58" s="6">
        <v>611140</v>
      </c>
      <c r="B58" s="6" t="s">
        <v>128</v>
      </c>
      <c r="C58" s="6"/>
      <c r="L58" s="43">
        <v>0</v>
      </c>
      <c r="M58">
        <v>40</v>
      </c>
      <c r="N58">
        <v>0.7</v>
      </c>
      <c r="O58">
        <v>70</v>
      </c>
      <c r="S58" s="79">
        <v>0</v>
      </c>
      <c r="T58" s="80">
        <v>40</v>
      </c>
      <c r="U58" s="80">
        <v>0.7</v>
      </c>
      <c r="V58" s="80">
        <v>70</v>
      </c>
      <c r="W58" s="104">
        <f>T58+(5/U58)</f>
        <v>47.142857142857146</v>
      </c>
      <c r="X58" s="80">
        <v>15</v>
      </c>
      <c r="Y58" s="80">
        <v>0.7</v>
      </c>
      <c r="AA58" s="104">
        <f>X58+(5/Y58)</f>
        <v>22.142857142857142</v>
      </c>
      <c r="AB58" s="104"/>
      <c r="AC58" s="104"/>
      <c r="AD58" s="104"/>
    </row>
    <row r="59" spans="1:33">
      <c r="A59" s="6">
        <v>611140</v>
      </c>
      <c r="B59" s="6" t="s">
        <v>129</v>
      </c>
      <c r="C59" s="6">
        <v>20</v>
      </c>
      <c r="D59">
        <v>60</v>
      </c>
      <c r="E59">
        <v>60</v>
      </c>
      <c r="S59" s="79">
        <v>0</v>
      </c>
      <c r="T59" s="80">
        <v>40</v>
      </c>
      <c r="U59" s="80">
        <v>0.7</v>
      </c>
      <c r="V59" s="80">
        <v>70</v>
      </c>
      <c r="W59" s="104">
        <f>T59+(5/U59)</f>
        <v>47.142857142857146</v>
      </c>
      <c r="X59" s="80">
        <v>15</v>
      </c>
      <c r="Y59" s="80">
        <v>0.7</v>
      </c>
      <c r="Z59" s="80" t="s">
        <v>365</v>
      </c>
      <c r="AA59" s="104">
        <f>X59+(5/Y59)</f>
        <v>22.142857142857142</v>
      </c>
      <c r="AB59" s="104"/>
      <c r="AC59" s="104"/>
      <c r="AD59" s="104"/>
    </row>
    <row r="60" spans="1:33">
      <c r="A60" s="6">
        <v>610300</v>
      </c>
      <c r="B60" s="6" t="s">
        <v>26</v>
      </c>
      <c r="C60" s="6">
        <v>0</v>
      </c>
      <c r="D60" s="18" t="s">
        <v>187</v>
      </c>
      <c r="E60" s="18">
        <v>25</v>
      </c>
      <c r="F60" s="18" t="s">
        <v>192</v>
      </c>
      <c r="H60" s="43">
        <v>0</v>
      </c>
      <c r="I60" s="18">
        <v>25</v>
      </c>
      <c r="J60" s="18">
        <v>0.3</v>
      </c>
      <c r="K60" s="42">
        <v>55</v>
      </c>
      <c r="L60" s="43">
        <v>0</v>
      </c>
      <c r="M60" s="18">
        <v>20</v>
      </c>
      <c r="N60" s="18" t="s">
        <v>221</v>
      </c>
      <c r="O60" s="18">
        <v>50</v>
      </c>
      <c r="P60" s="18" t="s">
        <v>222</v>
      </c>
      <c r="Q60" s="18"/>
      <c r="S60" s="79">
        <v>0</v>
      </c>
      <c r="T60" s="85">
        <v>20</v>
      </c>
      <c r="U60" s="85" t="s">
        <v>221</v>
      </c>
      <c r="V60" s="85">
        <v>40</v>
      </c>
      <c r="W60" s="104">
        <f>T60+(5/0.7)</f>
        <v>27.142857142857142</v>
      </c>
      <c r="X60" s="85"/>
      <c r="Y60" s="85"/>
      <c r="Z60" s="85"/>
      <c r="AA60" s="85"/>
      <c r="AB60" s="85"/>
      <c r="AC60" s="85"/>
      <c r="AD60" s="85"/>
      <c r="AE60" s="18"/>
      <c r="AF60" s="18"/>
      <c r="AG60" s="18"/>
    </row>
    <row r="61" spans="1:33" ht="16" thickBot="1">
      <c r="A61" s="6">
        <v>610300</v>
      </c>
      <c r="B61" s="6" t="s">
        <v>108</v>
      </c>
      <c r="C61" s="6"/>
      <c r="D61" s="18"/>
      <c r="E61" s="18"/>
      <c r="F61" s="18"/>
      <c r="H61" s="36">
        <v>150</v>
      </c>
      <c r="I61" s="37" t="s">
        <v>185</v>
      </c>
      <c r="J61" s="18"/>
      <c r="K61" s="48" t="s">
        <v>185</v>
      </c>
      <c r="M61" s="18"/>
      <c r="N61" s="18"/>
      <c r="O61" s="18"/>
      <c r="P61" s="18"/>
      <c r="Q61" s="18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27"/>
      <c r="AF61" s="27"/>
      <c r="AG61" s="18"/>
    </row>
    <row r="62" spans="1:33" s="21" customFormat="1">
      <c r="A62" s="19">
        <v>610300</v>
      </c>
      <c r="B62" s="20" t="s">
        <v>150</v>
      </c>
      <c r="C62" s="20"/>
      <c r="G62" s="44"/>
      <c r="H62" s="45"/>
      <c r="K62" s="44"/>
      <c r="L62" s="45"/>
      <c r="R62" s="44"/>
      <c r="S62" s="83"/>
      <c r="T62" s="84"/>
      <c r="U62" s="84"/>
      <c r="V62" s="84"/>
      <c r="W62" s="85"/>
      <c r="X62" s="84">
        <v>15</v>
      </c>
      <c r="Y62" s="84">
        <v>0.7</v>
      </c>
      <c r="Z62" s="84"/>
      <c r="AA62" s="110">
        <f>X62+(5/Y62)</f>
        <v>22.142857142857142</v>
      </c>
      <c r="AB62" s="110"/>
      <c r="AC62" s="110"/>
      <c r="AD62" s="110"/>
    </row>
    <row r="63" spans="1:33" s="18" customFormat="1">
      <c r="A63" s="24">
        <v>610300</v>
      </c>
      <c r="B63" s="8" t="s">
        <v>109</v>
      </c>
      <c r="C63" s="8"/>
      <c r="G63" s="42"/>
      <c r="H63" s="43">
        <v>180</v>
      </c>
      <c r="I63" s="18" t="s">
        <v>205</v>
      </c>
      <c r="K63" s="48" t="s">
        <v>185</v>
      </c>
      <c r="L63" s="43"/>
      <c r="R63" s="42"/>
      <c r="S63" s="79"/>
      <c r="T63" s="85"/>
      <c r="U63" s="85"/>
      <c r="V63" s="85"/>
      <c r="W63" s="85"/>
      <c r="X63" s="85">
        <v>15</v>
      </c>
      <c r="Y63" s="85">
        <v>0.7</v>
      </c>
      <c r="Z63" s="85">
        <f>30/2</f>
        <v>15</v>
      </c>
      <c r="AA63" s="104">
        <f>X63+(5/Y63)</f>
        <v>22.142857142857142</v>
      </c>
      <c r="AB63" s="104"/>
      <c r="AC63" s="104"/>
      <c r="AD63" s="104"/>
      <c r="AE63" s="18" t="s">
        <v>367</v>
      </c>
    </row>
    <row r="64" spans="1:33" s="18" customFormat="1">
      <c r="A64" s="24">
        <v>610300</v>
      </c>
      <c r="B64" s="6" t="s">
        <v>27</v>
      </c>
      <c r="C64" s="6">
        <v>25</v>
      </c>
      <c r="D64" s="38" t="s">
        <v>185</v>
      </c>
      <c r="E64" s="37" t="s">
        <v>185</v>
      </c>
      <c r="G64" s="42"/>
      <c r="H64" s="43">
        <v>25</v>
      </c>
      <c r="I64" s="18">
        <v>150</v>
      </c>
      <c r="K64" s="42">
        <v>150</v>
      </c>
      <c r="L64" s="36">
        <v>0</v>
      </c>
      <c r="M64" s="6">
        <v>80</v>
      </c>
      <c r="N64" s="6">
        <v>0.4</v>
      </c>
      <c r="O64" s="6">
        <v>150</v>
      </c>
      <c r="R64" s="42"/>
      <c r="S64" s="79">
        <v>0</v>
      </c>
      <c r="T64" s="85">
        <v>80</v>
      </c>
      <c r="U64" s="85">
        <v>0.3</v>
      </c>
      <c r="V64" s="85">
        <v>150</v>
      </c>
      <c r="W64" s="104">
        <f>T64+(5/U64)</f>
        <v>96.666666666666671</v>
      </c>
      <c r="X64" s="85"/>
      <c r="Y64" s="85"/>
      <c r="Z64" s="85"/>
      <c r="AA64" s="85"/>
      <c r="AB64" s="85"/>
      <c r="AC64" s="85"/>
      <c r="AD64" s="85"/>
      <c r="AE64" s="18" t="s">
        <v>281</v>
      </c>
    </row>
    <row r="65" spans="1:33" s="18" customFormat="1">
      <c r="A65" s="24">
        <v>610300</v>
      </c>
      <c r="B65" s="6" t="s">
        <v>149</v>
      </c>
      <c r="C65" s="6"/>
      <c r="G65" s="42"/>
      <c r="H65" s="43"/>
      <c r="K65" s="42"/>
      <c r="L65" s="43"/>
      <c r="R65" s="42"/>
      <c r="S65" s="79">
        <v>0</v>
      </c>
      <c r="T65" s="85">
        <v>110</v>
      </c>
      <c r="U65" s="85">
        <v>0.3</v>
      </c>
      <c r="V65" s="85">
        <v>180</v>
      </c>
      <c r="W65" s="104">
        <f>T65+(5/U65)</f>
        <v>126.66666666666667</v>
      </c>
      <c r="X65" s="85">
        <v>15</v>
      </c>
      <c r="Y65" s="85">
        <v>0.7</v>
      </c>
      <c r="Z65" s="85"/>
      <c r="AA65" s="104">
        <f>X65+(5/Y65)</f>
        <v>22.142857142857142</v>
      </c>
      <c r="AB65" s="104"/>
      <c r="AC65" s="104"/>
      <c r="AD65" s="104"/>
    </row>
    <row r="66" spans="1:33" s="18" customFormat="1">
      <c r="A66" s="24">
        <v>610300</v>
      </c>
      <c r="B66" s="6" t="s">
        <v>28</v>
      </c>
      <c r="C66" s="6">
        <v>25</v>
      </c>
      <c r="D66" s="6" t="s">
        <v>187</v>
      </c>
      <c r="E66" s="37" t="s">
        <v>191</v>
      </c>
      <c r="F66" s="6" t="s">
        <v>192</v>
      </c>
      <c r="G66" s="42"/>
      <c r="H66" s="43">
        <v>25</v>
      </c>
      <c r="I66" s="6" t="s">
        <v>205</v>
      </c>
      <c r="K66" s="42">
        <v>180</v>
      </c>
      <c r="L66" s="36">
        <v>0</v>
      </c>
      <c r="M66" s="6">
        <v>150</v>
      </c>
      <c r="N66" s="6">
        <v>0.4</v>
      </c>
      <c r="O66" s="6">
        <v>230</v>
      </c>
      <c r="P66" s="6">
        <v>30</v>
      </c>
      <c r="Q66" s="6">
        <v>0.7</v>
      </c>
      <c r="R66" s="42"/>
      <c r="S66" s="79">
        <v>0</v>
      </c>
      <c r="T66" s="85">
        <v>150</v>
      </c>
      <c r="U66" s="85">
        <v>0.3</v>
      </c>
      <c r="V66" s="85">
        <v>230</v>
      </c>
      <c r="W66" s="104">
        <f>T66+(5/U66)</f>
        <v>166.66666666666666</v>
      </c>
      <c r="X66" s="85">
        <v>15</v>
      </c>
      <c r="Y66" s="85">
        <v>0.7</v>
      </c>
      <c r="Z66" s="85">
        <f>30/2</f>
        <v>15</v>
      </c>
      <c r="AA66" s="104">
        <f>X66+(5/Y66)</f>
        <v>22.142857142857142</v>
      </c>
      <c r="AB66" s="104"/>
      <c r="AC66" s="104"/>
      <c r="AD66" s="104"/>
      <c r="AE66" s="18" t="s">
        <v>367</v>
      </c>
    </row>
    <row r="67" spans="1:33" s="18" customFormat="1">
      <c r="A67" s="24"/>
      <c r="B67" s="6" t="s">
        <v>29</v>
      </c>
      <c r="C67" s="6"/>
      <c r="D67"/>
      <c r="E67"/>
      <c r="F67"/>
      <c r="G67" s="42"/>
      <c r="H67" s="43"/>
      <c r="I67"/>
      <c r="J67"/>
      <c r="K67" s="42"/>
      <c r="L67" s="43">
        <v>0</v>
      </c>
      <c r="M67">
        <v>50</v>
      </c>
      <c r="N67">
        <v>0.2</v>
      </c>
      <c r="O67">
        <v>100</v>
      </c>
      <c r="P67"/>
      <c r="Q67"/>
      <c r="R67" s="42"/>
      <c r="S67" s="79">
        <v>0</v>
      </c>
      <c r="T67" s="80">
        <v>50</v>
      </c>
      <c r="U67" s="80">
        <v>0.2</v>
      </c>
      <c r="V67" s="80">
        <v>100</v>
      </c>
      <c r="W67" s="104">
        <f>T67+(5/U67)</f>
        <v>75</v>
      </c>
      <c r="X67" s="80"/>
      <c r="Y67" s="80"/>
      <c r="Z67" s="80"/>
      <c r="AA67" s="80"/>
      <c r="AB67" s="80"/>
      <c r="AC67" s="80"/>
      <c r="AD67" s="80"/>
      <c r="AE67"/>
      <c r="AF67"/>
      <c r="AG67"/>
    </row>
    <row r="68" spans="1:33" s="27" customFormat="1" ht="16" thickBot="1">
      <c r="A68" s="25"/>
      <c r="B68" s="26" t="s">
        <v>176</v>
      </c>
      <c r="C68" s="26"/>
      <c r="G68" s="46"/>
      <c r="H68" s="47"/>
      <c r="K68" s="46"/>
      <c r="L68" s="47"/>
      <c r="R68" s="46"/>
      <c r="S68" s="86"/>
      <c r="T68" s="87"/>
      <c r="U68" s="87"/>
      <c r="V68" s="87"/>
      <c r="W68" s="87"/>
      <c r="X68" s="87">
        <v>25</v>
      </c>
      <c r="Y68" s="87">
        <v>0.7</v>
      </c>
      <c r="Z68" s="80"/>
      <c r="AA68" s="104">
        <f>X68+(5/Y68)</f>
        <v>32.142857142857146</v>
      </c>
      <c r="AB68" s="104"/>
      <c r="AC68" s="104"/>
      <c r="AD68" s="104"/>
      <c r="AE68"/>
    </row>
    <row r="69" spans="1:33">
      <c r="A69" s="6"/>
      <c r="B69" s="6" t="s">
        <v>175</v>
      </c>
      <c r="C69" s="6"/>
    </row>
    <row r="70" spans="1:33">
      <c r="A70" s="6"/>
      <c r="B70" s="6" t="s">
        <v>177</v>
      </c>
      <c r="C70" s="6"/>
      <c r="X70" s="80">
        <v>25</v>
      </c>
      <c r="Y70" s="80">
        <v>0.7</v>
      </c>
      <c r="AA70" s="104">
        <f>X70+(5/Y70)</f>
        <v>32.142857142857146</v>
      </c>
      <c r="AB70" s="104"/>
      <c r="AC70" s="104"/>
      <c r="AD70" s="104"/>
    </row>
    <row r="71" spans="1:33">
      <c r="A71" s="6"/>
      <c r="B71" s="6" t="s">
        <v>30</v>
      </c>
      <c r="C71" s="6"/>
      <c r="L71" s="43">
        <v>0</v>
      </c>
      <c r="M71">
        <v>80</v>
      </c>
      <c r="N71">
        <v>0.2</v>
      </c>
      <c r="O71">
        <v>300</v>
      </c>
      <c r="S71" s="79">
        <v>0</v>
      </c>
      <c r="T71" s="80">
        <v>80</v>
      </c>
      <c r="U71" s="80">
        <v>0.15</v>
      </c>
      <c r="V71" s="80">
        <v>300</v>
      </c>
      <c r="W71" s="104">
        <f>T71+(5/U71)</f>
        <v>113.33333333333334</v>
      </c>
      <c r="AE71" t="s">
        <v>282</v>
      </c>
    </row>
    <row r="72" spans="1:33">
      <c r="A72" s="6"/>
      <c r="B72" s="6" t="s">
        <v>151</v>
      </c>
      <c r="C72" s="6"/>
      <c r="S72" s="79">
        <v>0</v>
      </c>
      <c r="T72" s="80">
        <v>130</v>
      </c>
      <c r="U72" s="80">
        <v>0.2</v>
      </c>
      <c r="V72" s="80">
        <v>250</v>
      </c>
      <c r="W72" s="104">
        <f>T72+(5/U72)</f>
        <v>155</v>
      </c>
      <c r="X72" s="80">
        <v>30</v>
      </c>
      <c r="Y72" s="80">
        <v>0.1</v>
      </c>
      <c r="AA72" s="104">
        <f>X72+(5/Y72)</f>
        <v>80</v>
      </c>
      <c r="AB72" s="104"/>
      <c r="AC72" s="104"/>
      <c r="AD72" s="104"/>
      <c r="AE72" t="s">
        <v>283</v>
      </c>
    </row>
    <row r="73" spans="1:33">
      <c r="A73" s="6"/>
      <c r="B73" s="6" t="s">
        <v>31</v>
      </c>
      <c r="C73" s="6"/>
      <c r="L73" s="43">
        <v>0</v>
      </c>
      <c r="M73">
        <v>200</v>
      </c>
      <c r="N73">
        <v>0.4</v>
      </c>
      <c r="O73">
        <v>280</v>
      </c>
      <c r="P73">
        <v>60</v>
      </c>
      <c r="Q73">
        <v>0.1</v>
      </c>
      <c r="S73" s="79">
        <v>0</v>
      </c>
      <c r="T73" s="80">
        <v>200</v>
      </c>
      <c r="U73" s="80">
        <v>0.3</v>
      </c>
      <c r="V73" s="80">
        <v>280</v>
      </c>
      <c r="W73" s="104">
        <f>T73+(5/U73)</f>
        <v>216.66666666666666</v>
      </c>
      <c r="X73" s="80">
        <v>30</v>
      </c>
      <c r="Y73" s="80">
        <v>0.1</v>
      </c>
      <c r="AA73" s="104">
        <f>X73+(5/Y73)</f>
        <v>80</v>
      </c>
      <c r="AB73" s="104"/>
      <c r="AC73" s="104"/>
      <c r="AD73" s="104"/>
      <c r="AE73" t="s">
        <v>284</v>
      </c>
    </row>
    <row r="74" spans="1:33">
      <c r="A74" s="18"/>
      <c r="B74" s="18" t="s">
        <v>32</v>
      </c>
      <c r="C74" s="18"/>
      <c r="D74" s="18"/>
      <c r="E74" s="18"/>
      <c r="F74" s="18"/>
      <c r="I74" s="18"/>
      <c r="J74" s="18"/>
      <c r="L74" s="43">
        <v>0</v>
      </c>
      <c r="M74" s="18">
        <v>10</v>
      </c>
      <c r="N74" s="18">
        <v>1</v>
      </c>
      <c r="O74" s="18">
        <v>10</v>
      </c>
      <c r="P74" s="18"/>
      <c r="Q74" s="18"/>
      <c r="S74" s="79">
        <v>0</v>
      </c>
      <c r="T74" s="85">
        <v>10</v>
      </c>
      <c r="U74" s="85">
        <v>1</v>
      </c>
      <c r="V74" s="85">
        <v>10</v>
      </c>
      <c r="W74" s="104">
        <f>V74-T74</f>
        <v>0</v>
      </c>
      <c r="X74" s="85"/>
      <c r="Y74" s="85"/>
      <c r="Z74" s="85"/>
      <c r="AA74" s="85"/>
      <c r="AB74" s="85"/>
      <c r="AC74" s="85"/>
      <c r="AD74" s="85"/>
      <c r="AE74" s="18"/>
      <c r="AF74" s="18"/>
      <c r="AG74" s="18"/>
    </row>
    <row r="75" spans="1:33" ht="16" thickBot="1">
      <c r="A75" s="18"/>
      <c r="B75" s="18" t="s">
        <v>36</v>
      </c>
      <c r="C75" s="18"/>
      <c r="D75" s="18"/>
      <c r="E75" s="18"/>
      <c r="F75" s="18"/>
      <c r="I75" s="18"/>
      <c r="J75" s="18"/>
      <c r="L75" s="43">
        <v>0</v>
      </c>
      <c r="M75" s="18">
        <v>70</v>
      </c>
      <c r="N75" s="18">
        <v>1</v>
      </c>
      <c r="O75" s="18">
        <v>70</v>
      </c>
      <c r="P75" s="18"/>
      <c r="Q75" s="18"/>
      <c r="S75" s="79">
        <v>0</v>
      </c>
      <c r="T75" s="85">
        <v>70</v>
      </c>
      <c r="U75" s="85">
        <v>1</v>
      </c>
      <c r="V75" s="85">
        <v>70</v>
      </c>
      <c r="W75" s="104">
        <f>V75-T75</f>
        <v>0</v>
      </c>
      <c r="X75" s="85"/>
      <c r="Y75" s="85"/>
      <c r="Z75" s="85"/>
      <c r="AA75" s="85"/>
      <c r="AB75" s="85"/>
      <c r="AC75" s="85"/>
      <c r="AD75" s="85"/>
      <c r="AE75" s="18"/>
      <c r="AF75" s="18"/>
      <c r="AG75" s="18"/>
    </row>
    <row r="76" spans="1:33" s="21" customFormat="1">
      <c r="A76" s="30"/>
      <c r="B76" s="21" t="s">
        <v>35</v>
      </c>
      <c r="G76" s="44"/>
      <c r="H76" s="45"/>
      <c r="K76" s="44"/>
      <c r="L76" s="45"/>
      <c r="R76" s="44"/>
      <c r="S76" s="83"/>
      <c r="T76" s="84"/>
      <c r="U76" s="84"/>
      <c r="V76" s="84"/>
      <c r="W76" s="85"/>
      <c r="X76" s="84"/>
      <c r="Y76" s="84"/>
      <c r="Z76" s="84"/>
      <c r="AA76" s="84"/>
      <c r="AB76" s="84"/>
      <c r="AC76" s="84"/>
      <c r="AD76" s="84"/>
    </row>
    <row r="77" spans="1:33" s="18" customFormat="1">
      <c r="A77" s="31"/>
      <c r="B77" s="18" t="s">
        <v>34</v>
      </c>
      <c r="G77" s="42"/>
      <c r="H77" s="43"/>
      <c r="K77" s="42"/>
      <c r="L77" s="36">
        <v>0</v>
      </c>
      <c r="M77" s="6">
        <v>100</v>
      </c>
      <c r="N77" s="6">
        <v>1</v>
      </c>
      <c r="O77" s="6">
        <v>100</v>
      </c>
      <c r="R77" s="42"/>
      <c r="S77" s="79">
        <v>0</v>
      </c>
      <c r="T77" s="85">
        <v>100</v>
      </c>
      <c r="U77" s="85">
        <v>1</v>
      </c>
      <c r="V77" s="85">
        <v>100</v>
      </c>
      <c r="W77" s="104">
        <f>V77-T77</f>
        <v>0</v>
      </c>
      <c r="X77" s="85"/>
      <c r="Y77" s="85"/>
      <c r="Z77" s="85"/>
      <c r="AA77" s="85"/>
      <c r="AB77" s="85"/>
      <c r="AC77" s="85"/>
      <c r="AD77" s="85"/>
    </row>
    <row r="78" spans="1:33" s="18" customFormat="1">
      <c r="A78" s="31"/>
      <c r="B78" s="18" t="s">
        <v>33</v>
      </c>
      <c r="G78" s="42"/>
      <c r="H78" s="43"/>
      <c r="K78" s="42"/>
      <c r="L78" s="36">
        <v>0</v>
      </c>
      <c r="M78" s="6">
        <v>50</v>
      </c>
      <c r="N78" s="6">
        <v>0.6</v>
      </c>
      <c r="O78" s="6">
        <v>100</v>
      </c>
      <c r="R78" s="42"/>
      <c r="S78" s="79">
        <v>0</v>
      </c>
      <c r="T78" s="85">
        <v>50</v>
      </c>
      <c r="U78" s="85">
        <v>0.6</v>
      </c>
      <c r="V78" s="85">
        <v>100</v>
      </c>
      <c r="W78" s="104">
        <f>T78+(5/U78)</f>
        <v>58.333333333333336</v>
      </c>
      <c r="X78" s="85"/>
      <c r="Y78" s="85"/>
      <c r="Z78" s="85"/>
      <c r="AA78" s="85"/>
      <c r="AB78" s="85"/>
      <c r="AC78" s="85"/>
      <c r="AD78" s="85"/>
    </row>
    <row r="79" spans="1:33" s="18" customFormat="1">
      <c r="A79" s="24">
        <v>610321</v>
      </c>
      <c r="B79" s="6" t="s">
        <v>37</v>
      </c>
      <c r="C79" s="6">
        <v>0</v>
      </c>
      <c r="D79" s="18">
        <v>50</v>
      </c>
      <c r="E79" s="18">
        <v>50</v>
      </c>
      <c r="G79" s="42" t="s">
        <v>194</v>
      </c>
      <c r="H79" s="43">
        <v>0</v>
      </c>
      <c r="I79" s="18">
        <v>30</v>
      </c>
      <c r="J79" s="18">
        <v>0.3</v>
      </c>
      <c r="K79" s="42">
        <v>50</v>
      </c>
      <c r="L79" s="43">
        <v>0</v>
      </c>
      <c r="M79" s="18">
        <v>30</v>
      </c>
      <c r="N79" s="18">
        <v>0.6</v>
      </c>
      <c r="O79" s="18">
        <v>70</v>
      </c>
      <c r="R79" s="42"/>
      <c r="S79" s="79">
        <v>0</v>
      </c>
      <c r="T79" s="85">
        <v>30</v>
      </c>
      <c r="U79" s="85">
        <v>0.6</v>
      </c>
      <c r="V79" s="85">
        <v>70</v>
      </c>
      <c r="W79" s="104">
        <f>T79+(5/U79)</f>
        <v>38.333333333333336</v>
      </c>
      <c r="X79" s="85"/>
      <c r="Y79" s="85"/>
      <c r="Z79" s="85"/>
      <c r="AA79" s="85"/>
      <c r="AB79" s="85"/>
      <c r="AC79" s="85"/>
      <c r="AD79" s="85"/>
    </row>
    <row r="80" spans="1:33" s="18" customFormat="1">
      <c r="A80" s="24">
        <v>610321</v>
      </c>
      <c r="B80" s="6" t="s">
        <v>40</v>
      </c>
      <c r="C80" s="6">
        <v>120</v>
      </c>
      <c r="D80" s="37" t="s">
        <v>185</v>
      </c>
      <c r="E80" s="37" t="s">
        <v>185</v>
      </c>
      <c r="G80" s="42"/>
      <c r="H80" s="36">
        <v>145</v>
      </c>
      <c r="I80" s="37" t="s">
        <v>185</v>
      </c>
      <c r="K80" s="48" t="s">
        <v>185</v>
      </c>
      <c r="L80" s="43"/>
      <c r="R80" s="42"/>
      <c r="S80" s="79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</row>
    <row r="81" spans="1:33" s="18" customFormat="1">
      <c r="A81" s="24">
        <v>610321</v>
      </c>
      <c r="B81" s="6" t="s">
        <v>153</v>
      </c>
      <c r="C81" s="6"/>
      <c r="G81" s="42"/>
      <c r="H81" s="43"/>
      <c r="K81" s="42"/>
      <c r="L81" s="43"/>
      <c r="R81" s="42"/>
      <c r="S81" s="79"/>
      <c r="T81" s="85"/>
      <c r="U81" s="85"/>
      <c r="V81" s="85"/>
      <c r="W81" s="85"/>
      <c r="X81" s="85">
        <v>10</v>
      </c>
      <c r="Y81" s="85">
        <v>0.9</v>
      </c>
      <c r="Z81" s="105">
        <f>65/2</f>
        <v>32.5</v>
      </c>
      <c r="AA81" s="104">
        <f>X81+(5/Y81)</f>
        <v>15.555555555555555</v>
      </c>
      <c r="AB81" s="107">
        <f>1/((Z81-X81)/5)</f>
        <v>0.22222222222222221</v>
      </c>
      <c r="AC81" s="104"/>
      <c r="AD81" s="104"/>
    </row>
    <row r="82" spans="1:33" s="27" customFormat="1" ht="16" thickBot="1">
      <c r="A82" s="25">
        <v>610321</v>
      </c>
      <c r="B82" s="26" t="s">
        <v>41</v>
      </c>
      <c r="C82" s="26">
        <v>140</v>
      </c>
      <c r="D82" s="39" t="s">
        <v>197</v>
      </c>
      <c r="E82" s="39" t="s">
        <v>185</v>
      </c>
      <c r="F82" s="27" t="s">
        <v>193</v>
      </c>
      <c r="G82" s="46"/>
      <c r="H82" s="47">
        <v>170</v>
      </c>
      <c r="I82" s="27" t="s">
        <v>213</v>
      </c>
      <c r="K82" s="49" t="s">
        <v>185</v>
      </c>
      <c r="L82" s="47"/>
      <c r="P82" s="27">
        <v>20</v>
      </c>
      <c r="Q82" s="27">
        <v>0.9</v>
      </c>
      <c r="R82" s="46"/>
      <c r="S82" s="86"/>
      <c r="T82" s="87"/>
      <c r="U82" s="87"/>
      <c r="V82" s="87"/>
      <c r="W82" s="87"/>
      <c r="X82" s="87">
        <v>10</v>
      </c>
      <c r="Y82" s="87">
        <v>0.9</v>
      </c>
      <c r="Z82" s="105">
        <f>65/2</f>
        <v>32.5</v>
      </c>
      <c r="AA82" s="104">
        <f>X82+(5/Y82)</f>
        <v>15.555555555555555</v>
      </c>
      <c r="AB82" s="107">
        <f>1/((Z82-X82)/5)</f>
        <v>0.22222222222222221</v>
      </c>
      <c r="AC82" s="104"/>
      <c r="AD82" s="104"/>
      <c r="AE82" s="18" t="s">
        <v>381</v>
      </c>
    </row>
    <row r="83" spans="1:33">
      <c r="A83" s="6">
        <v>610321</v>
      </c>
      <c r="B83" s="6" t="s">
        <v>38</v>
      </c>
      <c r="C83" s="6">
        <v>50</v>
      </c>
      <c r="D83" s="18" t="s">
        <v>197</v>
      </c>
      <c r="E83" s="18">
        <v>120</v>
      </c>
      <c r="F83" s="18" t="s">
        <v>192</v>
      </c>
      <c r="H83" s="43">
        <v>30</v>
      </c>
      <c r="I83" s="18" t="s">
        <v>214</v>
      </c>
      <c r="J83" s="6">
        <v>0.3</v>
      </c>
      <c r="K83" s="50">
        <v>145</v>
      </c>
      <c r="L83" s="36">
        <v>0</v>
      </c>
      <c r="M83" s="6">
        <v>80</v>
      </c>
      <c r="N83" s="6">
        <v>1</v>
      </c>
      <c r="O83" s="6">
        <v>80</v>
      </c>
      <c r="P83" s="18"/>
      <c r="Q83" s="18"/>
      <c r="S83" s="79">
        <v>0</v>
      </c>
      <c r="T83" s="85">
        <v>80</v>
      </c>
      <c r="U83" s="85">
        <v>1</v>
      </c>
      <c r="V83" s="85">
        <v>80</v>
      </c>
      <c r="W83" s="104">
        <f>T83+(5/U83)</f>
        <v>85</v>
      </c>
      <c r="X83" s="85"/>
      <c r="Y83" s="85"/>
      <c r="Z83" s="85"/>
      <c r="AA83" s="85"/>
      <c r="AB83" s="85"/>
      <c r="AC83" s="85"/>
      <c r="AD83" s="85"/>
      <c r="AE83" s="18"/>
      <c r="AF83" s="18"/>
      <c r="AG83" s="18"/>
    </row>
    <row r="84" spans="1:33">
      <c r="A84" s="6">
        <v>610321</v>
      </c>
      <c r="B84" s="6" t="s">
        <v>152</v>
      </c>
      <c r="C84" s="6"/>
      <c r="D84" s="18"/>
      <c r="E84" s="18"/>
      <c r="F84" s="18"/>
      <c r="I84" s="18"/>
      <c r="J84" s="18"/>
      <c r="M84" s="18"/>
      <c r="N84" s="18"/>
      <c r="O84" s="18"/>
      <c r="P84" s="18"/>
      <c r="Q84" s="18"/>
      <c r="S84" s="79">
        <v>0</v>
      </c>
      <c r="T84" s="85">
        <v>80</v>
      </c>
      <c r="U84" s="85">
        <v>1</v>
      </c>
      <c r="V84" s="85">
        <v>80</v>
      </c>
      <c r="W84" s="104">
        <f>T84+(5/U84)</f>
        <v>85</v>
      </c>
      <c r="X84" s="85">
        <v>10</v>
      </c>
      <c r="Y84" s="85">
        <v>0.9</v>
      </c>
      <c r="Z84" s="105">
        <f>65/2</f>
        <v>32.5</v>
      </c>
      <c r="AA84" s="104">
        <f>X84+(5/Y84)</f>
        <v>15.555555555555555</v>
      </c>
      <c r="AB84" s="107">
        <f>1/((Z84-X84)/5)</f>
        <v>0.22222222222222221</v>
      </c>
      <c r="AC84" s="104">
        <f>15+(5/Y84)</f>
        <v>20.555555555555557</v>
      </c>
      <c r="AD84" s="104">
        <f>X84+(5/0.8)</f>
        <v>16.25</v>
      </c>
      <c r="AE84" s="18" t="s">
        <v>381</v>
      </c>
      <c r="AF84" s="18"/>
      <c r="AG84" s="18"/>
    </row>
    <row r="85" spans="1:33">
      <c r="A85" s="6">
        <v>610321</v>
      </c>
      <c r="B85" s="6" t="s">
        <v>39</v>
      </c>
      <c r="C85" s="6">
        <v>30</v>
      </c>
      <c r="D85" s="18">
        <v>140</v>
      </c>
      <c r="E85" s="18">
        <v>140</v>
      </c>
      <c r="F85" s="18"/>
      <c r="H85" s="36">
        <v>30</v>
      </c>
      <c r="I85" s="6" t="s">
        <v>212</v>
      </c>
      <c r="J85" s="18">
        <v>0.3</v>
      </c>
      <c r="K85" s="42">
        <v>170</v>
      </c>
      <c r="L85" s="36">
        <v>0</v>
      </c>
      <c r="M85" s="6">
        <v>80</v>
      </c>
      <c r="N85" s="6">
        <v>1</v>
      </c>
      <c r="O85" s="6">
        <v>80</v>
      </c>
      <c r="P85" s="6">
        <v>20</v>
      </c>
      <c r="Q85" s="6">
        <v>0.9</v>
      </c>
      <c r="S85" s="79">
        <v>0</v>
      </c>
      <c r="T85" s="85">
        <v>80</v>
      </c>
      <c r="U85" s="85">
        <v>1</v>
      </c>
      <c r="V85" s="85">
        <v>80</v>
      </c>
      <c r="W85" s="104">
        <f>T85+(5/U85)</f>
        <v>85</v>
      </c>
      <c r="X85" s="85">
        <v>10</v>
      </c>
      <c r="Y85" s="85">
        <v>0.9</v>
      </c>
      <c r="Z85" s="105">
        <f>65/2</f>
        <v>32.5</v>
      </c>
      <c r="AA85" s="104">
        <f>X85+(5/Y85)</f>
        <v>15.555555555555555</v>
      </c>
      <c r="AB85" s="107">
        <f>1/((Z85-X85)/5)</f>
        <v>0.22222222222222221</v>
      </c>
      <c r="AC85" s="104"/>
      <c r="AD85" s="104"/>
      <c r="AE85" s="18"/>
      <c r="AF85" s="18"/>
      <c r="AG85" s="18"/>
    </row>
    <row r="86" spans="1:33">
      <c r="A86" s="6"/>
      <c r="B86" s="6" t="s">
        <v>42</v>
      </c>
      <c r="C86" s="6"/>
      <c r="L86" s="43">
        <v>0</v>
      </c>
      <c r="M86">
        <v>80</v>
      </c>
      <c r="N86">
        <v>0.2</v>
      </c>
      <c r="O86">
        <v>150</v>
      </c>
      <c r="S86" s="79">
        <v>0</v>
      </c>
      <c r="T86" s="80">
        <v>80</v>
      </c>
      <c r="U86" s="80">
        <v>0.2</v>
      </c>
      <c r="V86" s="80">
        <v>150</v>
      </c>
      <c r="W86" s="104">
        <f>T86+(5/U86)</f>
        <v>105</v>
      </c>
    </row>
    <row r="87" spans="1:33">
      <c r="A87" s="6"/>
      <c r="B87" s="6" t="s">
        <v>45</v>
      </c>
      <c r="C87" s="6"/>
    </row>
    <row r="88" spans="1:33">
      <c r="A88" s="6"/>
      <c r="B88" s="6" t="s">
        <v>155</v>
      </c>
      <c r="C88" s="6"/>
      <c r="P88">
        <v>70</v>
      </c>
      <c r="Q88">
        <v>0.2</v>
      </c>
      <c r="X88" s="80">
        <v>35</v>
      </c>
      <c r="Y88" s="80">
        <v>0.2</v>
      </c>
      <c r="AA88" s="104">
        <f>X88+(5/Y88)</f>
        <v>60</v>
      </c>
      <c r="AB88" s="104"/>
      <c r="AC88" s="104"/>
      <c r="AD88" s="104"/>
    </row>
    <row r="89" spans="1:33" ht="16" thickBot="1">
      <c r="A89" s="6"/>
      <c r="B89" s="6" t="s">
        <v>46</v>
      </c>
      <c r="C89" s="6"/>
      <c r="X89" s="80">
        <v>35</v>
      </c>
      <c r="Y89" s="80">
        <v>0.2</v>
      </c>
      <c r="AA89" s="104">
        <f>X89+(5/Y89)</f>
        <v>60</v>
      </c>
      <c r="AB89" s="104"/>
      <c r="AC89" s="104"/>
      <c r="AD89" s="104"/>
    </row>
    <row r="90" spans="1:33" s="21" customFormat="1">
      <c r="A90" s="19"/>
      <c r="B90" s="20" t="s">
        <v>43</v>
      </c>
      <c r="C90" s="20"/>
      <c r="G90" s="44"/>
      <c r="H90" s="45"/>
      <c r="K90" s="44"/>
      <c r="L90" s="45">
        <v>0</v>
      </c>
      <c r="M90" s="21">
        <v>80</v>
      </c>
      <c r="N90" s="21">
        <v>0.3</v>
      </c>
      <c r="O90" s="21">
        <v>150</v>
      </c>
      <c r="R90" s="44"/>
      <c r="S90" s="83">
        <v>0</v>
      </c>
      <c r="T90" s="84">
        <v>80</v>
      </c>
      <c r="U90" s="84">
        <v>0.3</v>
      </c>
      <c r="V90" s="84">
        <v>150</v>
      </c>
      <c r="W90" s="104">
        <f>T90+(5/U90)</f>
        <v>96.666666666666671</v>
      </c>
      <c r="X90" s="84"/>
      <c r="Y90" s="84"/>
      <c r="Z90" s="84"/>
      <c r="AA90" s="84"/>
      <c r="AB90" s="84"/>
      <c r="AC90" s="84"/>
      <c r="AD90" s="84"/>
    </row>
    <row r="91" spans="1:33" s="18" customFormat="1">
      <c r="A91" s="24"/>
      <c r="B91" s="6" t="s">
        <v>154</v>
      </c>
      <c r="C91" s="6"/>
      <c r="D91"/>
      <c r="E91"/>
      <c r="F91"/>
      <c r="G91" s="42"/>
      <c r="H91" s="43"/>
      <c r="I91"/>
      <c r="J91"/>
      <c r="K91" s="42"/>
      <c r="L91" s="43"/>
      <c r="M91"/>
      <c r="N91"/>
      <c r="O91"/>
      <c r="P91"/>
      <c r="Q91"/>
      <c r="R91" s="42"/>
      <c r="S91" s="79">
        <v>0</v>
      </c>
      <c r="T91" s="80">
        <v>100</v>
      </c>
      <c r="U91" s="80">
        <v>0.3</v>
      </c>
      <c r="V91" s="80">
        <v>165</v>
      </c>
      <c r="W91" s="104">
        <f>T91+(5/U91)</f>
        <v>116.66666666666667</v>
      </c>
      <c r="X91" s="80">
        <v>40</v>
      </c>
      <c r="Y91" s="80">
        <v>0.1</v>
      </c>
      <c r="Z91" s="80"/>
      <c r="AA91" s="104">
        <f>X91+(5/Y91)</f>
        <v>90</v>
      </c>
      <c r="AB91" s="104"/>
      <c r="AC91" s="104"/>
      <c r="AD91" s="104"/>
      <c r="AE91" t="s">
        <v>285</v>
      </c>
      <c r="AF91"/>
      <c r="AG91"/>
    </row>
    <row r="92" spans="1:33" s="18" customFormat="1">
      <c r="A92" s="24"/>
      <c r="B92" s="6" t="s">
        <v>44</v>
      </c>
      <c r="C92" s="6"/>
      <c r="D92"/>
      <c r="E92"/>
      <c r="F92"/>
      <c r="G92" s="42"/>
      <c r="H92" s="43"/>
      <c r="I92"/>
      <c r="J92"/>
      <c r="K92" s="42"/>
      <c r="L92" s="43">
        <v>0</v>
      </c>
      <c r="M92">
        <v>120</v>
      </c>
      <c r="N92">
        <v>0.6</v>
      </c>
      <c r="O92">
        <v>180</v>
      </c>
      <c r="P92">
        <v>80</v>
      </c>
      <c r="Q92">
        <v>0.1</v>
      </c>
      <c r="R92" s="42"/>
      <c r="S92" s="79">
        <v>0</v>
      </c>
      <c r="T92" s="80">
        <v>120</v>
      </c>
      <c r="U92" s="80">
        <v>0.3</v>
      </c>
      <c r="V92" s="80">
        <v>180</v>
      </c>
      <c r="W92" s="104">
        <f>T92+(5/U92)</f>
        <v>136.66666666666666</v>
      </c>
      <c r="X92" s="80">
        <v>40</v>
      </c>
      <c r="Y92" s="80">
        <v>0.1</v>
      </c>
      <c r="Z92" s="80"/>
      <c r="AA92" s="104">
        <f>X92+(5/Y92)</f>
        <v>90</v>
      </c>
      <c r="AB92" s="104"/>
      <c r="AC92" s="104"/>
      <c r="AD92" s="104"/>
      <c r="AE92" t="s">
        <v>286</v>
      </c>
      <c r="AF92"/>
      <c r="AG92"/>
    </row>
    <row r="93" spans="1:33" s="18" customFormat="1">
      <c r="A93" s="24">
        <v>610322</v>
      </c>
      <c r="B93" s="6" t="s">
        <v>47</v>
      </c>
      <c r="C93" s="6">
        <v>0</v>
      </c>
      <c r="D93" s="18">
        <v>55</v>
      </c>
      <c r="E93" s="18">
        <v>55</v>
      </c>
      <c r="G93" s="42" t="s">
        <v>195</v>
      </c>
      <c r="H93" s="43">
        <v>0</v>
      </c>
      <c r="I93" s="18">
        <v>35</v>
      </c>
      <c r="J93" s="18" t="s">
        <v>211</v>
      </c>
      <c r="K93" s="42">
        <v>55</v>
      </c>
      <c r="L93" s="43">
        <v>0</v>
      </c>
      <c r="M93" s="18">
        <v>50</v>
      </c>
      <c r="N93" s="18">
        <v>0.3</v>
      </c>
      <c r="O93" s="18">
        <v>150</v>
      </c>
      <c r="R93" s="42"/>
      <c r="S93" s="79">
        <v>0</v>
      </c>
      <c r="T93" s="85">
        <v>50</v>
      </c>
      <c r="U93" s="85">
        <v>0.3</v>
      </c>
      <c r="V93" s="85">
        <v>150</v>
      </c>
      <c r="W93" s="104">
        <f>T93+(5/U93)</f>
        <v>66.666666666666671</v>
      </c>
      <c r="X93" s="85"/>
      <c r="Y93" s="85"/>
      <c r="Z93" s="85"/>
      <c r="AA93" s="85"/>
      <c r="AB93" s="85"/>
      <c r="AC93" s="85"/>
      <c r="AD93" s="85"/>
    </row>
    <row r="94" spans="1:33" s="18" customFormat="1">
      <c r="A94" s="24">
        <v>610322</v>
      </c>
      <c r="B94" s="6" t="s">
        <v>50</v>
      </c>
      <c r="C94" s="6"/>
      <c r="G94" s="42"/>
      <c r="H94" s="36">
        <v>180</v>
      </c>
      <c r="I94" s="37" t="s">
        <v>185</v>
      </c>
      <c r="K94" s="48" t="s">
        <v>185</v>
      </c>
      <c r="L94" s="43"/>
      <c r="R94" s="42"/>
      <c r="S94" s="79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</row>
    <row r="95" spans="1:33" s="18" customFormat="1" ht="16" thickBot="1">
      <c r="A95" s="24">
        <v>610322</v>
      </c>
      <c r="B95" s="6" t="s">
        <v>157</v>
      </c>
      <c r="C95" s="6">
        <v>140</v>
      </c>
      <c r="D95" s="37" t="s">
        <v>185</v>
      </c>
      <c r="E95" s="37" t="s">
        <v>185</v>
      </c>
      <c r="G95" s="42"/>
      <c r="H95" s="43"/>
      <c r="K95" s="42"/>
      <c r="L95" s="43"/>
      <c r="R95" s="42"/>
      <c r="S95" s="79"/>
      <c r="T95" s="85"/>
      <c r="U95" s="85"/>
      <c r="V95" s="85"/>
      <c r="W95" s="85"/>
      <c r="X95" s="105">
        <v>25</v>
      </c>
      <c r="Y95" s="85">
        <v>0.6</v>
      </c>
      <c r="Z95" s="87">
        <f>100/2</f>
        <v>50</v>
      </c>
      <c r="AA95" s="104">
        <f>X95+(5/Y95)</f>
        <v>33.333333333333336</v>
      </c>
      <c r="AB95" s="107">
        <f>1/((Z95-X95)/5)</f>
        <v>0.2</v>
      </c>
      <c r="AC95" s="104"/>
      <c r="AD95" s="104"/>
    </row>
    <row r="96" spans="1:33" s="27" customFormat="1" ht="16" thickBot="1">
      <c r="A96" s="25">
        <v>610322</v>
      </c>
      <c r="B96" s="26" t="s">
        <v>51</v>
      </c>
      <c r="C96" s="26">
        <v>160</v>
      </c>
      <c r="D96" s="27" t="s">
        <v>196</v>
      </c>
      <c r="E96" s="39" t="s">
        <v>185</v>
      </c>
      <c r="F96" s="27" t="s">
        <v>193</v>
      </c>
      <c r="G96" s="46"/>
      <c r="H96" s="47">
        <v>200</v>
      </c>
      <c r="I96" s="27" t="s">
        <v>196</v>
      </c>
      <c r="K96" s="49" t="s">
        <v>185</v>
      </c>
      <c r="L96" s="47"/>
      <c r="P96" s="27">
        <v>50</v>
      </c>
      <c r="Q96" s="27">
        <v>0.6</v>
      </c>
      <c r="R96" s="46"/>
      <c r="S96" s="86"/>
      <c r="T96" s="87"/>
      <c r="U96" s="87"/>
      <c r="V96" s="87"/>
      <c r="W96" s="87"/>
      <c r="X96" s="106">
        <v>25</v>
      </c>
      <c r="Y96" s="87">
        <v>0.6</v>
      </c>
      <c r="Z96" s="87">
        <f>100/2</f>
        <v>50</v>
      </c>
      <c r="AA96" s="104">
        <f>X96+(5/Y96)</f>
        <v>33.333333333333336</v>
      </c>
      <c r="AB96" s="107">
        <f>1/((Z96-X96)/5)</f>
        <v>0.2</v>
      </c>
      <c r="AC96" s="104"/>
      <c r="AD96" s="104"/>
      <c r="AE96" s="18" t="s">
        <v>381</v>
      </c>
    </row>
    <row r="97" spans="1:33">
      <c r="A97" s="6">
        <v>610322</v>
      </c>
      <c r="B97" s="6" t="s">
        <v>48</v>
      </c>
      <c r="C97" s="6">
        <v>55</v>
      </c>
      <c r="D97" s="18">
        <v>140</v>
      </c>
      <c r="E97" s="18">
        <v>140</v>
      </c>
      <c r="F97" s="18"/>
      <c r="H97" s="36">
        <v>35</v>
      </c>
      <c r="I97" s="6">
        <v>180</v>
      </c>
      <c r="J97" s="18"/>
      <c r="K97" s="42">
        <v>180</v>
      </c>
      <c r="L97" s="36">
        <v>0</v>
      </c>
      <c r="M97" s="6">
        <v>80</v>
      </c>
      <c r="N97" s="6">
        <v>0.7</v>
      </c>
      <c r="O97" s="6">
        <v>100</v>
      </c>
      <c r="P97" s="18"/>
      <c r="Q97" s="18"/>
      <c r="S97" s="79">
        <v>0</v>
      </c>
      <c r="T97" s="85">
        <v>80</v>
      </c>
      <c r="U97" s="85">
        <v>0.7</v>
      </c>
      <c r="V97" s="85">
        <v>100</v>
      </c>
      <c r="W97" s="104">
        <f>T97+(5/U97)</f>
        <v>87.142857142857139</v>
      </c>
      <c r="X97" s="85"/>
      <c r="Y97" s="85"/>
      <c r="Z97" s="85"/>
      <c r="AA97" s="85"/>
      <c r="AB97" s="85"/>
      <c r="AC97" s="85"/>
      <c r="AD97" s="85"/>
      <c r="AE97" s="18"/>
      <c r="AF97" s="18"/>
      <c r="AG97" s="18"/>
    </row>
    <row r="98" spans="1:33">
      <c r="A98" s="6">
        <v>610322</v>
      </c>
      <c r="B98" s="6" t="s">
        <v>156</v>
      </c>
      <c r="C98" s="18"/>
      <c r="D98" s="18"/>
      <c r="E98" s="18"/>
      <c r="F98" s="18"/>
      <c r="I98" s="18"/>
      <c r="J98" s="18"/>
      <c r="M98" s="18"/>
      <c r="N98" s="18"/>
      <c r="O98" s="18"/>
      <c r="P98" s="18"/>
      <c r="Q98" s="18"/>
      <c r="S98" s="79">
        <v>0</v>
      </c>
      <c r="T98" s="85">
        <v>80</v>
      </c>
      <c r="U98" s="85">
        <v>0.65</v>
      </c>
      <c r="V98" s="85">
        <v>100</v>
      </c>
      <c r="W98" s="104">
        <f>T98+(5/U98)</f>
        <v>87.692307692307693</v>
      </c>
      <c r="X98" s="105">
        <v>25</v>
      </c>
      <c r="Y98" s="85">
        <v>0.3</v>
      </c>
      <c r="Z98" s="85">
        <f>100/2</f>
        <v>50</v>
      </c>
      <c r="AA98" s="104">
        <f>X98+(5/Y98)</f>
        <v>41.666666666666671</v>
      </c>
      <c r="AB98" s="107">
        <f>1/((Z98-X98)/5)</f>
        <v>0.2</v>
      </c>
      <c r="AC98" s="104"/>
      <c r="AD98" s="104"/>
      <c r="AE98" s="18"/>
      <c r="AF98" s="18"/>
      <c r="AG98" s="18"/>
    </row>
    <row r="99" spans="1:33">
      <c r="A99" s="6">
        <v>610322</v>
      </c>
      <c r="B99" s="6" t="s">
        <v>49</v>
      </c>
      <c r="C99" s="6">
        <v>55</v>
      </c>
      <c r="D99" s="18" t="s">
        <v>196</v>
      </c>
      <c r="E99" s="18">
        <v>160</v>
      </c>
      <c r="F99" s="18" t="s">
        <v>192</v>
      </c>
      <c r="H99" s="43">
        <v>35</v>
      </c>
      <c r="I99" s="18" t="s">
        <v>196</v>
      </c>
      <c r="J99" s="18"/>
      <c r="K99" s="42">
        <v>200</v>
      </c>
      <c r="L99" s="43">
        <v>0</v>
      </c>
      <c r="M99" s="6">
        <v>80</v>
      </c>
      <c r="N99" s="6">
        <v>0.6</v>
      </c>
      <c r="O99" s="6">
        <v>100</v>
      </c>
      <c r="P99" s="6">
        <v>50</v>
      </c>
      <c r="Q99" s="6">
        <v>0.3</v>
      </c>
      <c r="S99" s="79">
        <v>0</v>
      </c>
      <c r="T99" s="85">
        <v>80</v>
      </c>
      <c r="U99" s="85">
        <v>0.6</v>
      </c>
      <c r="V99" s="85">
        <v>100</v>
      </c>
      <c r="W99" s="104">
        <f>T99+(5/U99)</f>
        <v>88.333333333333329</v>
      </c>
      <c r="X99" s="105">
        <v>25</v>
      </c>
      <c r="Y99" s="85">
        <v>0.3</v>
      </c>
      <c r="Z99" s="85">
        <f>100/2</f>
        <v>50</v>
      </c>
      <c r="AA99" s="104">
        <f>X99+(5/Y99)</f>
        <v>41.666666666666671</v>
      </c>
      <c r="AB99" s="107">
        <f>1/((Z99-X99)/5)</f>
        <v>0.2</v>
      </c>
      <c r="AC99" s="104">
        <f>50+(5/Y99)</f>
        <v>66.666666666666671</v>
      </c>
      <c r="AD99" s="104"/>
      <c r="AE99" s="18" t="s">
        <v>381</v>
      </c>
      <c r="AF99" s="18"/>
      <c r="AG99" s="18"/>
    </row>
    <row r="100" spans="1:33">
      <c r="A100">
        <v>610800</v>
      </c>
      <c r="B100" t="s">
        <v>52</v>
      </c>
      <c r="C100">
        <v>0</v>
      </c>
      <c r="D100">
        <v>20</v>
      </c>
      <c r="E100">
        <v>20</v>
      </c>
      <c r="L100" s="36">
        <v>0</v>
      </c>
      <c r="M100" s="6">
        <v>20</v>
      </c>
      <c r="N100" s="6">
        <v>1</v>
      </c>
      <c r="O100" s="6">
        <v>20</v>
      </c>
      <c r="S100" s="79">
        <v>0</v>
      </c>
      <c r="T100" s="85">
        <v>20</v>
      </c>
      <c r="U100" s="85">
        <v>1</v>
      </c>
      <c r="V100" s="85">
        <v>20</v>
      </c>
      <c r="W100" s="104">
        <f>V100-T100</f>
        <v>0</v>
      </c>
    </row>
    <row r="101" spans="1:33">
      <c r="A101">
        <v>610800</v>
      </c>
      <c r="B101" t="s">
        <v>55</v>
      </c>
      <c r="C101">
        <v>150</v>
      </c>
      <c r="D101" s="35" t="s">
        <v>185</v>
      </c>
      <c r="E101" s="35" t="s">
        <v>185</v>
      </c>
    </row>
    <row r="102" spans="1:33">
      <c r="A102">
        <v>610800</v>
      </c>
      <c r="B102" s="2" t="s">
        <v>145</v>
      </c>
      <c r="C102" s="2"/>
    </row>
    <row r="103" spans="1:33" ht="16" thickBot="1">
      <c r="A103">
        <v>610800</v>
      </c>
      <c r="B103" t="s">
        <v>56</v>
      </c>
      <c r="C103">
        <v>100</v>
      </c>
      <c r="D103">
        <v>150</v>
      </c>
      <c r="E103">
        <v>150</v>
      </c>
      <c r="L103" s="43">
        <v>0</v>
      </c>
      <c r="M103">
        <v>50</v>
      </c>
      <c r="N103">
        <v>1</v>
      </c>
      <c r="O103">
        <v>50</v>
      </c>
    </row>
    <row r="104" spans="1:33" s="21" customFormat="1">
      <c r="A104" s="30">
        <v>610800</v>
      </c>
      <c r="B104" s="21" t="s">
        <v>53</v>
      </c>
      <c r="C104" s="21">
        <v>60</v>
      </c>
      <c r="D104" s="21">
        <v>100</v>
      </c>
      <c r="E104" s="21">
        <v>100</v>
      </c>
      <c r="G104" s="44"/>
      <c r="H104" s="45"/>
      <c r="K104" s="44"/>
      <c r="L104" s="99">
        <v>0</v>
      </c>
      <c r="M104" s="20">
        <v>40</v>
      </c>
      <c r="N104" s="20">
        <v>1</v>
      </c>
      <c r="O104" s="20">
        <v>40</v>
      </c>
      <c r="R104" s="44"/>
      <c r="S104" s="83"/>
      <c r="T104" s="84"/>
      <c r="U104" s="84"/>
      <c r="V104" s="84"/>
      <c r="W104" s="80"/>
      <c r="X104" s="84"/>
      <c r="Y104" s="84"/>
      <c r="Z104" s="84"/>
      <c r="AA104" s="84"/>
      <c r="AB104" s="84"/>
      <c r="AC104" s="84"/>
      <c r="AD104" s="84"/>
    </row>
    <row r="105" spans="1:33" s="18" customFormat="1">
      <c r="A105" s="31">
        <v>610800</v>
      </c>
      <c r="B105" s="2" t="s">
        <v>144</v>
      </c>
      <c r="C105" s="2"/>
      <c r="D105"/>
      <c r="E105"/>
      <c r="F105"/>
      <c r="G105" s="42"/>
      <c r="H105" s="43"/>
      <c r="I105"/>
      <c r="J105"/>
      <c r="K105" s="42"/>
      <c r="L105" s="43"/>
      <c r="M105"/>
      <c r="N105"/>
      <c r="O105"/>
      <c r="P105"/>
      <c r="Q105"/>
      <c r="R105" s="42"/>
      <c r="S105" s="79">
        <v>0</v>
      </c>
      <c r="T105" s="80">
        <v>40</v>
      </c>
      <c r="U105" s="80">
        <v>1</v>
      </c>
      <c r="V105" s="80">
        <v>40</v>
      </c>
      <c r="W105" s="104">
        <f>V105-T105</f>
        <v>0</v>
      </c>
      <c r="X105" s="80"/>
      <c r="Y105" s="80"/>
      <c r="Z105" s="80"/>
      <c r="AA105" s="80"/>
      <c r="AB105" s="80"/>
      <c r="AC105" s="80"/>
      <c r="AD105" s="80"/>
      <c r="AE105"/>
      <c r="AF105"/>
      <c r="AG105"/>
    </row>
    <row r="106" spans="1:33" s="18" customFormat="1">
      <c r="A106" s="31">
        <v>610800</v>
      </c>
      <c r="B106" t="s">
        <v>54</v>
      </c>
      <c r="C106">
        <v>20</v>
      </c>
      <c r="D106" s="15">
        <v>60</v>
      </c>
      <c r="E106" s="15">
        <v>60</v>
      </c>
      <c r="F106"/>
      <c r="G106" s="42"/>
      <c r="H106" s="43"/>
      <c r="I106"/>
      <c r="J106"/>
      <c r="K106" s="42"/>
      <c r="L106" s="36">
        <v>0</v>
      </c>
      <c r="M106" s="6">
        <v>40</v>
      </c>
      <c r="N106" s="6">
        <v>1</v>
      </c>
      <c r="O106" s="6">
        <v>40</v>
      </c>
      <c r="P106"/>
      <c r="Q106"/>
      <c r="R106" s="42"/>
      <c r="S106" s="79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/>
      <c r="AF106"/>
      <c r="AG106"/>
    </row>
    <row r="107" spans="1:33" s="18" customFormat="1">
      <c r="A107" s="31"/>
      <c r="B107" s="18" t="s">
        <v>62</v>
      </c>
      <c r="G107" s="42"/>
      <c r="H107" s="43"/>
      <c r="K107" s="42"/>
      <c r="L107" s="43">
        <v>0</v>
      </c>
      <c r="M107" s="18">
        <v>10</v>
      </c>
      <c r="N107" s="18">
        <v>1</v>
      </c>
      <c r="O107" s="18">
        <v>10</v>
      </c>
      <c r="R107" s="42"/>
      <c r="S107" s="79">
        <v>0</v>
      </c>
      <c r="T107" s="85">
        <v>10</v>
      </c>
      <c r="U107" s="85">
        <v>1</v>
      </c>
      <c r="V107" s="85">
        <v>10</v>
      </c>
      <c r="W107" s="104">
        <f>V107-T107</f>
        <v>0</v>
      </c>
      <c r="X107" s="85"/>
      <c r="Y107" s="85"/>
      <c r="Z107" s="85"/>
      <c r="AA107" s="85"/>
      <c r="AB107" s="85"/>
      <c r="AC107" s="85"/>
      <c r="AD107" s="85"/>
    </row>
    <row r="108" spans="1:33" s="18" customFormat="1">
      <c r="A108" s="31"/>
      <c r="B108" s="18" t="s">
        <v>64</v>
      </c>
      <c r="G108" s="42"/>
      <c r="H108" s="43"/>
      <c r="K108" s="42"/>
      <c r="L108" s="43"/>
      <c r="R108" s="42"/>
      <c r="S108" s="79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</row>
    <row r="109" spans="1:33" s="18" customFormat="1">
      <c r="A109" s="31"/>
      <c r="B109" s="18" t="s">
        <v>63</v>
      </c>
      <c r="G109" s="42"/>
      <c r="H109" s="43"/>
      <c r="K109" s="42"/>
      <c r="L109" s="36">
        <v>0</v>
      </c>
      <c r="M109" s="6">
        <v>80</v>
      </c>
      <c r="N109" s="6">
        <v>0.3</v>
      </c>
      <c r="O109" s="6">
        <v>200</v>
      </c>
      <c r="R109" s="42"/>
      <c r="S109" s="79">
        <v>0</v>
      </c>
      <c r="T109" s="85">
        <v>80</v>
      </c>
      <c r="U109" s="85">
        <v>0.3</v>
      </c>
      <c r="V109" s="85">
        <v>200</v>
      </c>
      <c r="W109" s="104">
        <f>V109-T109</f>
        <v>120</v>
      </c>
      <c r="X109" s="85"/>
      <c r="Y109" s="85"/>
      <c r="Z109" s="85"/>
      <c r="AA109" s="85"/>
      <c r="AB109" s="85"/>
      <c r="AC109" s="85"/>
      <c r="AD109" s="85"/>
    </row>
    <row r="110" spans="1:33" s="27" customFormat="1" ht="16" thickBot="1">
      <c r="A110" s="25">
        <v>610440</v>
      </c>
      <c r="B110" s="26" t="s">
        <v>57</v>
      </c>
      <c r="C110" s="26">
        <v>0</v>
      </c>
      <c r="D110" s="27">
        <v>20</v>
      </c>
      <c r="E110" s="27">
        <v>20</v>
      </c>
      <c r="G110" s="46" t="s">
        <v>198</v>
      </c>
      <c r="H110" s="47"/>
      <c r="K110" s="46"/>
      <c r="L110" s="47">
        <v>0</v>
      </c>
      <c r="M110" s="27">
        <v>20</v>
      </c>
      <c r="N110" s="27" t="s">
        <v>223</v>
      </c>
      <c r="O110" s="27">
        <v>80</v>
      </c>
      <c r="P110" s="27" t="s">
        <v>224</v>
      </c>
      <c r="R110" s="46"/>
      <c r="S110" s="86">
        <v>0</v>
      </c>
      <c r="T110" s="87">
        <v>20</v>
      </c>
      <c r="U110" s="87" t="s">
        <v>223</v>
      </c>
      <c r="V110" s="87">
        <v>80</v>
      </c>
      <c r="W110" s="109">
        <f>T110+(5/0.4)</f>
        <v>32.5</v>
      </c>
      <c r="X110" s="87" t="s">
        <v>224</v>
      </c>
      <c r="Y110" s="87"/>
      <c r="Z110" s="87"/>
      <c r="AA110" s="80"/>
      <c r="AB110" s="80"/>
      <c r="AC110" s="80"/>
      <c r="AD110" s="80"/>
      <c r="AE110"/>
    </row>
    <row r="111" spans="1:33">
      <c r="A111" s="6">
        <v>610440</v>
      </c>
      <c r="B111" s="6" t="s">
        <v>60</v>
      </c>
      <c r="C111" s="6">
        <v>80</v>
      </c>
      <c r="D111" s="35" t="s">
        <v>185</v>
      </c>
    </row>
    <row r="112" spans="1:33">
      <c r="A112" s="6">
        <v>610440</v>
      </c>
      <c r="B112" s="6" t="s">
        <v>159</v>
      </c>
      <c r="C112" s="6"/>
      <c r="X112" s="80">
        <v>40</v>
      </c>
      <c r="Y112" s="80">
        <v>0.3</v>
      </c>
      <c r="AA112" s="104">
        <f>X112+(5/Y112)</f>
        <v>56.666666666666671</v>
      </c>
      <c r="AB112" s="104"/>
      <c r="AC112" s="104"/>
      <c r="AD112" s="104"/>
    </row>
    <row r="113" spans="1:33">
      <c r="A113" s="6">
        <v>610440</v>
      </c>
      <c r="B113" s="6" t="s">
        <v>61</v>
      </c>
      <c r="C113" s="6">
        <v>80</v>
      </c>
      <c r="D113">
        <v>160</v>
      </c>
      <c r="P113">
        <v>80</v>
      </c>
      <c r="Q113">
        <v>0.3</v>
      </c>
      <c r="X113" s="80">
        <v>40</v>
      </c>
      <c r="Y113" s="80">
        <v>0.3</v>
      </c>
      <c r="Z113" s="80" t="s">
        <v>368</v>
      </c>
      <c r="AA113" s="104">
        <f>X113+(5/Y113)</f>
        <v>56.666666666666671</v>
      </c>
      <c r="AB113" s="104"/>
      <c r="AC113" s="104"/>
      <c r="AD113" s="104"/>
    </row>
    <row r="114" spans="1:33">
      <c r="A114" s="6">
        <v>610440</v>
      </c>
      <c r="B114" s="6" t="s">
        <v>58</v>
      </c>
      <c r="C114" s="6">
        <v>20</v>
      </c>
      <c r="D114">
        <v>80</v>
      </c>
      <c r="E114">
        <v>80</v>
      </c>
      <c r="L114" s="43">
        <v>0</v>
      </c>
      <c r="M114">
        <v>60</v>
      </c>
      <c r="N114">
        <v>0.45</v>
      </c>
      <c r="O114">
        <v>130</v>
      </c>
      <c r="S114" s="79">
        <v>0</v>
      </c>
      <c r="T114" s="80">
        <v>60</v>
      </c>
      <c r="U114" s="80">
        <v>0.45</v>
      </c>
      <c r="V114" s="80">
        <v>130</v>
      </c>
      <c r="W114" s="104">
        <f>T114+(5/U114)</f>
        <v>71.111111111111114</v>
      </c>
    </row>
    <row r="115" spans="1:33">
      <c r="A115" s="6">
        <v>610440</v>
      </c>
      <c r="B115" s="6" t="s">
        <v>158</v>
      </c>
      <c r="S115" s="79">
        <v>0</v>
      </c>
      <c r="T115" s="80">
        <v>60</v>
      </c>
      <c r="U115" s="80">
        <v>0.45</v>
      </c>
      <c r="V115" s="80">
        <v>130</v>
      </c>
      <c r="W115" s="104">
        <f>T115+(5/U115)</f>
        <v>71.111111111111114</v>
      </c>
      <c r="X115" s="80">
        <v>40</v>
      </c>
      <c r="Y115" s="80">
        <v>0.3</v>
      </c>
      <c r="AA115" s="104">
        <f>X115+(5/Y115)</f>
        <v>56.666666666666671</v>
      </c>
      <c r="AB115" s="104"/>
      <c r="AC115" s="104"/>
      <c r="AD115" s="104"/>
    </row>
    <row r="116" spans="1:33">
      <c r="A116" s="6">
        <v>610440</v>
      </c>
      <c r="B116" s="6" t="s">
        <v>59</v>
      </c>
      <c r="C116" s="6">
        <v>20</v>
      </c>
      <c r="D116">
        <v>80</v>
      </c>
      <c r="E116">
        <v>80</v>
      </c>
      <c r="L116" s="43">
        <v>0</v>
      </c>
      <c r="M116">
        <v>60</v>
      </c>
      <c r="N116">
        <v>0.45</v>
      </c>
      <c r="O116">
        <v>130</v>
      </c>
      <c r="S116" s="79">
        <v>0</v>
      </c>
      <c r="T116" s="80">
        <v>60</v>
      </c>
      <c r="U116" s="80">
        <v>0.45</v>
      </c>
      <c r="V116" s="80">
        <v>130</v>
      </c>
      <c r="W116" s="104">
        <f>T116+(5/U116)</f>
        <v>71.111111111111114</v>
      </c>
      <c r="X116" s="80">
        <v>40</v>
      </c>
      <c r="Y116" s="80">
        <v>0.3</v>
      </c>
      <c r="Z116" s="80" t="s">
        <v>368</v>
      </c>
      <c r="AA116" s="104">
        <f>X116+(5/Y116)</f>
        <v>56.666666666666671</v>
      </c>
      <c r="AB116" s="104"/>
      <c r="AC116" s="104"/>
      <c r="AD116" s="104"/>
    </row>
    <row r="117" spans="1:33" ht="16" thickBot="1">
      <c r="B117" t="s">
        <v>65</v>
      </c>
      <c r="L117" s="36">
        <v>0</v>
      </c>
      <c r="M117" s="6">
        <v>10</v>
      </c>
      <c r="N117" s="6">
        <v>1</v>
      </c>
      <c r="O117" s="6">
        <v>10</v>
      </c>
      <c r="S117" s="79">
        <v>0</v>
      </c>
      <c r="T117" s="85">
        <v>10</v>
      </c>
      <c r="U117" s="85">
        <v>1</v>
      </c>
      <c r="V117" s="85">
        <v>10</v>
      </c>
      <c r="W117" s="104">
        <f>V117-T117</f>
        <v>0</v>
      </c>
    </row>
    <row r="118" spans="1:33" s="21" customFormat="1">
      <c r="A118" s="30"/>
      <c r="B118" s="21" t="s">
        <v>69</v>
      </c>
      <c r="G118" s="44"/>
      <c r="H118" s="45"/>
      <c r="K118" s="44"/>
      <c r="L118" s="45">
        <v>0</v>
      </c>
      <c r="M118" s="21">
        <v>70</v>
      </c>
      <c r="N118" s="21">
        <v>1</v>
      </c>
      <c r="O118" s="21">
        <v>70</v>
      </c>
      <c r="R118" s="44"/>
      <c r="S118" s="83">
        <v>0</v>
      </c>
      <c r="T118" s="84">
        <v>70</v>
      </c>
      <c r="U118" s="84">
        <v>1</v>
      </c>
      <c r="V118" s="84">
        <v>70</v>
      </c>
      <c r="W118" s="104">
        <f>V118-T118</f>
        <v>0</v>
      </c>
      <c r="X118" s="84"/>
      <c r="Y118" s="84"/>
      <c r="Z118" s="84"/>
      <c r="AA118" s="84"/>
      <c r="AB118" s="84"/>
      <c r="AC118" s="84"/>
      <c r="AD118" s="84"/>
    </row>
    <row r="119" spans="1:33" s="18" customFormat="1">
      <c r="A119" s="31"/>
      <c r="B119" t="s">
        <v>68</v>
      </c>
      <c r="C119"/>
      <c r="D119"/>
      <c r="E119"/>
      <c r="F119"/>
      <c r="G119" s="42"/>
      <c r="H119" s="43"/>
      <c r="I119"/>
      <c r="J119"/>
      <c r="K119" s="42"/>
      <c r="L119" s="43"/>
      <c r="M119"/>
      <c r="N119"/>
      <c r="O119"/>
      <c r="P119"/>
      <c r="Q119"/>
      <c r="R119" s="42"/>
      <c r="S119" s="79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/>
      <c r="AF119"/>
      <c r="AG119"/>
    </row>
    <row r="120" spans="1:33" s="18" customFormat="1">
      <c r="A120" s="31"/>
      <c r="B120" t="s">
        <v>67</v>
      </c>
      <c r="C120"/>
      <c r="D120"/>
      <c r="E120"/>
      <c r="F120"/>
      <c r="G120" s="42"/>
      <c r="H120" s="43"/>
      <c r="I120"/>
      <c r="J120"/>
      <c r="K120" s="42"/>
      <c r="L120" s="36">
        <v>0</v>
      </c>
      <c r="M120" s="6">
        <v>100</v>
      </c>
      <c r="N120" s="6">
        <v>1</v>
      </c>
      <c r="O120" s="6">
        <v>100</v>
      </c>
      <c r="P120"/>
      <c r="Q120"/>
      <c r="R120" s="42"/>
      <c r="S120" s="79">
        <v>0</v>
      </c>
      <c r="T120" s="85">
        <v>100</v>
      </c>
      <c r="U120" s="85">
        <v>1</v>
      </c>
      <c r="V120" s="85">
        <v>100</v>
      </c>
      <c r="W120" s="104">
        <f>V120-T120</f>
        <v>0</v>
      </c>
      <c r="X120" s="80"/>
      <c r="Y120" s="80"/>
      <c r="Z120" s="80"/>
      <c r="AA120" s="80"/>
      <c r="AB120" s="80"/>
      <c r="AC120" s="80"/>
      <c r="AD120" s="80"/>
      <c r="AE120"/>
      <c r="AF120"/>
      <c r="AG120"/>
    </row>
    <row r="121" spans="1:33" s="18" customFormat="1">
      <c r="A121" s="31"/>
      <c r="B121" t="s">
        <v>66</v>
      </c>
      <c r="C121"/>
      <c r="D121"/>
      <c r="E121"/>
      <c r="F121"/>
      <c r="G121" s="42"/>
      <c r="H121" s="43"/>
      <c r="I121"/>
      <c r="J121"/>
      <c r="K121" s="42"/>
      <c r="L121" s="36">
        <v>0</v>
      </c>
      <c r="M121" s="6">
        <v>50</v>
      </c>
      <c r="N121" s="6">
        <v>0.6</v>
      </c>
      <c r="O121" s="6">
        <v>100</v>
      </c>
      <c r="P121"/>
      <c r="Q121"/>
      <c r="R121" s="42"/>
      <c r="S121" s="79">
        <v>0</v>
      </c>
      <c r="T121" s="85">
        <v>50</v>
      </c>
      <c r="U121" s="85">
        <v>0.6</v>
      </c>
      <c r="V121" s="85">
        <v>100</v>
      </c>
      <c r="W121" s="104">
        <f>T121+(5/U121)</f>
        <v>58.333333333333336</v>
      </c>
      <c r="X121" s="80"/>
      <c r="Y121" s="80"/>
      <c r="Z121" s="80"/>
      <c r="AA121" s="80"/>
      <c r="AB121" s="80"/>
      <c r="AC121" s="80"/>
      <c r="AD121" s="80"/>
      <c r="AE121"/>
      <c r="AF121"/>
      <c r="AG121"/>
    </row>
    <row r="122" spans="1:33" s="18" customFormat="1">
      <c r="A122" s="24">
        <v>610280</v>
      </c>
      <c r="B122" s="6" t="s">
        <v>70</v>
      </c>
      <c r="C122" s="6">
        <v>0</v>
      </c>
      <c r="D122" s="18">
        <v>50</v>
      </c>
      <c r="E122" s="18">
        <v>50</v>
      </c>
      <c r="G122" s="42" t="s">
        <v>202</v>
      </c>
      <c r="H122" s="43">
        <v>0</v>
      </c>
      <c r="I122" s="18">
        <v>25</v>
      </c>
      <c r="J122" s="18">
        <v>0.3</v>
      </c>
      <c r="K122" s="42">
        <v>40</v>
      </c>
      <c r="L122" s="43">
        <v>0</v>
      </c>
      <c r="M122" s="18">
        <v>20</v>
      </c>
      <c r="N122" s="18" t="s">
        <v>225</v>
      </c>
      <c r="O122" s="18">
        <v>40</v>
      </c>
      <c r="P122" s="18" t="s">
        <v>226</v>
      </c>
      <c r="R122" s="42"/>
      <c r="S122" s="79">
        <v>0</v>
      </c>
      <c r="T122" s="85">
        <v>20</v>
      </c>
      <c r="U122" s="85" t="s">
        <v>225</v>
      </c>
      <c r="V122" s="85">
        <v>40</v>
      </c>
      <c r="W122" s="104">
        <f>T122+(5/0.9)</f>
        <v>25.555555555555557</v>
      </c>
      <c r="X122" s="85" t="s">
        <v>226</v>
      </c>
      <c r="Y122" s="85"/>
      <c r="Z122" s="85"/>
      <c r="AA122" s="85"/>
      <c r="AB122" s="85"/>
      <c r="AC122" s="85"/>
      <c r="AD122" s="85"/>
    </row>
    <row r="123" spans="1:33" s="18" customFormat="1">
      <c r="A123" s="24">
        <v>610280</v>
      </c>
      <c r="B123" s="6" t="s">
        <v>73</v>
      </c>
      <c r="C123" s="6">
        <v>100</v>
      </c>
      <c r="D123" s="37" t="s">
        <v>185</v>
      </c>
      <c r="G123" s="42"/>
      <c r="H123" s="36">
        <v>100</v>
      </c>
      <c r="I123" s="37" t="s">
        <v>185</v>
      </c>
      <c r="K123" s="48" t="s">
        <v>185</v>
      </c>
      <c r="L123" s="43"/>
      <c r="R123" s="42"/>
      <c r="S123" s="79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</row>
    <row r="124" spans="1:33" s="27" customFormat="1" ht="16" thickBot="1">
      <c r="A124" s="25">
        <v>610280</v>
      </c>
      <c r="B124" s="26" t="s">
        <v>161</v>
      </c>
      <c r="C124" s="26"/>
      <c r="G124" s="46"/>
      <c r="H124" s="47"/>
      <c r="K124" s="46"/>
      <c r="L124" s="47"/>
      <c r="R124" s="46"/>
      <c r="S124" s="86"/>
      <c r="T124" s="87"/>
      <c r="U124" s="87"/>
      <c r="V124" s="87"/>
      <c r="W124" s="87"/>
      <c r="X124" s="87">
        <v>15</v>
      </c>
      <c r="Y124" s="87">
        <v>0.9</v>
      </c>
      <c r="Z124" s="87"/>
      <c r="AA124" s="104">
        <f>X124+(5/Y124)</f>
        <v>20.555555555555557</v>
      </c>
      <c r="AB124" s="104"/>
      <c r="AC124" s="104"/>
      <c r="AD124" s="104"/>
    </row>
    <row r="125" spans="1:33">
      <c r="A125" s="6">
        <v>610280</v>
      </c>
      <c r="B125" s="6" t="s">
        <v>74</v>
      </c>
      <c r="C125" s="6">
        <v>130</v>
      </c>
      <c r="D125" s="18" t="s">
        <v>201</v>
      </c>
      <c r="E125" s="37" t="s">
        <v>185</v>
      </c>
      <c r="F125" s="18" t="s">
        <v>193</v>
      </c>
      <c r="H125" s="43">
        <v>140</v>
      </c>
      <c r="I125" s="18" t="s">
        <v>210</v>
      </c>
      <c r="J125" s="18"/>
      <c r="K125" s="48" t="s">
        <v>185</v>
      </c>
      <c r="M125" s="18"/>
      <c r="N125" s="18"/>
      <c r="O125" s="18"/>
      <c r="P125" s="18">
        <v>30</v>
      </c>
      <c r="Q125" s="18">
        <v>0.9</v>
      </c>
      <c r="T125" s="85"/>
      <c r="U125" s="85"/>
      <c r="V125" s="85"/>
      <c r="W125" s="85"/>
      <c r="X125" s="85">
        <v>15</v>
      </c>
      <c r="Y125" s="85">
        <v>0.9</v>
      </c>
      <c r="Z125" s="85">
        <f>25/2</f>
        <v>12.5</v>
      </c>
      <c r="AA125" s="104">
        <f>X125+(5/Y125)</f>
        <v>20.555555555555557</v>
      </c>
      <c r="AB125" s="104"/>
      <c r="AC125" s="104"/>
      <c r="AD125" s="104"/>
      <c r="AE125" s="18" t="s">
        <v>369</v>
      </c>
      <c r="AF125" s="18"/>
      <c r="AG125" s="18"/>
    </row>
    <row r="126" spans="1:33">
      <c r="A126" s="6">
        <v>610280</v>
      </c>
      <c r="B126" s="6" t="s">
        <v>71</v>
      </c>
      <c r="C126" s="6">
        <v>50</v>
      </c>
      <c r="D126" s="6">
        <v>100</v>
      </c>
      <c r="E126" s="6">
        <v>100</v>
      </c>
      <c r="F126" s="18"/>
      <c r="H126" s="36">
        <v>25</v>
      </c>
      <c r="I126" s="6">
        <v>100</v>
      </c>
      <c r="J126" s="18"/>
      <c r="K126" s="42">
        <v>100</v>
      </c>
      <c r="L126" s="36">
        <v>0</v>
      </c>
      <c r="M126" s="6">
        <v>100</v>
      </c>
      <c r="N126" s="6">
        <v>0.6</v>
      </c>
      <c r="O126" s="6">
        <v>150</v>
      </c>
      <c r="P126" s="18"/>
      <c r="Q126" s="18"/>
      <c r="S126" s="79">
        <v>0</v>
      </c>
      <c r="T126" s="85">
        <v>100</v>
      </c>
      <c r="U126" s="85">
        <v>0.4</v>
      </c>
      <c r="V126" s="85">
        <v>150</v>
      </c>
      <c r="W126" s="104">
        <f>T126+(5/U126)</f>
        <v>112.5</v>
      </c>
      <c r="X126" s="85"/>
      <c r="Y126" s="85"/>
      <c r="Z126" s="85"/>
      <c r="AA126" s="85"/>
      <c r="AB126" s="85"/>
      <c r="AC126" s="85"/>
      <c r="AD126" s="85"/>
      <c r="AE126" s="18" t="s">
        <v>287</v>
      </c>
      <c r="AF126" s="18"/>
      <c r="AG126" s="18"/>
    </row>
    <row r="127" spans="1:33">
      <c r="A127" s="6">
        <v>610280</v>
      </c>
      <c r="B127" s="6" t="s">
        <v>160</v>
      </c>
      <c r="C127" s="6"/>
      <c r="D127" s="18"/>
      <c r="E127" s="18"/>
      <c r="F127" s="18"/>
      <c r="I127" s="18"/>
      <c r="J127" s="18"/>
      <c r="M127" s="18"/>
      <c r="N127" s="18"/>
      <c r="O127" s="18"/>
      <c r="P127" s="18"/>
      <c r="Q127" s="18"/>
      <c r="S127" s="79">
        <v>0</v>
      </c>
      <c r="T127" s="85">
        <v>100</v>
      </c>
      <c r="U127" s="85">
        <v>0.4</v>
      </c>
      <c r="V127" s="85">
        <v>150</v>
      </c>
      <c r="W127" s="104">
        <f>T127+(5/U127)</f>
        <v>112.5</v>
      </c>
      <c r="X127" s="85">
        <v>15</v>
      </c>
      <c r="Y127" s="85">
        <v>0.9</v>
      </c>
      <c r="Z127" s="85"/>
      <c r="AA127" s="104">
        <f>X127+(5/Y127)</f>
        <v>20.555555555555557</v>
      </c>
      <c r="AB127" s="104"/>
      <c r="AC127" s="104"/>
      <c r="AD127" s="104"/>
      <c r="AE127" s="18" t="s">
        <v>287</v>
      </c>
      <c r="AF127" s="18"/>
      <c r="AG127" s="18"/>
    </row>
    <row r="128" spans="1:33">
      <c r="A128" s="6">
        <v>610280</v>
      </c>
      <c r="B128" s="6" t="s">
        <v>72</v>
      </c>
      <c r="C128" s="6">
        <v>25</v>
      </c>
      <c r="D128" s="6" t="s">
        <v>201</v>
      </c>
      <c r="E128" s="18">
        <v>130</v>
      </c>
      <c r="F128" s="18" t="s">
        <v>192</v>
      </c>
      <c r="H128" s="43">
        <v>25</v>
      </c>
      <c r="I128" s="18" t="s">
        <v>210</v>
      </c>
      <c r="J128" s="6"/>
      <c r="K128" s="42">
        <v>140</v>
      </c>
      <c r="L128" s="43">
        <v>0</v>
      </c>
      <c r="M128" s="6">
        <v>100</v>
      </c>
      <c r="N128" s="6">
        <v>0.6</v>
      </c>
      <c r="O128" s="6">
        <v>150</v>
      </c>
      <c r="P128" s="6">
        <v>30</v>
      </c>
      <c r="Q128" s="6">
        <v>0.9</v>
      </c>
      <c r="S128" s="79">
        <v>0</v>
      </c>
      <c r="T128" s="85">
        <v>100</v>
      </c>
      <c r="U128" s="85">
        <v>0.4</v>
      </c>
      <c r="V128" s="85">
        <v>150</v>
      </c>
      <c r="W128" s="104">
        <f>T128+(5/U128)</f>
        <v>112.5</v>
      </c>
      <c r="X128" s="85">
        <v>15</v>
      </c>
      <c r="Y128" s="85">
        <v>0.9</v>
      </c>
      <c r="Z128" s="85">
        <f>25/2</f>
        <v>12.5</v>
      </c>
      <c r="AA128" s="104">
        <f>X128+(5/Y128)</f>
        <v>20.555555555555557</v>
      </c>
      <c r="AB128" s="104"/>
      <c r="AC128" s="104"/>
      <c r="AD128" s="104"/>
      <c r="AE128" s="18" t="s">
        <v>369</v>
      </c>
      <c r="AF128" s="18" t="s">
        <v>287</v>
      </c>
      <c r="AG128" s="18"/>
    </row>
    <row r="129" spans="1:33">
      <c r="A129" s="6"/>
      <c r="B129" s="6" t="s">
        <v>75</v>
      </c>
      <c r="C129" s="6"/>
      <c r="L129" s="43">
        <v>0</v>
      </c>
      <c r="M129">
        <v>80</v>
      </c>
      <c r="N129">
        <v>0.2</v>
      </c>
      <c r="O129">
        <v>150</v>
      </c>
      <c r="S129" s="79">
        <v>0</v>
      </c>
      <c r="T129" s="80">
        <v>80</v>
      </c>
      <c r="U129" s="80">
        <v>0.2</v>
      </c>
      <c r="V129" s="80">
        <v>150</v>
      </c>
      <c r="W129" s="104">
        <f>T129+(5/U129)</f>
        <v>105</v>
      </c>
    </row>
    <row r="130" spans="1:33">
      <c r="A130" s="6"/>
      <c r="B130" s="6" t="s">
        <v>78</v>
      </c>
      <c r="C130" s="6"/>
    </row>
    <row r="131" spans="1:33" ht="16" thickBot="1">
      <c r="A131" s="6"/>
      <c r="B131" s="6" t="s">
        <v>163</v>
      </c>
      <c r="C131" s="6"/>
      <c r="X131" s="80">
        <v>25</v>
      </c>
      <c r="Y131" s="80">
        <v>0.2</v>
      </c>
      <c r="AA131" s="104">
        <f>X131+(5/Y131)</f>
        <v>50</v>
      </c>
      <c r="AB131" s="104"/>
      <c r="AC131" s="104"/>
      <c r="AD131" s="104"/>
    </row>
    <row r="132" spans="1:33" s="21" customFormat="1">
      <c r="A132" s="19"/>
      <c r="B132" s="20" t="s">
        <v>79</v>
      </c>
      <c r="C132" s="20"/>
      <c r="G132" s="44"/>
      <c r="H132" s="45"/>
      <c r="K132" s="44"/>
      <c r="L132" s="45"/>
      <c r="P132" s="21">
        <v>50</v>
      </c>
      <c r="Q132" s="21">
        <v>0.2</v>
      </c>
      <c r="R132" s="44"/>
      <c r="S132" s="83"/>
      <c r="T132" s="84"/>
      <c r="U132" s="84"/>
      <c r="V132" s="84"/>
      <c r="W132" s="80"/>
      <c r="X132" s="84">
        <v>25</v>
      </c>
      <c r="Y132" s="84">
        <v>0.2</v>
      </c>
      <c r="Z132" s="84"/>
      <c r="AA132" s="110">
        <f>X132+(5/Y132)</f>
        <v>50</v>
      </c>
      <c r="AB132" s="110"/>
      <c r="AC132" s="110"/>
      <c r="AD132" s="110"/>
    </row>
    <row r="133" spans="1:33" s="18" customFormat="1">
      <c r="A133" s="24"/>
      <c r="B133" s="6" t="s">
        <v>76</v>
      </c>
      <c r="C133" s="6"/>
      <c r="D133"/>
      <c r="E133"/>
      <c r="F133"/>
      <c r="G133" s="42"/>
      <c r="H133" s="43"/>
      <c r="I133"/>
      <c r="J133"/>
      <c r="K133" s="42"/>
      <c r="L133" s="43">
        <v>0</v>
      </c>
      <c r="M133">
        <v>200</v>
      </c>
      <c r="N133">
        <v>0.4</v>
      </c>
      <c r="O133">
        <v>260</v>
      </c>
      <c r="P133"/>
      <c r="Q133"/>
      <c r="R133" s="42"/>
      <c r="S133" s="79">
        <v>0</v>
      </c>
      <c r="T133" s="80">
        <v>200</v>
      </c>
      <c r="U133" s="80">
        <v>0.4</v>
      </c>
      <c r="V133" s="80">
        <v>260</v>
      </c>
      <c r="W133" s="104">
        <f>T133+(5/U133)</f>
        <v>212.5</v>
      </c>
      <c r="X133" s="80"/>
      <c r="Y133" s="80"/>
      <c r="Z133" s="80"/>
      <c r="AA133" s="80"/>
      <c r="AB133" s="80"/>
      <c r="AC133" s="80"/>
      <c r="AD133" s="80"/>
      <c r="AE133"/>
      <c r="AF133"/>
      <c r="AG133"/>
    </row>
    <row r="134" spans="1:33" s="18" customFormat="1">
      <c r="A134" s="24"/>
      <c r="B134" s="6" t="s">
        <v>162</v>
      </c>
      <c r="C134" s="6"/>
      <c r="D134"/>
      <c r="E134"/>
      <c r="F134"/>
      <c r="G134" s="42"/>
      <c r="H134" s="43"/>
      <c r="I134"/>
      <c r="J134"/>
      <c r="K134" s="42"/>
      <c r="L134" s="43"/>
      <c r="M134"/>
      <c r="N134"/>
      <c r="O134"/>
      <c r="P134"/>
      <c r="Q134"/>
      <c r="R134" s="42"/>
      <c r="S134" s="79">
        <v>0</v>
      </c>
      <c r="T134" s="80">
        <v>200</v>
      </c>
      <c r="U134" s="80">
        <v>0.4</v>
      </c>
      <c r="V134" s="80">
        <v>260</v>
      </c>
      <c r="W134" s="104">
        <f>T134+(5/U134)</f>
        <v>212.5</v>
      </c>
      <c r="X134" s="80">
        <v>40</v>
      </c>
      <c r="Y134" s="80">
        <v>0.1</v>
      </c>
      <c r="Z134" s="80"/>
      <c r="AA134" s="104">
        <f>X134+(5/Y134)</f>
        <v>90</v>
      </c>
      <c r="AB134" s="104"/>
      <c r="AC134" s="104"/>
      <c r="AD134" s="104"/>
      <c r="AE134"/>
      <c r="AF134"/>
      <c r="AG134"/>
    </row>
    <row r="135" spans="1:33" s="18" customFormat="1">
      <c r="A135" s="24"/>
      <c r="B135" s="6" t="s">
        <v>77</v>
      </c>
      <c r="C135" s="6"/>
      <c r="D135"/>
      <c r="E135"/>
      <c r="F135"/>
      <c r="G135" s="42"/>
      <c r="H135" s="43"/>
      <c r="I135"/>
      <c r="J135"/>
      <c r="K135" s="42"/>
      <c r="L135" s="43">
        <v>0</v>
      </c>
      <c r="M135">
        <v>200</v>
      </c>
      <c r="N135">
        <v>0.4</v>
      </c>
      <c r="O135">
        <v>260</v>
      </c>
      <c r="P135">
        <v>80</v>
      </c>
      <c r="Q135">
        <v>0.1</v>
      </c>
      <c r="R135" s="42"/>
      <c r="S135" s="79">
        <v>0</v>
      </c>
      <c r="T135" s="80">
        <v>200</v>
      </c>
      <c r="U135" s="80">
        <v>0.4</v>
      </c>
      <c r="V135" s="80">
        <v>260</v>
      </c>
      <c r="W135" s="104">
        <f>T135+(5/U135)</f>
        <v>212.5</v>
      </c>
      <c r="X135" s="80">
        <v>40</v>
      </c>
      <c r="Y135" s="80">
        <v>0.1</v>
      </c>
      <c r="Z135" s="80"/>
      <c r="AA135" s="104">
        <f>X135+(5/Y135)</f>
        <v>90</v>
      </c>
      <c r="AB135" s="104"/>
      <c r="AC135" s="104"/>
      <c r="AD135" s="104"/>
      <c r="AE135"/>
      <c r="AF135"/>
      <c r="AG135"/>
    </row>
    <row r="136" spans="1:33" s="18" customFormat="1">
      <c r="A136" s="24">
        <v>610270</v>
      </c>
      <c r="B136" s="6" t="s">
        <v>80</v>
      </c>
      <c r="C136" s="6">
        <v>0</v>
      </c>
      <c r="D136" s="18">
        <v>50</v>
      </c>
      <c r="E136" s="18">
        <v>50</v>
      </c>
      <c r="G136" s="42" t="s">
        <v>199</v>
      </c>
      <c r="H136" s="43">
        <v>0</v>
      </c>
      <c r="I136" s="18">
        <v>20</v>
      </c>
      <c r="J136" s="18">
        <v>0.35</v>
      </c>
      <c r="K136" s="42">
        <v>45</v>
      </c>
      <c r="L136" s="43">
        <v>0</v>
      </c>
      <c r="M136" s="18">
        <v>40</v>
      </c>
      <c r="N136" s="18">
        <v>0.4</v>
      </c>
      <c r="O136" s="18">
        <v>80</v>
      </c>
      <c r="R136" s="42"/>
      <c r="S136" s="79">
        <v>0</v>
      </c>
      <c r="T136" s="85">
        <v>40</v>
      </c>
      <c r="U136" s="85">
        <v>0.4</v>
      </c>
      <c r="V136" s="85">
        <v>80</v>
      </c>
      <c r="W136" s="104">
        <f>T136+(5/U136)</f>
        <v>52.5</v>
      </c>
      <c r="X136" s="85"/>
      <c r="Y136" s="85"/>
      <c r="Z136" s="85"/>
      <c r="AA136" s="85"/>
      <c r="AB136" s="85"/>
      <c r="AC136" s="85"/>
      <c r="AD136" s="85"/>
    </row>
    <row r="137" spans="1:33" s="18" customFormat="1">
      <c r="A137" s="24">
        <v>610270</v>
      </c>
      <c r="B137" s="6" t="s">
        <v>83</v>
      </c>
      <c r="C137" s="6">
        <v>100</v>
      </c>
      <c r="D137" s="37" t="s">
        <v>185</v>
      </c>
      <c r="G137" s="42"/>
      <c r="H137" s="36">
        <v>100</v>
      </c>
      <c r="I137" s="37" t="s">
        <v>185</v>
      </c>
      <c r="K137" s="48" t="s">
        <v>185</v>
      </c>
      <c r="L137" s="43"/>
      <c r="R137" s="42"/>
      <c r="S137" s="79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</row>
    <row r="138" spans="1:33" s="27" customFormat="1" ht="16" thickBot="1">
      <c r="A138" s="25">
        <v>610270</v>
      </c>
      <c r="B138" s="26" t="s">
        <v>165</v>
      </c>
      <c r="C138" s="26"/>
      <c r="G138" s="46"/>
      <c r="H138" s="47"/>
      <c r="K138" s="46"/>
      <c r="L138" s="47"/>
      <c r="R138" s="46"/>
      <c r="S138" s="86"/>
      <c r="T138" s="87"/>
      <c r="U138" s="87"/>
      <c r="V138" s="87"/>
      <c r="W138" s="87"/>
      <c r="X138" s="87">
        <v>20</v>
      </c>
      <c r="Y138" s="87">
        <v>0.6</v>
      </c>
      <c r="Z138" s="87"/>
      <c r="AA138" s="104">
        <f>X138+(5/Y138)</f>
        <v>28.333333333333336</v>
      </c>
      <c r="AB138" s="104"/>
      <c r="AC138" s="104"/>
      <c r="AD138" s="104"/>
    </row>
    <row r="139" spans="1:33">
      <c r="A139" s="6">
        <v>610270</v>
      </c>
      <c r="B139" s="6" t="s">
        <v>84</v>
      </c>
      <c r="C139" s="6">
        <v>130</v>
      </c>
      <c r="D139" s="18" t="s">
        <v>201</v>
      </c>
      <c r="E139" s="37" t="s">
        <v>185</v>
      </c>
      <c r="F139" s="18" t="s">
        <v>193</v>
      </c>
      <c r="H139" s="43">
        <v>140</v>
      </c>
      <c r="I139" s="37" t="s">
        <v>205</v>
      </c>
      <c r="J139" s="18"/>
      <c r="K139" s="48" t="s">
        <v>185</v>
      </c>
      <c r="M139" s="18"/>
      <c r="N139" s="18"/>
      <c r="O139" s="18"/>
      <c r="P139" s="18">
        <v>40</v>
      </c>
      <c r="Q139" s="18">
        <v>0.6</v>
      </c>
      <c r="T139" s="85"/>
      <c r="U139" s="85"/>
      <c r="V139" s="85"/>
      <c r="W139" s="85"/>
      <c r="X139" s="85">
        <v>20</v>
      </c>
      <c r="Y139" s="85">
        <v>0.6</v>
      </c>
      <c r="Z139" s="85">
        <f>30/2</f>
        <v>15</v>
      </c>
      <c r="AA139" s="104">
        <f>X139+(5/Y139)</f>
        <v>28.333333333333336</v>
      </c>
      <c r="AB139" s="104"/>
      <c r="AC139" s="104"/>
      <c r="AD139" s="104"/>
      <c r="AE139" s="18"/>
      <c r="AF139" s="18"/>
      <c r="AG139" s="18"/>
    </row>
    <row r="140" spans="1:33">
      <c r="A140" s="6">
        <v>610270</v>
      </c>
      <c r="B140" s="6" t="s">
        <v>81</v>
      </c>
      <c r="C140" s="6">
        <v>50</v>
      </c>
      <c r="D140" s="18">
        <v>100</v>
      </c>
      <c r="E140" s="18">
        <v>100</v>
      </c>
      <c r="F140" s="18"/>
      <c r="H140" s="36">
        <v>20</v>
      </c>
      <c r="I140" s="6">
        <v>100</v>
      </c>
      <c r="J140" s="18"/>
      <c r="K140" s="42">
        <v>100</v>
      </c>
      <c r="L140" s="36">
        <v>0</v>
      </c>
      <c r="M140" s="6">
        <v>160</v>
      </c>
      <c r="N140" s="6">
        <v>0.4</v>
      </c>
      <c r="O140" s="6">
        <v>200</v>
      </c>
      <c r="P140" s="6">
        <v>80</v>
      </c>
      <c r="Q140" s="6">
        <v>0.3</v>
      </c>
      <c r="S140" s="79">
        <v>0</v>
      </c>
      <c r="T140" s="85">
        <v>160</v>
      </c>
      <c r="U140" s="85">
        <v>0.4</v>
      </c>
      <c r="V140" s="85">
        <v>200</v>
      </c>
      <c r="W140" s="104">
        <f>T140+(5/U140)</f>
        <v>172.5</v>
      </c>
      <c r="X140" s="85"/>
      <c r="Y140" s="85"/>
      <c r="Z140" s="85"/>
      <c r="AA140" s="85"/>
      <c r="AB140" s="85"/>
      <c r="AC140" s="85"/>
      <c r="AD140" s="85"/>
      <c r="AE140" s="18"/>
      <c r="AF140" s="18"/>
      <c r="AG140" s="18"/>
    </row>
    <row r="141" spans="1:33">
      <c r="A141" s="6">
        <v>610270</v>
      </c>
      <c r="B141" s="6" t="s">
        <v>164</v>
      </c>
      <c r="C141" s="6"/>
      <c r="D141" s="18"/>
      <c r="E141" s="18"/>
      <c r="F141" s="18"/>
      <c r="I141" s="18"/>
      <c r="J141" s="18"/>
      <c r="M141" s="18"/>
      <c r="N141" s="18"/>
      <c r="O141" s="18"/>
      <c r="P141" s="18"/>
      <c r="Q141" s="18"/>
      <c r="S141" s="79">
        <v>0</v>
      </c>
      <c r="T141" s="85">
        <v>160</v>
      </c>
      <c r="U141" s="85">
        <v>0.4</v>
      </c>
      <c r="V141" s="85">
        <v>200</v>
      </c>
      <c r="W141" s="104">
        <f>T141+(5/U141)</f>
        <v>172.5</v>
      </c>
      <c r="X141" s="85">
        <v>40</v>
      </c>
      <c r="Y141" s="85">
        <v>0.3</v>
      </c>
      <c r="Z141" s="85"/>
      <c r="AA141" s="104">
        <f>X141+(5/Y141)</f>
        <v>56.666666666666671</v>
      </c>
      <c r="AB141" s="104"/>
      <c r="AC141" s="104"/>
      <c r="AD141" s="104"/>
      <c r="AE141" s="18"/>
      <c r="AF141" s="18"/>
      <c r="AG141" s="18"/>
    </row>
    <row r="142" spans="1:33">
      <c r="A142" s="6">
        <v>610270</v>
      </c>
      <c r="B142" s="6" t="s">
        <v>82</v>
      </c>
      <c r="C142" s="6">
        <v>25</v>
      </c>
      <c r="D142" s="18" t="s">
        <v>200</v>
      </c>
      <c r="E142" s="18">
        <v>130</v>
      </c>
      <c r="F142" s="18" t="s">
        <v>192</v>
      </c>
      <c r="H142" s="43">
        <v>25</v>
      </c>
      <c r="I142" s="18" t="s">
        <v>205</v>
      </c>
      <c r="J142" s="18"/>
      <c r="K142" s="42">
        <v>140</v>
      </c>
      <c r="L142" s="36">
        <v>0</v>
      </c>
      <c r="M142" s="6">
        <v>160</v>
      </c>
      <c r="N142" s="6">
        <v>0.4</v>
      </c>
      <c r="O142" s="6">
        <v>200</v>
      </c>
      <c r="P142" s="6"/>
      <c r="Q142" s="18"/>
      <c r="S142" s="79">
        <v>0</v>
      </c>
      <c r="T142" s="85">
        <v>160</v>
      </c>
      <c r="U142" s="85">
        <v>0.4</v>
      </c>
      <c r="V142" s="85">
        <v>200</v>
      </c>
      <c r="W142" s="104">
        <f>T142+(5/U142)</f>
        <v>172.5</v>
      </c>
      <c r="X142" s="85">
        <v>40</v>
      </c>
      <c r="Y142" s="85">
        <v>0.3</v>
      </c>
      <c r="Z142" s="85">
        <f>30/2</f>
        <v>15</v>
      </c>
      <c r="AA142" s="104">
        <f>X142+(5/Y142)</f>
        <v>56.666666666666671</v>
      </c>
      <c r="AB142" s="104"/>
      <c r="AC142" s="104"/>
      <c r="AD142" s="104"/>
      <c r="AE142" s="18" t="s">
        <v>370</v>
      </c>
      <c r="AF142" s="18"/>
      <c r="AG142" s="18"/>
    </row>
    <row r="143" spans="1:33">
      <c r="A143" s="6">
        <v>711720</v>
      </c>
      <c r="B143" s="6" t="s">
        <v>87</v>
      </c>
      <c r="C143" s="6">
        <v>0</v>
      </c>
      <c r="D143" t="s">
        <v>204</v>
      </c>
      <c r="E143">
        <v>30</v>
      </c>
      <c r="F143" t="s">
        <v>192</v>
      </c>
      <c r="L143" s="43">
        <v>0</v>
      </c>
      <c r="M143">
        <v>30</v>
      </c>
      <c r="N143" t="s">
        <v>227</v>
      </c>
      <c r="O143">
        <v>70</v>
      </c>
      <c r="S143" s="79">
        <v>0</v>
      </c>
      <c r="T143" s="80">
        <v>30</v>
      </c>
      <c r="U143" s="80" t="s">
        <v>227</v>
      </c>
      <c r="V143" s="80">
        <v>70</v>
      </c>
      <c r="W143" s="104">
        <f>T143+(5/0.4)</f>
        <v>42.5</v>
      </c>
    </row>
    <row r="144" spans="1:33">
      <c r="A144" s="6"/>
      <c r="B144" s="6" t="s">
        <v>90</v>
      </c>
      <c r="C144" s="6">
        <v>100</v>
      </c>
      <c r="D144" s="35" t="s">
        <v>185</v>
      </c>
      <c r="E144" s="35" t="s">
        <v>185</v>
      </c>
    </row>
    <row r="145" spans="1:33" ht="16" thickBot="1">
      <c r="A145" s="6"/>
      <c r="B145" s="6" t="s">
        <v>167</v>
      </c>
      <c r="C145" s="6"/>
      <c r="X145" s="80">
        <v>15</v>
      </c>
      <c r="Y145" s="80">
        <v>0.8</v>
      </c>
      <c r="AA145" s="104">
        <f>X145+(5/Y145)</f>
        <v>21.25</v>
      </c>
      <c r="AB145" s="104"/>
      <c r="AC145" s="104"/>
      <c r="AD145" s="104"/>
    </row>
    <row r="146" spans="1:33" s="21" customFormat="1">
      <c r="A146" s="19"/>
      <c r="B146" s="20" t="s">
        <v>91</v>
      </c>
      <c r="C146" s="20">
        <v>100</v>
      </c>
      <c r="D146" s="21" t="s">
        <v>205</v>
      </c>
      <c r="E146" s="108" t="s">
        <v>185</v>
      </c>
      <c r="F146" s="21" t="s">
        <v>193</v>
      </c>
      <c r="G146" s="44"/>
      <c r="H146" s="45"/>
      <c r="K146" s="44"/>
      <c r="L146" s="45"/>
      <c r="P146" s="21">
        <v>30</v>
      </c>
      <c r="Q146" s="21">
        <v>0.8</v>
      </c>
      <c r="R146" s="44"/>
      <c r="S146" s="83"/>
      <c r="T146" s="84"/>
      <c r="U146" s="84"/>
      <c r="V146" s="84"/>
      <c r="W146" s="80"/>
      <c r="X146" s="84">
        <v>15</v>
      </c>
      <c r="Y146" s="84">
        <v>0.8</v>
      </c>
      <c r="Z146" s="84"/>
      <c r="AA146" s="110">
        <f>X146+(5/Y146)</f>
        <v>21.25</v>
      </c>
      <c r="AB146" s="110"/>
      <c r="AC146" s="110"/>
      <c r="AD146" s="110"/>
    </row>
    <row r="147" spans="1:33" s="18" customFormat="1">
      <c r="A147" s="24"/>
      <c r="B147" s="6" t="s">
        <v>88</v>
      </c>
      <c r="C147" s="6">
        <v>30</v>
      </c>
      <c r="D147">
        <v>100</v>
      </c>
      <c r="E147">
        <v>100</v>
      </c>
      <c r="F147"/>
      <c r="G147" s="42"/>
      <c r="H147" s="43"/>
      <c r="I147"/>
      <c r="J147"/>
      <c r="K147" s="42"/>
      <c r="L147" s="43">
        <v>0</v>
      </c>
      <c r="M147">
        <v>70</v>
      </c>
      <c r="N147">
        <v>0.6</v>
      </c>
      <c r="O147">
        <v>120</v>
      </c>
      <c r="P147"/>
      <c r="Q147"/>
      <c r="R147" s="42"/>
      <c r="S147" s="79">
        <v>0</v>
      </c>
      <c r="T147" s="80">
        <v>70</v>
      </c>
      <c r="U147" s="85">
        <v>0.4</v>
      </c>
      <c r="V147" s="80">
        <v>120</v>
      </c>
      <c r="W147" s="104">
        <f>T147+(5/U147)</f>
        <v>82.5</v>
      </c>
      <c r="X147" s="80"/>
      <c r="Y147" s="80"/>
      <c r="Z147" s="80"/>
      <c r="AA147" s="80"/>
      <c r="AB147" s="80"/>
      <c r="AC147" s="80"/>
      <c r="AD147" s="80"/>
      <c r="AE147" s="18" t="s">
        <v>287</v>
      </c>
      <c r="AF147"/>
      <c r="AG147"/>
    </row>
    <row r="148" spans="1:33" s="18" customFormat="1">
      <c r="A148" s="24"/>
      <c r="B148" s="6" t="s">
        <v>166</v>
      </c>
      <c r="C148" s="6"/>
      <c r="D148"/>
      <c r="E148"/>
      <c r="F148"/>
      <c r="G148" s="42"/>
      <c r="H148" s="43"/>
      <c r="I148"/>
      <c r="J148"/>
      <c r="K148" s="42"/>
      <c r="L148" s="43"/>
      <c r="M148"/>
      <c r="N148"/>
      <c r="O148"/>
      <c r="P148"/>
      <c r="Q148"/>
      <c r="R148" s="42"/>
      <c r="S148" s="79">
        <v>0</v>
      </c>
      <c r="T148" s="80">
        <v>70</v>
      </c>
      <c r="U148" s="85">
        <v>0.4</v>
      </c>
      <c r="V148" s="80">
        <v>120</v>
      </c>
      <c r="W148" s="104">
        <f>T148+(5/U148)</f>
        <v>82.5</v>
      </c>
      <c r="X148" s="80">
        <v>15</v>
      </c>
      <c r="Y148" s="80">
        <v>0.8</v>
      </c>
      <c r="Z148" s="80"/>
      <c r="AA148" s="104">
        <f>X148+(5/Y148)</f>
        <v>21.25</v>
      </c>
      <c r="AB148" s="104"/>
      <c r="AC148" s="104"/>
      <c r="AD148" s="104"/>
      <c r="AE148" s="18" t="s">
        <v>287</v>
      </c>
      <c r="AF148"/>
      <c r="AG148"/>
    </row>
    <row r="149" spans="1:33" s="18" customFormat="1">
      <c r="A149" s="24"/>
      <c r="B149" s="6" t="s">
        <v>89</v>
      </c>
      <c r="C149" s="6">
        <v>30</v>
      </c>
      <c r="D149" t="s">
        <v>205</v>
      </c>
      <c r="E149">
        <v>100</v>
      </c>
      <c r="F149" t="s">
        <v>192</v>
      </c>
      <c r="G149" s="42"/>
      <c r="H149" s="43"/>
      <c r="I149"/>
      <c r="J149"/>
      <c r="K149" s="42"/>
      <c r="L149" s="43">
        <v>0</v>
      </c>
      <c r="M149">
        <v>70</v>
      </c>
      <c r="N149">
        <v>0.6</v>
      </c>
      <c r="O149">
        <v>120</v>
      </c>
      <c r="P149">
        <v>30</v>
      </c>
      <c r="Q149">
        <v>0.8</v>
      </c>
      <c r="R149" s="42"/>
      <c r="S149" s="79">
        <v>0</v>
      </c>
      <c r="T149" s="80">
        <v>70</v>
      </c>
      <c r="U149" s="85">
        <v>0.4</v>
      </c>
      <c r="V149" s="80">
        <v>120</v>
      </c>
      <c r="W149" s="104">
        <f>T149+(5/U149)</f>
        <v>82.5</v>
      </c>
      <c r="X149" s="80">
        <v>15</v>
      </c>
      <c r="Y149" s="80">
        <v>0.8</v>
      </c>
      <c r="Z149" s="80"/>
      <c r="AA149" s="104">
        <f>X149+(5/Y149)</f>
        <v>21.25</v>
      </c>
      <c r="AB149" s="104"/>
      <c r="AC149" s="104"/>
      <c r="AD149" s="104"/>
      <c r="AE149" s="18" t="s">
        <v>287</v>
      </c>
      <c r="AF149"/>
      <c r="AG149"/>
    </row>
    <row r="150" spans="1:33" s="18" customFormat="1">
      <c r="A150" s="31"/>
      <c r="B150" s="18" t="s">
        <v>97</v>
      </c>
      <c r="G150" s="42"/>
      <c r="H150" s="43"/>
      <c r="K150" s="42"/>
      <c r="L150" s="43">
        <v>0</v>
      </c>
      <c r="M150" s="18">
        <v>10</v>
      </c>
      <c r="N150" s="18">
        <v>1</v>
      </c>
      <c r="O150" s="18">
        <v>10</v>
      </c>
      <c r="R150" s="42"/>
      <c r="S150" s="79">
        <v>0</v>
      </c>
      <c r="T150" s="85">
        <v>10</v>
      </c>
      <c r="U150" s="85">
        <v>1</v>
      </c>
      <c r="V150" s="85">
        <v>10</v>
      </c>
      <c r="W150" s="104">
        <f>V150-T150</f>
        <v>0</v>
      </c>
      <c r="X150" s="85"/>
      <c r="Y150" s="85"/>
      <c r="Z150" s="85"/>
      <c r="AA150" s="85"/>
      <c r="AB150" s="85"/>
      <c r="AC150" s="85"/>
      <c r="AD150" s="85"/>
    </row>
    <row r="151" spans="1:33" s="18" customFormat="1">
      <c r="A151" s="31"/>
      <c r="B151" s="18" t="s">
        <v>99</v>
      </c>
      <c r="G151" s="42"/>
      <c r="H151" s="43"/>
      <c r="K151" s="42"/>
      <c r="L151" s="43"/>
      <c r="R151" s="42"/>
      <c r="S151" s="79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</row>
    <row r="152" spans="1:33" s="27" customFormat="1" ht="16" thickBot="1">
      <c r="A152" s="32"/>
      <c r="B152" s="27" t="s">
        <v>98</v>
      </c>
      <c r="G152" s="46"/>
      <c r="H152" s="47"/>
      <c r="K152" s="46"/>
      <c r="L152" s="100">
        <v>0</v>
      </c>
      <c r="M152" s="26">
        <v>80</v>
      </c>
      <c r="N152" s="26">
        <v>0.6</v>
      </c>
      <c r="O152" s="26">
        <v>130</v>
      </c>
      <c r="R152" s="46"/>
      <c r="S152" s="86">
        <v>0</v>
      </c>
      <c r="T152" s="87">
        <v>80</v>
      </c>
      <c r="U152" s="87">
        <v>0.6</v>
      </c>
      <c r="V152" s="87">
        <v>130</v>
      </c>
      <c r="W152" s="109">
        <f>T152+(5/U152)</f>
        <v>88.333333333333329</v>
      </c>
      <c r="X152" s="87"/>
      <c r="Y152" s="87"/>
      <c r="Z152" s="87"/>
      <c r="AA152" s="85"/>
      <c r="AB152" s="85"/>
      <c r="AC152" s="85"/>
      <c r="AD152" s="85"/>
    </row>
    <row r="153" spans="1:33" s="21" customFormat="1">
      <c r="A153" s="19">
        <v>610310</v>
      </c>
      <c r="B153" s="20" t="s">
        <v>92</v>
      </c>
      <c r="C153" s="6">
        <v>0</v>
      </c>
      <c r="D153" s="18">
        <v>50</v>
      </c>
      <c r="E153" s="18">
        <v>50</v>
      </c>
      <c r="G153" s="44" t="s">
        <v>202</v>
      </c>
      <c r="H153" s="45"/>
      <c r="K153" s="44"/>
      <c r="L153" s="45">
        <v>0</v>
      </c>
      <c r="M153" s="21">
        <v>40</v>
      </c>
      <c r="N153" s="21" t="s">
        <v>228</v>
      </c>
      <c r="O153" s="21">
        <v>80</v>
      </c>
      <c r="R153" s="44"/>
      <c r="S153" s="79">
        <v>0</v>
      </c>
      <c r="T153" s="85">
        <v>40</v>
      </c>
      <c r="U153" s="85" t="s">
        <v>228</v>
      </c>
      <c r="V153" s="85">
        <v>80</v>
      </c>
      <c r="W153" s="104">
        <f>T153+(5/0.7)</f>
        <v>47.142857142857146</v>
      </c>
      <c r="X153" s="84"/>
      <c r="Y153" s="84"/>
      <c r="Z153" s="84"/>
      <c r="AA153" s="84"/>
      <c r="AB153" s="84"/>
      <c r="AC153" s="84"/>
      <c r="AD153" s="84"/>
    </row>
    <row r="154" spans="1:33" s="18" customFormat="1">
      <c r="A154" s="24">
        <v>610310</v>
      </c>
      <c r="B154" s="6" t="s">
        <v>95</v>
      </c>
      <c r="C154" s="6">
        <v>150</v>
      </c>
      <c r="D154" s="37" t="s">
        <v>185</v>
      </c>
      <c r="E154" s="37" t="s">
        <v>185</v>
      </c>
      <c r="G154" s="42"/>
      <c r="H154" s="43"/>
      <c r="K154" s="42"/>
      <c r="L154" s="43"/>
      <c r="R154" s="42"/>
      <c r="S154" s="79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</row>
    <row r="155" spans="1:33" s="18" customFormat="1">
      <c r="A155" s="24">
        <v>610310</v>
      </c>
      <c r="B155" s="6" t="s">
        <v>169</v>
      </c>
      <c r="C155" s="6"/>
      <c r="G155" s="42"/>
      <c r="H155" s="43"/>
      <c r="K155" s="42"/>
      <c r="L155" s="43"/>
      <c r="R155" s="42"/>
      <c r="S155" s="79"/>
      <c r="T155" s="85"/>
      <c r="U155" s="85"/>
      <c r="V155" s="85"/>
      <c r="W155" s="85"/>
      <c r="X155" s="85">
        <v>25</v>
      </c>
      <c r="Y155" s="85">
        <v>0.7</v>
      </c>
      <c r="Z155" s="85"/>
      <c r="AA155" s="104">
        <f>X155+(5/Y155)</f>
        <v>32.142857142857146</v>
      </c>
      <c r="AB155" s="104"/>
      <c r="AC155" s="104"/>
      <c r="AD155" s="104"/>
    </row>
    <row r="156" spans="1:33" s="18" customFormat="1">
      <c r="A156" s="24">
        <v>610310</v>
      </c>
      <c r="B156" s="6" t="s">
        <v>96</v>
      </c>
      <c r="C156" s="6">
        <v>200</v>
      </c>
      <c r="D156" s="18" t="s">
        <v>203</v>
      </c>
      <c r="E156" s="37" t="s">
        <v>185</v>
      </c>
      <c r="G156" s="42"/>
      <c r="H156" s="43"/>
      <c r="K156" s="42"/>
      <c r="L156" s="43"/>
      <c r="P156" s="18">
        <v>50</v>
      </c>
      <c r="Q156" s="18">
        <v>0.7</v>
      </c>
      <c r="R156" s="42"/>
      <c r="S156" s="79"/>
      <c r="T156" s="85"/>
      <c r="U156" s="85"/>
      <c r="V156" s="85"/>
      <c r="W156" s="85"/>
      <c r="X156" s="85">
        <v>25</v>
      </c>
      <c r="Y156" s="85">
        <v>0.7</v>
      </c>
      <c r="Z156" s="85"/>
      <c r="AA156" s="104">
        <f>X156+(5/Y156)</f>
        <v>32.142857142857146</v>
      </c>
      <c r="AB156" s="104"/>
      <c r="AC156" s="104"/>
      <c r="AD156" s="104"/>
    </row>
    <row r="157" spans="1:33" s="18" customFormat="1">
      <c r="A157" s="24">
        <v>610310</v>
      </c>
      <c r="B157" s="6" t="s">
        <v>93</v>
      </c>
      <c r="C157" s="6">
        <v>50</v>
      </c>
      <c r="D157" s="18">
        <v>150</v>
      </c>
      <c r="E157" s="6">
        <v>150</v>
      </c>
      <c r="G157" s="42"/>
      <c r="H157" s="43"/>
      <c r="K157" s="42"/>
      <c r="L157" s="43">
        <v>0</v>
      </c>
      <c r="M157" s="18">
        <v>100</v>
      </c>
      <c r="N157" s="18">
        <v>0.4</v>
      </c>
      <c r="O157" s="6">
        <v>200</v>
      </c>
      <c r="R157" s="42"/>
      <c r="S157" s="79">
        <v>0</v>
      </c>
      <c r="T157" s="85">
        <v>100</v>
      </c>
      <c r="U157" s="85">
        <v>0.2</v>
      </c>
      <c r="V157" s="85">
        <v>200</v>
      </c>
      <c r="W157" s="104">
        <f>T157+(5/U157)</f>
        <v>125</v>
      </c>
      <c r="X157" s="85"/>
      <c r="Y157" s="85"/>
      <c r="Z157" s="85"/>
      <c r="AA157" s="85"/>
      <c r="AB157" s="85"/>
      <c r="AC157" s="85"/>
      <c r="AD157" s="85"/>
      <c r="AE157" s="18" t="s">
        <v>288</v>
      </c>
    </row>
    <row r="158" spans="1:33" s="18" customFormat="1">
      <c r="A158" s="24">
        <v>610310</v>
      </c>
      <c r="B158" s="6" t="s">
        <v>168</v>
      </c>
      <c r="C158" s="6"/>
      <c r="G158" s="42"/>
      <c r="H158" s="43"/>
      <c r="K158" s="42"/>
      <c r="L158" s="43"/>
      <c r="R158" s="42"/>
      <c r="S158" s="79">
        <v>0</v>
      </c>
      <c r="T158" s="85">
        <v>130</v>
      </c>
      <c r="U158" s="85">
        <v>0.3</v>
      </c>
      <c r="V158" s="85">
        <v>210</v>
      </c>
      <c r="W158" s="104">
        <f>T158+(5/U158)</f>
        <v>146.66666666666666</v>
      </c>
      <c r="X158" s="85">
        <v>20</v>
      </c>
      <c r="Y158" s="85">
        <v>0.8</v>
      </c>
      <c r="Z158" s="85"/>
      <c r="AA158" s="104">
        <f>X158+(5/Y158)</f>
        <v>26.25</v>
      </c>
      <c r="AB158" s="104"/>
      <c r="AC158" s="104"/>
      <c r="AD158" s="104"/>
      <c r="AE158" s="18" t="s">
        <v>289</v>
      </c>
    </row>
    <row r="159" spans="1:33" s="27" customFormat="1" ht="16" thickBot="1">
      <c r="A159" s="25">
        <v>610310</v>
      </c>
      <c r="B159" s="26" t="s">
        <v>94</v>
      </c>
      <c r="C159" s="26">
        <v>25</v>
      </c>
      <c r="D159" s="27" t="s">
        <v>203</v>
      </c>
      <c r="E159" s="27">
        <v>200</v>
      </c>
      <c r="G159" s="46"/>
      <c r="H159" s="47"/>
      <c r="K159" s="46"/>
      <c r="L159" s="47">
        <v>0</v>
      </c>
      <c r="M159" s="27">
        <v>170</v>
      </c>
      <c r="N159" s="27">
        <v>0.6</v>
      </c>
      <c r="O159" s="26">
        <v>230</v>
      </c>
      <c r="P159" s="26">
        <v>40</v>
      </c>
      <c r="Q159" s="26">
        <v>0.8</v>
      </c>
      <c r="R159" s="46"/>
      <c r="S159" s="86">
        <v>0</v>
      </c>
      <c r="T159" s="87">
        <v>170</v>
      </c>
      <c r="U159" s="87">
        <v>0.4</v>
      </c>
      <c r="V159" s="87">
        <v>230</v>
      </c>
      <c r="W159" s="109">
        <f>T159+(5/U159)</f>
        <v>182.5</v>
      </c>
      <c r="X159" s="87">
        <v>20</v>
      </c>
      <c r="Y159" s="87">
        <v>0.8</v>
      </c>
      <c r="Z159" s="87"/>
      <c r="AA159" s="104">
        <f>X159+(5/Y159)</f>
        <v>26.25</v>
      </c>
      <c r="AB159" s="104"/>
      <c r="AC159" s="104"/>
      <c r="AD159" s="104"/>
      <c r="AE159" s="27" t="s">
        <v>287</v>
      </c>
    </row>
    <row r="166" spans="2:3">
      <c r="B166" s="6"/>
      <c r="C166" s="6"/>
    </row>
    <row r="167" spans="2:3">
      <c r="B167" s="6"/>
      <c r="C167" s="6"/>
    </row>
    <row r="168" spans="2:3">
      <c r="B168" s="6"/>
      <c r="C168" s="6"/>
    </row>
    <row r="169" spans="2:3">
      <c r="B169" s="6"/>
      <c r="C169" s="6"/>
    </row>
    <row r="170" spans="2:3">
      <c r="B170" s="6"/>
      <c r="C170" s="6"/>
    </row>
    <row r="171" spans="2:3">
      <c r="B171" s="6"/>
      <c r="C171" s="6"/>
    </row>
    <row r="172" spans="2:3">
      <c r="B172" s="6"/>
      <c r="C172" s="6"/>
    </row>
    <row r="174" spans="2:3">
      <c r="B174" s="6"/>
      <c r="C174" s="6"/>
    </row>
    <row r="175" spans="2:3">
      <c r="B175" s="6"/>
      <c r="C175" s="6"/>
    </row>
    <row r="176" spans="2:3">
      <c r="B176" s="6"/>
      <c r="C176" s="6"/>
    </row>
    <row r="177" spans="2:3">
      <c r="B177" s="6"/>
      <c r="C177" s="6"/>
    </row>
    <row r="178" spans="2:3">
      <c r="B178" s="6"/>
      <c r="C178" s="6"/>
    </row>
    <row r="179" spans="2:3">
      <c r="B179" s="6"/>
      <c r="C179" s="6"/>
    </row>
    <row r="180" spans="2:3">
      <c r="B180" s="6"/>
      <c r="C180" s="6"/>
    </row>
    <row r="184" spans="2:3">
      <c r="B184" s="6"/>
      <c r="C184" s="6"/>
    </row>
    <row r="185" spans="2:3">
      <c r="B185" s="6"/>
      <c r="C185" s="6"/>
    </row>
    <row r="186" spans="2:3">
      <c r="B186" s="6"/>
      <c r="C186" s="6"/>
    </row>
    <row r="187" spans="2:3">
      <c r="B187" s="6"/>
      <c r="C187" s="6"/>
    </row>
    <row r="188" spans="2:3">
      <c r="B188" s="6"/>
      <c r="C188" s="6"/>
    </row>
    <row r="189" spans="2:3">
      <c r="B189" s="6"/>
      <c r="C189" s="6"/>
    </row>
    <row r="190" spans="2:3">
      <c r="B190" s="6"/>
      <c r="C190" s="6"/>
    </row>
  </sheetData>
  <sortState ref="A3:AG159">
    <sortCondition ref="B3:B159"/>
  </sortState>
  <mergeCells count="1">
    <mergeCell ref="A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and Condition Names</vt:lpstr>
      <vt:lpstr>TPI</vt:lpstr>
      <vt:lpstr>Fire Probs (simple)</vt:lpstr>
      <vt:lpstr>Age at Transition (simple)</vt:lpstr>
      <vt:lpstr>Fire Probs (detailed)</vt:lpstr>
      <vt:lpstr>Age at Transition (detailed)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2014-07-01T02:18:32Z</dcterms:created>
  <dcterms:modified xsi:type="dcterms:W3CDTF">2015-05-18T01:09:59Z</dcterms:modified>
</cp:coreProperties>
</file>