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37395" windowHeight="1819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J26" i="2" l="1"/>
  <c r="K26" i="2"/>
  <c r="L26" i="2"/>
  <c r="V27" i="2" l="1"/>
  <c r="G22" i="2"/>
  <c r="H22" i="2" s="1"/>
  <c r="F22" i="2"/>
  <c r="J22" i="2" s="1"/>
  <c r="G21" i="2"/>
  <c r="H21" i="2" s="1"/>
  <c r="F21" i="2"/>
  <c r="J21" i="2" s="1"/>
  <c r="G20" i="2"/>
  <c r="H20" i="2" s="1"/>
  <c r="F20" i="2"/>
  <c r="J20" i="2" s="1"/>
  <c r="G19" i="2"/>
  <c r="H19" i="2" s="1"/>
  <c r="F19" i="2"/>
  <c r="J19" i="2" s="1"/>
  <c r="G18" i="2"/>
  <c r="H18" i="2" s="1"/>
  <c r="F18" i="2"/>
  <c r="J18" i="2" s="1"/>
  <c r="U18" i="2" s="1"/>
  <c r="G17" i="2"/>
  <c r="H17" i="2" s="1"/>
  <c r="F17" i="2"/>
  <c r="J17" i="2" s="1"/>
  <c r="G16" i="2"/>
  <c r="H16" i="2" s="1"/>
  <c r="F16" i="2"/>
  <c r="J16" i="2" s="1"/>
  <c r="G15" i="2"/>
  <c r="H15" i="2" s="1"/>
  <c r="F15" i="2"/>
  <c r="J15" i="2" s="1"/>
  <c r="G14" i="2"/>
  <c r="H14" i="2" s="1"/>
  <c r="F14" i="2"/>
  <c r="J14" i="2" s="1"/>
  <c r="G13" i="2"/>
  <c r="H13" i="2" s="1"/>
  <c r="F13" i="2"/>
  <c r="J13" i="2" s="1"/>
  <c r="G12" i="2"/>
  <c r="H12" i="2" s="1"/>
  <c r="F12" i="2"/>
  <c r="J12" i="2" s="1"/>
  <c r="G11" i="2"/>
  <c r="H11" i="2" s="1"/>
  <c r="F11" i="2"/>
  <c r="J11" i="2" s="1"/>
  <c r="G10" i="2"/>
  <c r="H10" i="2" s="1"/>
  <c r="F10" i="2"/>
  <c r="J10" i="2" s="1"/>
  <c r="G9" i="2"/>
  <c r="H9" i="2" s="1"/>
  <c r="F9" i="2"/>
  <c r="J9" i="2" s="1"/>
  <c r="G8" i="2"/>
  <c r="H8" i="2" s="1"/>
  <c r="F8" i="2"/>
  <c r="J8" i="2" s="1"/>
  <c r="G7" i="2"/>
  <c r="H7" i="2" s="1"/>
  <c r="F7" i="2"/>
  <c r="J7" i="2" s="1"/>
  <c r="G6" i="2"/>
  <c r="H6" i="2" s="1"/>
  <c r="F6" i="2"/>
  <c r="J6" i="2" s="1"/>
  <c r="G5" i="2"/>
  <c r="H5" i="2" s="1"/>
  <c r="F5" i="2"/>
  <c r="J5" i="2" s="1"/>
  <c r="G4" i="2"/>
  <c r="H4" i="2" s="1"/>
  <c r="F4" i="2"/>
  <c r="J4" i="2" s="1"/>
  <c r="L4" i="2" s="1"/>
  <c r="G3" i="2"/>
  <c r="H3" i="2" s="1"/>
  <c r="F3" i="2"/>
  <c r="J3" i="2" s="1"/>
  <c r="U3" i="2" s="1"/>
  <c r="G2" i="2"/>
  <c r="H2" i="2" s="1"/>
  <c r="F2" i="2"/>
  <c r="J2" i="2" s="1"/>
  <c r="K10" i="2" l="1"/>
  <c r="N10" i="2" s="1"/>
  <c r="K13" i="2"/>
  <c r="P10" i="2"/>
  <c r="Q10" i="2" s="1"/>
  <c r="O10" i="2" s="1"/>
  <c r="P22" i="2"/>
  <c r="Q22" i="2" s="1"/>
  <c r="O22" i="2" s="1"/>
  <c r="U15" i="2"/>
  <c r="U9" i="2"/>
  <c r="U12" i="2"/>
  <c r="U6" i="2"/>
  <c r="U21" i="2"/>
  <c r="P13" i="2"/>
  <c r="Q13" i="2" s="1"/>
  <c r="O13" i="2" s="1"/>
  <c r="R13" i="2"/>
  <c r="P4" i="2"/>
  <c r="Q4" i="2" s="1"/>
  <c r="O4" i="2" s="1"/>
  <c r="R4" i="2"/>
  <c r="P19" i="2"/>
  <c r="Q19" i="2" s="1"/>
  <c r="O19" i="2" s="1"/>
  <c r="R19" i="2"/>
  <c r="P7" i="2"/>
  <c r="Q7" i="2" s="1"/>
  <c r="O7" i="2" s="1"/>
  <c r="R7" i="2"/>
  <c r="P16" i="2"/>
  <c r="Q16" i="2" s="1"/>
  <c r="O16" i="2" s="1"/>
  <c r="R16" i="2"/>
  <c r="K7" i="2"/>
  <c r="R10" i="2"/>
  <c r="L20" i="2"/>
  <c r="K20" i="2"/>
  <c r="U20" i="2"/>
  <c r="L17" i="2"/>
  <c r="K17" i="2"/>
  <c r="U17" i="2"/>
  <c r="R20" i="2"/>
  <c r="I20" i="2"/>
  <c r="P20" i="2"/>
  <c r="Q20" i="2" s="1"/>
  <c r="O20" i="2" s="1"/>
  <c r="L14" i="2"/>
  <c r="K14" i="2"/>
  <c r="U14" i="2"/>
  <c r="R17" i="2"/>
  <c r="I17" i="2"/>
  <c r="P17" i="2"/>
  <c r="Q17" i="2" s="1"/>
  <c r="O17" i="2" s="1"/>
  <c r="R21" i="2"/>
  <c r="P21" i="2"/>
  <c r="Q21" i="2" s="1"/>
  <c r="O21" i="2" s="1"/>
  <c r="I21" i="2"/>
  <c r="L5" i="2"/>
  <c r="K5" i="2"/>
  <c r="U5" i="2"/>
  <c r="R8" i="2"/>
  <c r="I8" i="2"/>
  <c r="P8" i="2"/>
  <c r="Q8" i="2" s="1"/>
  <c r="O8" i="2" s="1"/>
  <c r="R15" i="2"/>
  <c r="P15" i="2"/>
  <c r="Q15" i="2" s="1"/>
  <c r="O15" i="2" s="1"/>
  <c r="I15" i="2"/>
  <c r="L2" i="2"/>
  <c r="K2" i="2"/>
  <c r="U2" i="2"/>
  <c r="R5" i="2"/>
  <c r="I5" i="2"/>
  <c r="P5" i="2"/>
  <c r="Q5" i="2" s="1"/>
  <c r="O5" i="2" s="1"/>
  <c r="R12" i="2"/>
  <c r="P12" i="2"/>
  <c r="Q12" i="2" s="1"/>
  <c r="O12" i="2" s="1"/>
  <c r="I12" i="2"/>
  <c r="R11" i="2"/>
  <c r="I11" i="2"/>
  <c r="P11" i="2"/>
  <c r="Q11" i="2" s="1"/>
  <c r="O11" i="2" s="1"/>
  <c r="H24" i="2"/>
  <c r="I2" i="2"/>
  <c r="R2" i="2"/>
  <c r="P2" i="2"/>
  <c r="Q2" i="2" s="1"/>
  <c r="O2" i="2" s="1"/>
  <c r="P9" i="2"/>
  <c r="Q9" i="2" s="1"/>
  <c r="O9" i="2" s="1"/>
  <c r="R9" i="2"/>
  <c r="I9" i="2"/>
  <c r="P6" i="2"/>
  <c r="Q6" i="2" s="1"/>
  <c r="O6" i="2" s="1"/>
  <c r="R6" i="2"/>
  <c r="I6" i="2"/>
  <c r="L8" i="2"/>
  <c r="K8" i="2"/>
  <c r="U8" i="2"/>
  <c r="P3" i="2"/>
  <c r="Q3" i="2" s="1"/>
  <c r="O3" i="2" s="1"/>
  <c r="R3" i="2"/>
  <c r="I3" i="2"/>
  <c r="L11" i="2"/>
  <c r="K11" i="2"/>
  <c r="U11" i="2"/>
  <c r="I14" i="2"/>
  <c r="R14" i="2"/>
  <c r="P14" i="2"/>
  <c r="Q14" i="2" s="1"/>
  <c r="O14" i="2" s="1"/>
  <c r="R18" i="2"/>
  <c r="P18" i="2"/>
  <c r="Q18" i="2" s="1"/>
  <c r="O18" i="2" s="1"/>
  <c r="I18" i="2"/>
  <c r="R22" i="2"/>
  <c r="K3" i="2"/>
  <c r="K6" i="2"/>
  <c r="K9" i="2"/>
  <c r="K12" i="2"/>
  <c r="K15" i="2"/>
  <c r="K18" i="2"/>
  <c r="K21" i="2"/>
  <c r="L3" i="2"/>
  <c r="L6" i="2"/>
  <c r="L9" i="2"/>
  <c r="L12" i="2"/>
  <c r="L15" i="2"/>
  <c r="L18" i="2"/>
  <c r="L21" i="2"/>
  <c r="I4" i="2"/>
  <c r="U4" i="2"/>
  <c r="I7" i="2"/>
  <c r="U7" i="2"/>
  <c r="I10" i="2"/>
  <c r="U10" i="2"/>
  <c r="I13" i="2"/>
  <c r="U13" i="2"/>
  <c r="I16" i="2"/>
  <c r="U16" i="2"/>
  <c r="I19" i="2"/>
  <c r="U19" i="2"/>
  <c r="I22" i="2"/>
  <c r="U22" i="2"/>
  <c r="K4" i="2"/>
  <c r="N4" i="2" s="1"/>
  <c r="L16" i="2"/>
  <c r="L19" i="2"/>
  <c r="K16" i="2"/>
  <c r="K19" i="2"/>
  <c r="K22" i="2"/>
  <c r="L7" i="2"/>
  <c r="L10" i="2"/>
  <c r="L22" i="2"/>
  <c r="L13" i="2"/>
  <c r="M10" i="2" l="1"/>
  <c r="M13" i="2"/>
  <c r="M2" i="2"/>
  <c r="M17" i="2"/>
  <c r="M14" i="2"/>
  <c r="N20" i="2"/>
  <c r="N19" i="2"/>
  <c r="N7" i="2"/>
  <c r="M12" i="2"/>
  <c r="M15" i="2"/>
  <c r="M8" i="2"/>
  <c r="M3" i="2"/>
  <c r="M19" i="2"/>
  <c r="M7" i="2"/>
  <c r="N17" i="2"/>
  <c r="M22" i="2"/>
  <c r="M21" i="2"/>
  <c r="M20" i="2"/>
  <c r="M16" i="2"/>
  <c r="N5" i="2"/>
  <c r="N11" i="2"/>
  <c r="N16" i="2"/>
  <c r="M4" i="2"/>
  <c r="R24" i="2"/>
  <c r="N2" i="2"/>
  <c r="M9" i="2"/>
  <c r="G24" i="2"/>
  <c r="P24" i="2"/>
  <c r="M5" i="2"/>
  <c r="N21" i="2"/>
  <c r="N14" i="2"/>
  <c r="N18" i="2"/>
  <c r="N22" i="2"/>
  <c r="N15" i="2"/>
  <c r="N12" i="2"/>
  <c r="N6" i="2"/>
  <c r="N9" i="2"/>
  <c r="N3" i="2"/>
  <c r="N13" i="2"/>
  <c r="M11" i="2"/>
  <c r="N8" i="2"/>
  <c r="I24" i="2"/>
  <c r="J24" i="2" s="1"/>
  <c r="M18" i="2"/>
  <c r="M6" i="2"/>
  <c r="U24" i="2" l="1"/>
  <c r="U27" i="2" s="1"/>
  <c r="S27" i="2" s="1"/>
  <c r="L24" i="2"/>
  <c r="K24" i="2"/>
  <c r="Q24" i="2"/>
  <c r="O24" i="2" s="1"/>
  <c r="S14" i="2" l="1"/>
  <c r="T14" i="2" s="1"/>
  <c r="S3" i="2"/>
  <c r="T3" i="2" s="1"/>
  <c r="S9" i="2"/>
  <c r="T9" i="2" s="1"/>
  <c r="S15" i="2"/>
  <c r="T15" i="2" s="1"/>
  <c r="S13" i="2"/>
  <c r="T13" i="2" s="1"/>
  <c r="S4" i="2"/>
  <c r="T4" i="2" s="1"/>
  <c r="S7" i="2"/>
  <c r="T7" i="2" s="1"/>
  <c r="S16" i="2"/>
  <c r="T16" i="2" s="1"/>
  <c r="S19" i="2"/>
  <c r="T19" i="2" s="1"/>
  <c r="S11" i="2"/>
  <c r="T11" i="2" s="1"/>
  <c r="S21" i="2"/>
  <c r="T21" i="2" s="1"/>
  <c r="S17" i="2"/>
  <c r="T17" i="2" s="1"/>
  <c r="S20" i="2"/>
  <c r="T20" i="2" s="1"/>
  <c r="S6" i="2"/>
  <c r="T6" i="2" s="1"/>
  <c r="S8" i="2"/>
  <c r="T8" i="2" s="1"/>
  <c r="S22" i="2"/>
  <c r="T22" i="2" s="1"/>
  <c r="S12" i="2"/>
  <c r="T12" i="2" s="1"/>
  <c r="S18" i="2"/>
  <c r="T18" i="2" s="1"/>
  <c r="S2" i="2"/>
  <c r="S10" i="2"/>
  <c r="T10" i="2" s="1"/>
  <c r="S5" i="2"/>
  <c r="T5" i="2" s="1"/>
  <c r="N24" i="2"/>
  <c r="W27" i="2"/>
  <c r="M24" i="2"/>
  <c r="S24" i="2" l="1"/>
  <c r="T2" i="2"/>
  <c r="T24" i="2" s="1"/>
</calcChain>
</file>

<file path=xl/sharedStrings.xml><?xml version="1.0" encoding="utf-8"?>
<sst xmlns="http://schemas.openxmlformats.org/spreadsheetml/2006/main" count="111" uniqueCount="92">
  <si>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</si>
  <si>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</si>
  <si>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</si>
  <si>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</si>
  <si>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OR</t>
    <phoneticPr fontId="0" type="noConversion"/>
  </si>
  <si>
    <t>VarLnOR</t>
    <phoneticPr fontId="0" type="noConversion"/>
  </si>
  <si>
    <t>W</t>
    <phoneticPr fontId="0" type="noConversion"/>
  </si>
  <si>
    <t>WLnOR</t>
    <phoneticPr fontId="0" type="noConversion"/>
  </si>
  <si>
    <t>LnOR</t>
    <phoneticPr fontId="0" type="noConversion"/>
  </si>
  <si>
    <t>Lower</t>
    <phoneticPr fontId="0" type="noConversion"/>
  </si>
  <si>
    <t>Upper</t>
    <phoneticPr fontId="0" type="noConversion"/>
  </si>
  <si>
    <t>LnOR (95% CI)</t>
    <phoneticPr fontId="0" type="noConversion"/>
  </si>
  <si>
    <t>OR (95% CI)</t>
    <phoneticPr fontId="0" type="noConversion"/>
  </si>
  <si>
    <t>P value</t>
    <phoneticPr fontId="0" type="noConversion"/>
  </si>
  <si>
    <t>SE</t>
    <phoneticPr fontId="0" type="noConversion"/>
  </si>
  <si>
    <t>Chi</t>
    <phoneticPr fontId="0" type="noConversion"/>
  </si>
  <si>
    <t>W*W</t>
    <phoneticPr fontId="0" type="noConversion"/>
  </si>
  <si>
    <t>W'</t>
    <phoneticPr fontId="0" type="noConversion"/>
  </si>
  <si>
    <t>W'LnOR</t>
    <phoneticPr fontId="0" type="noConversion"/>
  </si>
  <si>
    <t>Ln(OR)2/Varln(OR)</t>
    <phoneticPr fontId="0" type="noConversion"/>
  </si>
  <si>
    <t>Counter</t>
    <phoneticPr fontId="0" type="noConversion"/>
  </si>
  <si>
    <t>P(Cochran's Q)</t>
    <phoneticPr fontId="0" type="noConversion"/>
  </si>
  <si>
    <t>VarOverall_LnOR</t>
    <phoneticPr fontId="0" type="noConversion"/>
  </si>
  <si>
    <t>Sum(W)</t>
    <phoneticPr fontId="0" type="noConversion"/>
  </si>
  <si>
    <t>Sum(WLnOR)</t>
    <phoneticPr fontId="0" type="noConversion"/>
  </si>
  <si>
    <t>Overall_LnOR</t>
    <phoneticPr fontId="0" type="noConversion"/>
  </si>
  <si>
    <t>Overal_Lower</t>
    <phoneticPr fontId="0" type="noConversion"/>
  </si>
  <si>
    <t>Overall_Upper</t>
    <phoneticPr fontId="0" type="noConversion"/>
  </si>
  <si>
    <t>Overall_LnOR (95% CI)</t>
    <phoneticPr fontId="0" type="noConversion"/>
  </si>
  <si>
    <t>Overall OR (95% CI)</t>
    <phoneticPr fontId="0" type="noConversion"/>
  </si>
  <si>
    <t>Pooled P</t>
    <phoneticPr fontId="0" type="noConversion"/>
  </si>
  <si>
    <t>Overall_W*W</t>
    <phoneticPr fontId="0" type="noConversion"/>
  </si>
  <si>
    <t>Overall_W'</t>
    <phoneticPr fontId="0" type="noConversion"/>
  </si>
  <si>
    <t>Overall_W'LnOR</t>
    <phoneticPr fontId="0" type="noConversion"/>
  </si>
  <si>
    <t>Overall OR</t>
    <phoneticPr fontId="0" type="noConversion"/>
  </si>
  <si>
    <t>Overal Lower</t>
    <phoneticPr fontId="0" type="noConversion"/>
  </si>
  <si>
    <t>Overall Upper</t>
    <phoneticPr fontId="0" type="noConversion"/>
  </si>
  <si>
    <t>Chi(Q)</t>
  </si>
  <si>
    <t>df</t>
  </si>
  <si>
    <t>D</t>
    <phoneticPr fontId="0" type="noConversion"/>
  </si>
  <si>
    <t>LnOR (95% CI)</t>
  </si>
  <si>
    <t>OR (95% CI)</t>
  </si>
  <si>
    <t>Output column M2-22, N2-22, O2-22, an rows 33-34</t>
  </si>
  <si>
    <t>Use column N2-22, and N33-34 to make froest plots</t>
  </si>
  <si>
    <t>P value</t>
  </si>
  <si>
    <t>0.3 (0.09,0.52)</t>
  </si>
  <si>
    <t>1.35 (1.09,1.68)</t>
  </si>
  <si>
    <t>0.35 (0.17,0.53)</t>
  </si>
  <si>
    <t>1.41 (1.18,1.69)</t>
  </si>
  <si>
    <t>0.01 (-0.16,0.18)</t>
  </si>
  <si>
    <t>1.01 (0.85,1.19)</t>
  </si>
  <si>
    <t>-0.04 (-0.31,0.22)</t>
  </si>
  <si>
    <t>0.96 (0.73,1.25)</t>
  </si>
  <si>
    <t>-0.25 (-0.47,-0.04)</t>
  </si>
  <si>
    <t>0.78 (0.62,0.96)</t>
  </si>
  <si>
    <t>0.07 (-0.1,0.23)</t>
  </si>
  <si>
    <t>1.07 (0.91,1.26)</t>
  </si>
  <si>
    <t>0.08 (-0.15,0.31)</t>
  </si>
  <si>
    <t>1.08 (0.86,1.36)</t>
  </si>
  <si>
    <t>-0.16 (-0.4,0.08)</t>
  </si>
  <si>
    <t>0.85 (0.67,1.09)</t>
  </si>
  <si>
    <t>0.11 (-0.11,0.32)</t>
  </si>
  <si>
    <t>1.12 (0.9,1.38)</t>
  </si>
  <si>
    <t>-0.14 (-0.47,0.19)</t>
  </si>
  <si>
    <t>0.87 (0.63,1.21)</t>
  </si>
  <si>
    <t>-0.59 (-1.36,0.19)</t>
  </si>
  <si>
    <t>0.56 (0.26,1.2)</t>
  </si>
  <si>
    <t>0.41 (-0.06,0.87)</t>
  </si>
  <si>
    <t>1.5 (0.95,2.38)</t>
  </si>
  <si>
    <t>0.54 (0.28,0.81)</t>
  </si>
  <si>
    <t>1.72 (1.32,2.25)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</si>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</sst>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"/>
    <numFmt numFmtId="165" formatCode="0.000000_ "/>
    <numFmt numFmtId="166" formatCode="0.00_);[Red]\(0.00\)"/>
    <numFmt numFmtId="167" formatCode="0.0000_ "/>
    <numFmt numFmtId="168" formatCode="0_ "/>
    <numFmt numFmtId="169" formatCode="0.0000"/>
  </numFmts>
  <fonts count="5">
    <font>
      <sz val="12"/>
      <name val="宋体"/>
      <charset val="134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sz val="10"/>
      <color rgb="FFC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2" fillId="2" borderId="0" xfId="0" applyNumberFormat="1" applyFont="1" applyFill="1"/>
    <xf numFmtId="164" fontId="2" fillId="2" borderId="0" xfId="0" applyNumberFormat="1" applyFont="1" applyFill="1"/>
    <xf numFmtId="0" fontId="1" fillId="0" borderId="0" xfId="0" applyFont="1"/>
    <xf numFmtId="0" fontId="1" fillId="3" borderId="0" xfId="0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6" fontId="1" fillId="4" borderId="0" xfId="0" applyNumberFormat="1" applyFont="1" applyFill="1"/>
    <xf numFmtId="0" fontId="1" fillId="4" borderId="0" xfId="0" applyFont="1" applyFill="1"/>
    <xf numFmtId="167" fontId="1" fillId="4" borderId="0" xfId="0" applyNumberFormat="1" applyFont="1" applyFill="1"/>
    <xf numFmtId="166" fontId="2" fillId="5" borderId="0" xfId="0" applyNumberFormat="1" applyFont="1" applyFill="1"/>
    <xf numFmtId="164" fontId="2" fillId="6" borderId="0" xfId="0" applyNumberFormat="1" applyFont="1" applyFill="1"/>
    <xf numFmtId="164" fontId="2" fillId="5" borderId="0" xfId="0" applyNumberFormat="1" applyFont="1" applyFill="1"/>
    <xf numFmtId="168" fontId="1" fillId="4" borderId="0" xfId="0" applyNumberFormat="1" applyFont="1" applyFill="1"/>
    <xf numFmtId="165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/>
    <xf numFmtId="0" fontId="1" fillId="5" borderId="0" xfId="0" applyFont="1" applyFill="1"/>
    <xf numFmtId="164" fontId="1" fillId="5" borderId="0" xfId="0" applyNumberFormat="1" applyFont="1" applyFill="1"/>
    <xf numFmtId="168" fontId="1" fillId="0" borderId="0" xfId="0" applyNumberFormat="1" applyFont="1" applyFill="1"/>
    <xf numFmtId="169" fontId="1" fillId="4" borderId="0" xfId="0" applyNumberFormat="1" applyFont="1" applyFill="1"/>
    <xf numFmtId="164" fontId="1" fillId="6" borderId="0" xfId="0" applyNumberFormat="1" applyFont="1" applyFill="1"/>
    <xf numFmtId="166" fontId="3" fillId="4" borderId="0" xfId="0" applyNumberFormat="1" applyFont="1" applyFill="1"/>
    <xf numFmtId="165" fontId="3" fillId="4" borderId="0" xfId="0" applyNumberFormat="1" applyFont="1" applyFill="1"/>
    <xf numFmtId="166" fontId="2" fillId="6" borderId="0" xfId="0" applyNumberFormat="1" applyFont="1" applyFill="1"/>
    <xf numFmtId="165" fontId="1" fillId="0" borderId="0" xfId="0" applyNumberFormat="1" applyFont="1" applyFill="1"/>
    <xf numFmtId="166" fontId="1" fillId="5" borderId="0" xfId="0" applyNumberFormat="1" applyFont="1" applyFill="1"/>
    <xf numFmtId="167" fontId="1" fillId="0" borderId="0" xfId="0" applyNumberFormat="1" applyFont="1"/>
    <xf numFmtId="167" fontId="1" fillId="7" borderId="0" xfId="0" applyNumberFormat="1" applyFont="1" applyFill="1"/>
    <xf numFmtId="165" fontId="1" fillId="7" borderId="0" xfId="0" applyNumberFormat="1" applyFont="1" applyFill="1"/>
    <xf numFmtId="167" fontId="1" fillId="6" borderId="0" xfId="0" applyNumberFormat="1" applyFont="1" applyFill="1"/>
    <xf numFmtId="168" fontId="3" fillId="6" borderId="0" xfId="0" applyNumberFormat="1" applyFont="1" applyFill="1"/>
    <xf numFmtId="165" fontId="3" fillId="6" borderId="0" xfId="0" applyNumberFormat="1" applyFont="1" applyFill="1"/>
    <xf numFmtId="167" fontId="2" fillId="5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workbookViewId="0">
      <selection activeCell="N29" sqref="N29"/>
    </sheetView>
  </sheetViews>
  <sheetFormatPr defaultRowHeight="14.25"/>
  <cols>
    <col min="2" max="5" width="3.125" bestFit="1" customWidth="1"/>
    <col min="6" max="6" width="3.875" bestFit="1" customWidth="1"/>
    <col min="7" max="7" width="12.625" bestFit="1" customWidth="1"/>
    <col min="8" max="8" width="6.375" bestFit="1" customWidth="1"/>
    <col min="9" max="9" width="10.25" bestFit="1" customWidth="1"/>
    <col min="10" max="10" width="10.375" bestFit="1" customWidth="1"/>
    <col min="11" max="11" width="10.25" bestFit="1" customWidth="1"/>
    <col min="12" max="12" width="11.5" bestFit="1" customWidth="1"/>
    <col min="13" max="13" width="16.625" bestFit="1" customWidth="1"/>
    <col min="14" max="14" width="15.75" customWidth="1"/>
    <col min="15" max="15" width="7.75" bestFit="1" customWidth="1"/>
    <col min="16" max="16" width="5.375" bestFit="1" customWidth="1"/>
    <col min="17" max="17" width="7.375" bestFit="1" customWidth="1"/>
    <col min="18" max="18" width="10.625" bestFit="1" customWidth="1"/>
    <col min="19" max="19" width="8.375" bestFit="1" customWidth="1"/>
    <col min="20" max="20" width="12.25" bestFit="1" customWidth="1"/>
    <col min="21" max="21" width="13.75" bestFit="1" customWidth="1"/>
    <col min="22" max="22" width="6.25" bestFit="1" customWidth="1"/>
    <col min="23" max="23" width="10.875" bestFit="1" customWidth="1"/>
    <col min="28" max="32" width="11.875" customWidth="1"/>
  </cols>
  <sheetData>
    <row r="1" spans="1:30" ht="1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1" t="s">
        <v>13</v>
      </c>
      <c r="P1" s="3" t="s">
        <v>14</v>
      </c>
      <c r="Q1" s="1" t="s">
        <v>15</v>
      </c>
      <c r="R1" s="4" t="s">
        <v>16</v>
      </c>
      <c r="S1" s="5" t="s">
        <v>17</v>
      </c>
      <c r="T1" s="5" t="s">
        <v>18</v>
      </c>
      <c r="U1" s="1" t="s">
        <v>19</v>
      </c>
      <c r="V1" s="3" t="s">
        <v>20</v>
      </c>
      <c r="W1" s="6" t="s">
        <v>21</v>
      </c>
      <c r="X1" s="1"/>
      <c r="AB1" s="3" t="s">
        <v>40</v>
      </c>
      <c r="AC1" s="3" t="s">
        <v>41</v>
      </c>
      <c r="AD1" s="1" t="s">
        <v>44</v>
      </c>
    </row>
    <row r="2" spans="1:30" ht="15">
      <c r="A2" s="1"/>
      <c r="B2" s="7">
        <v>269</v>
      </c>
      <c r="C2" s="7">
        <v>471</v>
      </c>
      <c r="D2" s="7">
        <v>229</v>
      </c>
      <c r="E2" s="7">
        <v>543</v>
      </c>
      <c r="F2" s="8">
        <f t="shared" ref="F2:F19" si="0">B2*E2/(C2*D2)</f>
        <v>1.354240258114761</v>
      </c>
      <c r="G2" s="8">
        <f t="shared" ref="G2:G19" si="1">1/B2+(1/C2)+(1/D2)+(1/E2)</f>
        <v>1.2049047222715142E-2</v>
      </c>
      <c r="H2" s="9">
        <f>1/G2</f>
        <v>82.994114100140379</v>
      </c>
      <c r="I2" s="9">
        <f>H2*J2</f>
        <v>25.167185119288192</v>
      </c>
      <c r="J2" s="9">
        <f>LN(F2)</f>
        <v>0.30324060196511721</v>
      </c>
      <c r="K2" s="9">
        <f>J2-(1.96*SQRT(G2))</f>
        <v>8.8095023784243387E-2</v>
      </c>
      <c r="L2" s="9">
        <f>J2+(1.96*SQRT(G2))</f>
        <v>0.51838618014599103</v>
      </c>
      <c r="M2" s="10" t="str">
        <f>ROUND(J2,2)&amp;" ("&amp;ROUND(K2,2)&amp;","&amp;ROUND(L2,2)&amp;")"</f>
        <v>0.3 (0.09,0.52)</v>
      </c>
      <c r="N2" s="11" t="str">
        <f>ROUND(EXP(J2),2)&amp;" ("&amp;ROUND(EXP(K2),2)&amp;","&amp;ROUND(EXP(L2),2)&amp;")"</f>
        <v>1.35 (1.09,1.68)</v>
      </c>
      <c r="O2" s="12">
        <f t="shared" ref="O2:O22" si="2">CHIDIST(Q2,1)</f>
        <v>5.7350827209343676E-3</v>
      </c>
      <c r="P2" s="12">
        <f>SQRT(1/H2)</f>
        <v>0.10976815213309889</v>
      </c>
      <c r="Q2" s="12">
        <f t="shared" ref="Q2:Q22" si="3">(J2/P2)^2</f>
        <v>7.6317123653404924</v>
      </c>
      <c r="R2" s="13">
        <f>H2*H2</f>
        <v>6888.0229752671203</v>
      </c>
      <c r="S2" s="14">
        <f>1/(S27+1/H2)</f>
        <v>26.203705670296895</v>
      </c>
      <c r="T2" s="15">
        <f t="shared" ref="T2:T22" si="4">S2*J2</f>
        <v>7.9460274811775857</v>
      </c>
      <c r="U2" s="12">
        <f>J2*J2/G2</f>
        <v>7.6317123653404906</v>
      </c>
      <c r="V2" s="16">
        <v>1</v>
      </c>
      <c r="W2" s="17"/>
      <c r="X2" s="1"/>
      <c r="AA2" t="s">
        <v>71</v>
      </c>
      <c r="AB2" s="10" t="s">
        <v>45</v>
      </c>
      <c r="AC2" s="11" t="s">
        <v>46</v>
      </c>
      <c r="AD2" s="12">
        <v>5.7000000000000002E-3</v>
      </c>
    </row>
    <row r="3" spans="1:30" ht="15">
      <c r="A3" s="1"/>
      <c r="B3" s="7">
        <v>440</v>
      </c>
      <c r="C3" s="7">
        <v>706</v>
      </c>
      <c r="D3" s="7">
        <v>315</v>
      </c>
      <c r="E3" s="7">
        <v>715</v>
      </c>
      <c r="F3" s="8">
        <f t="shared" si="0"/>
        <v>1.4146319528755789</v>
      </c>
      <c r="G3" s="8">
        <f t="shared" si="1"/>
        <v>8.2623624408326955E-3</v>
      </c>
      <c r="H3" s="9">
        <f t="shared" ref="H3:H22" si="5">1/G3</f>
        <v>121.03075932108568</v>
      </c>
      <c r="I3" s="9">
        <f>H3*J3</f>
        <v>41.98186605482308</v>
      </c>
      <c r="J3" s="9">
        <f>LN(F3)</f>
        <v>0.34686939328743932</v>
      </c>
      <c r="K3" s="9">
        <f>J3-(1.96*SQRT(G3))</f>
        <v>0.16871021852312112</v>
      </c>
      <c r="L3" s="9">
        <f>J3+(1.96*SQRT(G3))</f>
        <v>0.52502856805175746</v>
      </c>
      <c r="M3" s="10" t="str">
        <f>ROUND(J3,2)&amp;" ("&amp;ROUND(K3,2)&amp;","&amp;ROUND(L3,2)&amp;")"</f>
        <v>0.35 (0.17,0.53)</v>
      </c>
      <c r="N3" s="11" t="str">
        <f>ROUND(EXP(J3),2)&amp;" ("&amp;ROUND(EXP(K3),2)&amp;","&amp;ROUND(EXP(L3),2)&amp;")"</f>
        <v>1.41 (1.18,1.69)</v>
      </c>
      <c r="O3" s="12">
        <f t="shared" si="2"/>
        <v>1.356059868571787E-4</v>
      </c>
      <c r="P3" s="12">
        <f>SQRT(1/H3)</f>
        <v>9.0897538145060311E-2</v>
      </c>
      <c r="Q3" s="12">
        <f t="shared" si="3"/>
        <v>14.562224407511028</v>
      </c>
      <c r="R3" s="13">
        <f>H3*H3</f>
        <v>14648.444701838569</v>
      </c>
      <c r="S3" s="14">
        <f>1/(S27+1/H3)</f>
        <v>29.090184249309292</v>
      </c>
      <c r="T3" s="15">
        <f t="shared" si="4"/>
        <v>10.090494561177737</v>
      </c>
      <c r="U3" s="12">
        <f>J3*J3/G3</f>
        <v>14.562224407511026</v>
      </c>
      <c r="V3" s="16">
        <v>1</v>
      </c>
      <c r="W3" s="17"/>
      <c r="X3" s="1"/>
      <c r="AA3" t="s">
        <v>72</v>
      </c>
      <c r="AB3" s="10" t="s">
        <v>47</v>
      </c>
      <c r="AC3" s="11" t="s">
        <v>48</v>
      </c>
      <c r="AD3" s="12">
        <v>1E-4</v>
      </c>
    </row>
    <row r="4" spans="1:30" ht="15">
      <c r="A4" s="1"/>
      <c r="B4" s="7">
        <v>414</v>
      </c>
      <c r="C4" s="7">
        <v>732</v>
      </c>
      <c r="D4" s="7">
        <v>444</v>
      </c>
      <c r="E4" s="7">
        <v>792</v>
      </c>
      <c r="F4" s="8">
        <f t="shared" si="0"/>
        <v>1.0088613203367303</v>
      </c>
      <c r="G4" s="8">
        <f t="shared" si="1"/>
        <v>7.2964576706558175E-3</v>
      </c>
      <c r="H4" s="9">
        <f t="shared" si="5"/>
        <v>137.05280632569179</v>
      </c>
      <c r="I4" s="9">
        <f>H4*J4</f>
        <v>1.2091194994092318</v>
      </c>
      <c r="J4" s="9">
        <f>LN(F4)</f>
        <v>8.8222892462040108E-3</v>
      </c>
      <c r="K4" s="9">
        <f>J4-(1.96*SQRT(G4))</f>
        <v>-0.15859954859937508</v>
      </c>
      <c r="L4" s="9">
        <f>J4+(1.96*SQRT(G4))</f>
        <v>0.17624412709178311</v>
      </c>
      <c r="M4" s="10" t="str">
        <f>ROUND(J4,2)&amp;" ("&amp;ROUND(K4,2)&amp;","&amp;ROUND(L4,2)&amp;")"</f>
        <v>0.01 (-0.16,0.18)</v>
      </c>
      <c r="N4" s="11" t="str">
        <f>ROUND(EXP(J4),2)&amp;" ("&amp;ROUND(EXP(K4),2)&amp;","&amp;ROUND(EXP(L4),2)&amp;")"</f>
        <v>1.01 (0.85,1.19)</v>
      </c>
      <c r="O4" s="12">
        <f t="shared" si="2"/>
        <v>0.91773904420575836</v>
      </c>
      <c r="P4" s="12">
        <f>SQRT(1/H4)</f>
        <v>8.5419305023254649E-2</v>
      </c>
      <c r="Q4" s="12">
        <f t="shared" si="3"/>
        <v>1.0667201957013643E-2</v>
      </c>
      <c r="R4" s="13">
        <f>H4*H4</f>
        <v>18783.471721747585</v>
      </c>
      <c r="S4" s="14">
        <f>1/(S27+1/H4)</f>
        <v>29.931201558735196</v>
      </c>
      <c r="T4" s="15">
        <f t="shared" si="4"/>
        <v>0.26406171763759423</v>
      </c>
      <c r="U4" s="12">
        <f>J4*J4/G4</f>
        <v>1.0667201957013641E-2</v>
      </c>
      <c r="V4" s="16">
        <v>1</v>
      </c>
      <c r="W4" s="17"/>
      <c r="X4" s="1"/>
      <c r="AA4" t="s">
        <v>73</v>
      </c>
      <c r="AB4" s="10" t="s">
        <v>49</v>
      </c>
      <c r="AC4" s="11" t="s">
        <v>50</v>
      </c>
      <c r="AD4" s="12">
        <v>0.91769999999999996</v>
      </c>
    </row>
    <row r="5" spans="1:30" ht="15">
      <c r="A5" s="1"/>
      <c r="B5" s="7">
        <v>181</v>
      </c>
      <c r="C5" s="7">
        <v>305</v>
      </c>
      <c r="D5" s="7">
        <v>170</v>
      </c>
      <c r="E5" s="7">
        <v>274</v>
      </c>
      <c r="F5" s="8">
        <f t="shared" si="0"/>
        <v>0.95648987463837998</v>
      </c>
      <c r="G5" s="8">
        <f t="shared" si="1"/>
        <v>1.8335538380716023E-2</v>
      </c>
      <c r="H5" s="9">
        <f t="shared" si="5"/>
        <v>54.538894862870606</v>
      </c>
      <c r="I5" s="9">
        <f t="shared" ref="I5:I10" si="6">H5*J5</f>
        <v>-2.4261668831368226</v>
      </c>
      <c r="J5" s="9">
        <f t="shared" ref="J5:J10" si="7">LN(F5)</f>
        <v>-4.448507600377738E-2</v>
      </c>
      <c r="K5" s="9">
        <f t="shared" ref="K5:K10" si="8">J5-(1.96*SQRT(G5))</f>
        <v>-0.30988628972247662</v>
      </c>
      <c r="L5" s="9">
        <f t="shared" ref="L5:L10" si="9">J5+(1.96*SQRT(G5))</f>
        <v>0.22091613771492186</v>
      </c>
      <c r="M5" s="10" t="str">
        <f t="shared" ref="M5:M10" si="10">ROUND(J5,2)&amp;" ("&amp;ROUND(K5,2)&amp;","&amp;ROUND(L5,2)&amp;")"</f>
        <v>-0.04 (-0.31,0.22)</v>
      </c>
      <c r="N5" s="11" t="str">
        <f t="shared" ref="N5:N10" si="11">ROUND(EXP(J5),2)&amp;" ("&amp;ROUND(EXP(K5),2)&amp;","&amp;ROUND(EXP(L5),2)&amp;")"</f>
        <v>0.96 (0.73,1.25)</v>
      </c>
      <c r="O5" s="12">
        <f t="shared" si="2"/>
        <v>0.74251527129586781</v>
      </c>
      <c r="P5" s="12">
        <f t="shared" ref="P5:P10" si="12">SQRT(1/H5)</f>
        <v>0.13540878250954044</v>
      </c>
      <c r="Q5" s="12">
        <f t="shared" si="3"/>
        <v>0.10792821819418921</v>
      </c>
      <c r="R5" s="13">
        <f t="shared" ref="R5:R10" si="13">H5*H5</f>
        <v>2974.4910528632536</v>
      </c>
      <c r="S5" s="14">
        <f>1/(S27+1/H5)</f>
        <v>22.497677555097145</v>
      </c>
      <c r="T5" s="15">
        <f t="shared" si="4"/>
        <v>-1.000810895946973</v>
      </c>
      <c r="U5" s="12">
        <f t="shared" ref="U5:U10" si="14">J5*J5/G5</f>
        <v>0.10792821819418923</v>
      </c>
      <c r="V5" s="16">
        <v>1</v>
      </c>
      <c r="W5" s="17"/>
      <c r="X5" s="1"/>
      <c r="AA5" t="s">
        <v>74</v>
      </c>
      <c r="AB5" s="10" t="s">
        <v>51</v>
      </c>
      <c r="AC5" s="11" t="s">
        <v>52</v>
      </c>
      <c r="AD5" s="12">
        <v>0.74250000000000005</v>
      </c>
    </row>
    <row r="6" spans="1:30" ht="15">
      <c r="A6" s="1"/>
      <c r="B6" s="7">
        <v>171</v>
      </c>
      <c r="C6" s="7">
        <v>349</v>
      </c>
      <c r="D6" s="7">
        <v>453</v>
      </c>
      <c r="E6" s="7">
        <v>717</v>
      </c>
      <c r="F6" s="8">
        <f t="shared" si="0"/>
        <v>0.77551756200307409</v>
      </c>
      <c r="G6" s="8">
        <f t="shared" si="1"/>
        <v>1.2315488387502061E-2</v>
      </c>
      <c r="H6" s="9">
        <f t="shared" si="5"/>
        <v>81.198566271623847</v>
      </c>
      <c r="I6" s="9">
        <f t="shared" si="6"/>
        <v>-20.642677138258833</v>
      </c>
      <c r="J6" s="9">
        <f t="shared" si="7"/>
        <v>-0.25422465058318094</v>
      </c>
      <c r="K6" s="9">
        <f t="shared" si="8"/>
        <v>-0.47173598405669886</v>
      </c>
      <c r="L6" s="9">
        <f t="shared" si="9"/>
        <v>-3.6713317109663024E-2</v>
      </c>
      <c r="M6" s="10" t="str">
        <f t="shared" si="10"/>
        <v>-0.25 (-0.47,-0.04)</v>
      </c>
      <c r="N6" s="11" t="str">
        <f t="shared" si="11"/>
        <v>0.78 (0.62,0.96)</v>
      </c>
      <c r="O6" s="12">
        <f t="shared" si="2"/>
        <v>2.1973559819071859E-2</v>
      </c>
      <c r="P6" s="12">
        <f t="shared" si="12"/>
        <v>0.11097517013954997</v>
      </c>
      <c r="Q6" s="12">
        <f t="shared" si="3"/>
        <v>5.2478773825752683</v>
      </c>
      <c r="R6" s="13">
        <f t="shared" si="13"/>
        <v>6593.2071645672895</v>
      </c>
      <c r="S6" s="14">
        <f>1/(S27+1/H6)</f>
        <v>26.022026494536128</v>
      </c>
      <c r="T6" s="15">
        <f t="shared" si="4"/>
        <v>-6.6154405930397244</v>
      </c>
      <c r="U6" s="12">
        <f t="shared" si="14"/>
        <v>5.24787738257527</v>
      </c>
      <c r="V6" s="16">
        <v>1</v>
      </c>
      <c r="W6" s="17"/>
      <c r="X6" s="1"/>
      <c r="AA6" t="s">
        <v>75</v>
      </c>
      <c r="AB6" s="10" t="s">
        <v>53</v>
      </c>
      <c r="AC6" s="11" t="s">
        <v>54</v>
      </c>
      <c r="AD6" s="12">
        <v>2.1999999999999999E-2</v>
      </c>
    </row>
    <row r="7" spans="1:30" ht="15">
      <c r="A7" s="1"/>
      <c r="B7" s="7">
        <v>644</v>
      </c>
      <c r="C7" s="7">
        <v>568</v>
      </c>
      <c r="D7" s="7">
        <v>530</v>
      </c>
      <c r="E7" s="7">
        <v>500</v>
      </c>
      <c r="F7" s="8">
        <f>B7*E7/(C7*D7)</f>
        <v>1.0696252989635928</v>
      </c>
      <c r="G7" s="8">
        <f>1/B7+(1/C7)+(1/D7)+(1/E7)</f>
        <v>7.2001508641677796E-3</v>
      </c>
      <c r="H7" s="9">
        <f t="shared" si="5"/>
        <v>138.88597876144416</v>
      </c>
      <c r="I7" s="9">
        <f t="shared" si="6"/>
        <v>9.3481929099837267</v>
      </c>
      <c r="J7" s="9">
        <f t="shared" si="7"/>
        <v>6.7308399259226437E-2</v>
      </c>
      <c r="K7" s="9">
        <f t="shared" si="8"/>
        <v>-9.9004858058964945E-2</v>
      </c>
      <c r="L7" s="9">
        <f t="shared" si="9"/>
        <v>0.23362165657741782</v>
      </c>
      <c r="M7" s="10" t="str">
        <f t="shared" si="10"/>
        <v>0.07 (-0.1,0.23)</v>
      </c>
      <c r="N7" s="11" t="str">
        <f t="shared" si="11"/>
        <v>1.07 (0.91,1.26)</v>
      </c>
      <c r="O7" s="12">
        <f t="shared" si="2"/>
        <v>0.42764454128414087</v>
      </c>
      <c r="P7" s="12">
        <f t="shared" si="12"/>
        <v>8.4853702713362955E-2</v>
      </c>
      <c r="Q7" s="12">
        <f t="shared" si="3"/>
        <v>0.62921190073745437</v>
      </c>
      <c r="R7" s="13">
        <f t="shared" si="13"/>
        <v>19289.315096524319</v>
      </c>
      <c r="S7" s="14">
        <f>1/(S27+1/H7)</f>
        <v>30.017730020002684</v>
      </c>
      <c r="T7" s="15">
        <f t="shared" si="4"/>
        <v>2.020445357042008</v>
      </c>
      <c r="U7" s="12">
        <f t="shared" si="14"/>
        <v>0.62921190073745448</v>
      </c>
      <c r="V7" s="16">
        <v>1</v>
      </c>
      <c r="W7" s="17"/>
      <c r="X7" s="1"/>
      <c r="AA7" t="s">
        <v>76</v>
      </c>
      <c r="AB7" s="10" t="s">
        <v>55</v>
      </c>
      <c r="AC7" s="11" t="s">
        <v>56</v>
      </c>
      <c r="AD7" s="12">
        <v>0.42759999999999998</v>
      </c>
    </row>
    <row r="8" spans="1:30" ht="15">
      <c r="A8" s="1"/>
      <c r="B8" s="7">
        <v>396</v>
      </c>
      <c r="C8" s="7">
        <v>338</v>
      </c>
      <c r="D8" s="7">
        <v>263</v>
      </c>
      <c r="E8" s="7">
        <v>243</v>
      </c>
      <c r="F8" s="8">
        <f>B8*E8/(C8*D8)</f>
        <v>1.0825027560915248</v>
      </c>
      <c r="G8" s="8">
        <f>1/B8+(1/C8)+(1/D8)+(1/E8)</f>
        <v>1.3401340113179182E-2</v>
      </c>
      <c r="H8" s="9">
        <f t="shared" si="5"/>
        <v>74.619403101080707</v>
      </c>
      <c r="I8" s="9">
        <f t="shared" si="6"/>
        <v>5.9155074242376831</v>
      </c>
      <c r="J8" s="9">
        <f t="shared" si="7"/>
        <v>7.9275726934245727E-2</v>
      </c>
      <c r="K8" s="9">
        <f t="shared" si="8"/>
        <v>-0.14762202135513053</v>
      </c>
      <c r="L8" s="9">
        <f t="shared" si="9"/>
        <v>0.30617347522362198</v>
      </c>
      <c r="M8" s="10" t="str">
        <f t="shared" si="10"/>
        <v>0.08 (-0.15,0.31)</v>
      </c>
      <c r="N8" s="11" t="str">
        <f t="shared" si="11"/>
        <v>1.08 (0.86,1.36)</v>
      </c>
      <c r="O8" s="12">
        <f t="shared" si="2"/>
        <v>0.49346778010389714</v>
      </c>
      <c r="P8" s="12">
        <f t="shared" si="12"/>
        <v>0.11576415729049809</v>
      </c>
      <c r="Q8" s="12">
        <f t="shared" si="3"/>
        <v>0.46895615124136986</v>
      </c>
      <c r="R8" s="13">
        <f t="shared" si="13"/>
        <v>5568.0553191615727</v>
      </c>
      <c r="S8" s="14">
        <f>1/(S27+1/H8)</f>
        <v>25.306951689095335</v>
      </c>
      <c r="T8" s="15">
        <f t="shared" si="4"/>
        <v>2.0062269916428703</v>
      </c>
      <c r="U8" s="12">
        <f t="shared" si="14"/>
        <v>0.46895615124136986</v>
      </c>
      <c r="V8" s="16">
        <v>1</v>
      </c>
      <c r="W8" s="17"/>
      <c r="X8" s="1"/>
      <c r="AA8" t="s">
        <v>77</v>
      </c>
      <c r="AB8" s="10" t="s">
        <v>57</v>
      </c>
      <c r="AC8" s="11" t="s">
        <v>58</v>
      </c>
      <c r="AD8" s="12">
        <v>0.49349999999999999</v>
      </c>
    </row>
    <row r="9" spans="1:30" ht="15">
      <c r="A9" s="1"/>
      <c r="B9" s="7">
        <v>315</v>
      </c>
      <c r="C9" s="7">
        <v>255</v>
      </c>
      <c r="D9" s="7">
        <v>296</v>
      </c>
      <c r="E9" s="7">
        <v>204</v>
      </c>
      <c r="F9" s="8">
        <f>B9*E9/(C9*D9)</f>
        <v>0.85135135135135132</v>
      </c>
      <c r="G9" s="8">
        <f>1/B9+(1/C9)+(1/D9)+(1/E9)</f>
        <v>1.5376510964746258E-2</v>
      </c>
      <c r="H9" s="9">
        <f t="shared" si="5"/>
        <v>65.034259221269437</v>
      </c>
      <c r="I9" s="9">
        <f t="shared" si="6"/>
        <v>-10.465987191867018</v>
      </c>
      <c r="J9" s="9">
        <f t="shared" si="7"/>
        <v>-0.16093036681263712</v>
      </c>
      <c r="K9" s="9">
        <f t="shared" si="8"/>
        <v>-0.40397440504885718</v>
      </c>
      <c r="L9" s="9">
        <f t="shared" si="9"/>
        <v>8.2113671423582973E-2</v>
      </c>
      <c r="M9" s="10" t="str">
        <f t="shared" si="10"/>
        <v>-0.16 (-0.4,0.08)</v>
      </c>
      <c r="N9" s="11" t="str">
        <f t="shared" si="11"/>
        <v>0.85 (0.67,1.09)</v>
      </c>
      <c r="O9" s="12">
        <f t="shared" si="2"/>
        <v>0.19435470332899613</v>
      </c>
      <c r="P9" s="12">
        <f t="shared" si="12"/>
        <v>0.12400206032460211</v>
      </c>
      <c r="Q9" s="12">
        <f t="shared" si="3"/>
        <v>1.6842951578435208</v>
      </c>
      <c r="R9" s="13">
        <f t="shared" si="13"/>
        <v>4229.4548724592687</v>
      </c>
      <c r="S9" s="14">
        <f>1/(S27+1/H9)</f>
        <v>24.102190367397547</v>
      </c>
      <c r="T9" s="15">
        <f t="shared" si="4"/>
        <v>-3.8787743368132963</v>
      </c>
      <c r="U9" s="12">
        <f t="shared" si="14"/>
        <v>1.6842951578435212</v>
      </c>
      <c r="V9" s="16">
        <v>1</v>
      </c>
      <c r="W9" s="17"/>
      <c r="X9" s="1"/>
      <c r="AA9" t="s">
        <v>78</v>
      </c>
      <c r="AB9" s="10" t="s">
        <v>59</v>
      </c>
      <c r="AC9" s="11" t="s">
        <v>60</v>
      </c>
      <c r="AD9" s="12">
        <v>0.19439999999999999</v>
      </c>
    </row>
    <row r="10" spans="1:30" ht="15">
      <c r="A10" s="1"/>
      <c r="B10" s="7">
        <v>281</v>
      </c>
      <c r="C10" s="7">
        <v>583</v>
      </c>
      <c r="D10" s="7">
        <v>213</v>
      </c>
      <c r="E10" s="7">
        <v>493</v>
      </c>
      <c r="F10" s="8">
        <f>B10*E10/(C10*D10)</f>
        <v>1.1155912030214448</v>
      </c>
      <c r="G10" s="8">
        <f>1/B10+(1/C10)+(1/D10)+(1/E10)</f>
        <v>1.1997217974093321E-2</v>
      </c>
      <c r="H10" s="9">
        <f t="shared" si="5"/>
        <v>83.352657437698525</v>
      </c>
      <c r="I10" s="9">
        <f t="shared" si="6"/>
        <v>9.11748803370266</v>
      </c>
      <c r="J10" s="9">
        <f t="shared" si="7"/>
        <v>0.10938449131651831</v>
      </c>
      <c r="K10" s="9">
        <f t="shared" si="8"/>
        <v>-0.10529786140320779</v>
      </c>
      <c r="L10" s="9">
        <f t="shared" si="9"/>
        <v>0.32406684403624442</v>
      </c>
      <c r="M10" s="10" t="str">
        <f t="shared" si="10"/>
        <v>0.11 (-0.11,0.32)</v>
      </c>
      <c r="N10" s="11" t="str">
        <f t="shared" si="11"/>
        <v>1.12 (0.9,1.38)</v>
      </c>
      <c r="O10" s="12">
        <f t="shared" si="2"/>
        <v>0.31796185130077242</v>
      </c>
      <c r="P10" s="12">
        <f t="shared" si="12"/>
        <v>0.10953181261210516</v>
      </c>
      <c r="Q10" s="12">
        <f t="shared" si="3"/>
        <v>0.99731179065100817</v>
      </c>
      <c r="R10" s="13">
        <f t="shared" si="13"/>
        <v>6947.6655019263189</v>
      </c>
      <c r="S10" s="14">
        <f>1/(S27+1/H10)</f>
        <v>26.239341802573083</v>
      </c>
      <c r="T10" s="15">
        <f t="shared" si="4"/>
        <v>2.8701770555547115</v>
      </c>
      <c r="U10" s="12">
        <f t="shared" si="14"/>
        <v>0.99731179065100817</v>
      </c>
      <c r="V10" s="16">
        <v>1</v>
      </c>
      <c r="W10" s="17"/>
      <c r="X10" s="1"/>
      <c r="AA10" t="s">
        <v>79</v>
      </c>
      <c r="AB10" s="10" t="s">
        <v>61</v>
      </c>
      <c r="AC10" s="11" t="s">
        <v>62</v>
      </c>
      <c r="AD10" s="12">
        <v>0.318</v>
      </c>
    </row>
    <row r="11" spans="1:30" ht="15">
      <c r="A11" s="1"/>
      <c r="B11" s="7">
        <v>70</v>
      </c>
      <c r="C11" s="7">
        <v>118</v>
      </c>
      <c r="D11" s="7">
        <v>320</v>
      </c>
      <c r="E11" s="7">
        <v>470</v>
      </c>
      <c r="F11" s="8">
        <f t="shared" si="0"/>
        <v>0.87129237288135597</v>
      </c>
      <c r="G11" s="8">
        <f t="shared" si="1"/>
        <v>2.801295013136881E-2</v>
      </c>
      <c r="H11" s="9">
        <f t="shared" si="5"/>
        <v>35.697775325712776</v>
      </c>
      <c r="I11" s="9">
        <f>H11*J11</f>
        <v>-4.9183567906934114</v>
      </c>
      <c r="J11" s="9">
        <f>LN(F11)</f>
        <v>-0.13777768350597369</v>
      </c>
      <c r="K11" s="9">
        <f>J11-(1.96*SQRT(G11))</f>
        <v>-0.46582424914058967</v>
      </c>
      <c r="L11" s="9">
        <f>J11+(1.96*SQRT(G11))</f>
        <v>0.19026888212864229</v>
      </c>
      <c r="M11" s="10" t="str">
        <f>ROUND(J11,2)&amp;" ("&amp;ROUND(K11,2)&amp;","&amp;ROUND(L11,2)&amp;")"</f>
        <v>-0.14 (-0.47,0.19)</v>
      </c>
      <c r="N11" s="11" t="str">
        <f>ROUND(EXP(J11),2)&amp;" ("&amp;ROUND(EXP(K11),2)&amp;","&amp;ROUND(EXP(L11),2)&amp;")"</f>
        <v>0.87 (0.63,1.21)</v>
      </c>
      <c r="O11" s="12">
        <f t="shared" si="2"/>
        <v>0.41040063529636023</v>
      </c>
      <c r="P11" s="12">
        <f>SQRT(1/H11)</f>
        <v>0.16737069675235511</v>
      </c>
      <c r="Q11" s="12">
        <f t="shared" si="3"/>
        <v>0.67763980527761336</v>
      </c>
      <c r="R11" s="13">
        <f>H11*H11</f>
        <v>1274.3311632050679</v>
      </c>
      <c r="S11" s="14">
        <f>1/(S27+1/H11)</f>
        <v>18.475257603166465</v>
      </c>
      <c r="T11" s="15">
        <f t="shared" si="4"/>
        <v>-2.5454781947404035</v>
      </c>
      <c r="U11" s="12">
        <f>J11*J11/G11</f>
        <v>0.67763980527761336</v>
      </c>
      <c r="V11" s="16">
        <v>1</v>
      </c>
      <c r="W11" s="17"/>
      <c r="X11" s="1"/>
      <c r="AA11" t="s">
        <v>80</v>
      </c>
      <c r="AB11" s="10" t="s">
        <v>63</v>
      </c>
      <c r="AC11" s="11" t="s">
        <v>64</v>
      </c>
      <c r="AD11" s="12">
        <v>0.41039999999999999</v>
      </c>
    </row>
    <row r="12" spans="1:30" ht="15">
      <c r="A12" s="1"/>
      <c r="B12" s="7">
        <v>414</v>
      </c>
      <c r="C12" s="7">
        <v>732</v>
      </c>
      <c r="D12" s="7">
        <v>444</v>
      </c>
      <c r="E12" s="7">
        <v>792</v>
      </c>
      <c r="F12" s="8">
        <f t="shared" si="0"/>
        <v>1.0088613203367303</v>
      </c>
      <c r="G12" s="8">
        <f t="shared" si="1"/>
        <v>7.2964576706558175E-3</v>
      </c>
      <c r="H12" s="9">
        <f t="shared" si="5"/>
        <v>137.05280632569179</v>
      </c>
      <c r="I12" s="9">
        <f t="shared" ref="I12:I19" si="15">H12*J12</f>
        <v>1.2091194994092318</v>
      </c>
      <c r="J12" s="9">
        <f t="shared" ref="J12:J19" si="16">LN(F12)</f>
        <v>8.8222892462040108E-3</v>
      </c>
      <c r="K12" s="9">
        <f t="shared" ref="K12:K19" si="17">J12-(1.96*SQRT(G12))</f>
        <v>-0.15859954859937508</v>
      </c>
      <c r="L12" s="9">
        <f t="shared" ref="L12:L19" si="18">J12+(1.96*SQRT(G12))</f>
        <v>0.17624412709178311</v>
      </c>
      <c r="M12" s="10" t="str">
        <f t="shared" ref="M12:M19" si="19">ROUND(J12,2)&amp;" ("&amp;ROUND(K12,2)&amp;","&amp;ROUND(L12,2)&amp;")"</f>
        <v>0.01 (-0.16,0.18)</v>
      </c>
      <c r="N12" s="11" t="str">
        <f t="shared" ref="N12:N19" si="20">ROUND(EXP(J12),2)&amp;" ("&amp;ROUND(EXP(K12),2)&amp;","&amp;ROUND(EXP(L12),2)&amp;")"</f>
        <v>1.01 (0.85,1.19)</v>
      </c>
      <c r="O12" s="12">
        <f t="shared" si="2"/>
        <v>0.91773904420575836</v>
      </c>
      <c r="P12" s="12">
        <f t="shared" ref="P12:P19" si="21">SQRT(1/H12)</f>
        <v>8.5419305023254649E-2</v>
      </c>
      <c r="Q12" s="12">
        <f t="shared" si="3"/>
        <v>1.0667201957013643E-2</v>
      </c>
      <c r="R12" s="13">
        <f t="shared" ref="R12:R19" si="22">H12*H12</f>
        <v>18783.471721747585</v>
      </c>
      <c r="S12" s="14">
        <f>1/(S27+1/H12)</f>
        <v>29.931201558735196</v>
      </c>
      <c r="T12" s="15">
        <f t="shared" si="4"/>
        <v>0.26406171763759423</v>
      </c>
      <c r="U12" s="12">
        <f t="shared" ref="U12:U19" si="23">J12*J12/G12</f>
        <v>1.0667201957013641E-2</v>
      </c>
      <c r="V12" s="16">
        <v>1</v>
      </c>
      <c r="W12" s="17"/>
      <c r="X12" s="1"/>
      <c r="AA12" t="s">
        <v>81</v>
      </c>
      <c r="AB12" s="10" t="s">
        <v>49</v>
      </c>
      <c r="AC12" s="11" t="s">
        <v>50</v>
      </c>
      <c r="AD12" s="12">
        <v>0.91769999999999996</v>
      </c>
    </row>
    <row r="13" spans="1:30" ht="15">
      <c r="A13" s="1"/>
      <c r="B13" s="7">
        <v>181</v>
      </c>
      <c r="C13" s="7">
        <v>305</v>
      </c>
      <c r="D13" s="7">
        <v>170</v>
      </c>
      <c r="E13" s="7">
        <v>274</v>
      </c>
      <c r="F13" s="8">
        <f t="shared" si="0"/>
        <v>0.95648987463837998</v>
      </c>
      <c r="G13" s="8">
        <f t="shared" si="1"/>
        <v>1.8335538380716023E-2</v>
      </c>
      <c r="H13" s="9">
        <f t="shared" si="5"/>
        <v>54.538894862870606</v>
      </c>
      <c r="I13" s="9">
        <f t="shared" si="15"/>
        <v>-2.4261668831368226</v>
      </c>
      <c r="J13" s="9">
        <f t="shared" si="16"/>
        <v>-4.448507600377738E-2</v>
      </c>
      <c r="K13" s="9">
        <f t="shared" si="17"/>
        <v>-0.30988628972247662</v>
      </c>
      <c r="L13" s="9">
        <f t="shared" si="18"/>
        <v>0.22091613771492186</v>
      </c>
      <c r="M13" s="10" t="str">
        <f t="shared" si="19"/>
        <v>-0.04 (-0.31,0.22)</v>
      </c>
      <c r="N13" s="11" t="str">
        <f t="shared" si="20"/>
        <v>0.96 (0.73,1.25)</v>
      </c>
      <c r="O13" s="12">
        <f t="shared" si="2"/>
        <v>0.74251527129586781</v>
      </c>
      <c r="P13" s="12">
        <f t="shared" si="21"/>
        <v>0.13540878250954044</v>
      </c>
      <c r="Q13" s="12">
        <f t="shared" si="3"/>
        <v>0.10792821819418921</v>
      </c>
      <c r="R13" s="13">
        <f t="shared" si="22"/>
        <v>2974.4910528632536</v>
      </c>
      <c r="S13" s="14">
        <f>1/(S27+1/H13)</f>
        <v>22.497677555097145</v>
      </c>
      <c r="T13" s="15">
        <f t="shared" si="4"/>
        <v>-1.000810895946973</v>
      </c>
      <c r="U13" s="12">
        <f t="shared" si="23"/>
        <v>0.10792821819418923</v>
      </c>
      <c r="V13" s="16">
        <v>1</v>
      </c>
      <c r="W13" s="17"/>
      <c r="X13" s="1"/>
      <c r="AA13" t="s">
        <v>82</v>
      </c>
      <c r="AB13" s="10" t="s">
        <v>51</v>
      </c>
      <c r="AC13" s="11" t="s">
        <v>52</v>
      </c>
      <c r="AD13" s="12">
        <v>0.74250000000000005</v>
      </c>
    </row>
    <row r="14" spans="1:30" ht="15">
      <c r="A14" s="1"/>
      <c r="B14" s="7">
        <v>171</v>
      </c>
      <c r="C14" s="7">
        <v>349</v>
      </c>
      <c r="D14" s="7">
        <v>453</v>
      </c>
      <c r="E14" s="7">
        <v>717</v>
      </c>
      <c r="F14" s="8">
        <f t="shared" si="0"/>
        <v>0.77551756200307409</v>
      </c>
      <c r="G14" s="8">
        <f t="shared" si="1"/>
        <v>1.2315488387502061E-2</v>
      </c>
      <c r="H14" s="9">
        <f t="shared" si="5"/>
        <v>81.198566271623847</v>
      </c>
      <c r="I14" s="9">
        <f t="shared" si="15"/>
        <v>-20.642677138258833</v>
      </c>
      <c r="J14" s="9">
        <f t="shared" si="16"/>
        <v>-0.25422465058318094</v>
      </c>
      <c r="K14" s="9">
        <f t="shared" si="17"/>
        <v>-0.47173598405669886</v>
      </c>
      <c r="L14" s="9">
        <f t="shared" si="18"/>
        <v>-3.6713317109663024E-2</v>
      </c>
      <c r="M14" s="10" t="str">
        <f t="shared" si="19"/>
        <v>-0.25 (-0.47,-0.04)</v>
      </c>
      <c r="N14" s="11" t="str">
        <f t="shared" si="20"/>
        <v>0.78 (0.62,0.96)</v>
      </c>
      <c r="O14" s="12">
        <f t="shared" si="2"/>
        <v>2.1973559819071859E-2</v>
      </c>
      <c r="P14" s="12">
        <f t="shared" si="21"/>
        <v>0.11097517013954997</v>
      </c>
      <c r="Q14" s="12">
        <f t="shared" si="3"/>
        <v>5.2478773825752683</v>
      </c>
      <c r="R14" s="13">
        <f t="shared" si="22"/>
        <v>6593.2071645672895</v>
      </c>
      <c r="S14" s="14">
        <f>1/(S27+1/H14)</f>
        <v>26.022026494536128</v>
      </c>
      <c r="T14" s="15">
        <f t="shared" si="4"/>
        <v>-6.6154405930397244</v>
      </c>
      <c r="U14" s="12">
        <f t="shared" si="23"/>
        <v>5.24787738257527</v>
      </c>
      <c r="V14" s="16">
        <v>1</v>
      </c>
      <c r="W14" s="17"/>
      <c r="X14" s="1"/>
      <c r="AA14" t="s">
        <v>83</v>
      </c>
      <c r="AB14" s="10" t="s">
        <v>53</v>
      </c>
      <c r="AC14" s="11" t="s">
        <v>54</v>
      </c>
      <c r="AD14" s="12">
        <v>2.1999999999999999E-2</v>
      </c>
    </row>
    <row r="15" spans="1:30" ht="15">
      <c r="A15" s="1"/>
      <c r="B15" s="7">
        <v>644</v>
      </c>
      <c r="C15" s="7">
        <v>568</v>
      </c>
      <c r="D15" s="7">
        <v>530</v>
      </c>
      <c r="E15" s="7">
        <v>500</v>
      </c>
      <c r="F15" s="8">
        <f t="shared" si="0"/>
        <v>1.0696252989635928</v>
      </c>
      <c r="G15" s="8">
        <f t="shared" si="1"/>
        <v>7.2001508641677796E-3</v>
      </c>
      <c r="H15" s="9">
        <f t="shared" si="5"/>
        <v>138.88597876144416</v>
      </c>
      <c r="I15" s="9">
        <f t="shared" si="15"/>
        <v>9.3481929099837267</v>
      </c>
      <c r="J15" s="9">
        <f t="shared" si="16"/>
        <v>6.7308399259226437E-2</v>
      </c>
      <c r="K15" s="9">
        <f t="shared" si="17"/>
        <v>-9.9004858058964945E-2</v>
      </c>
      <c r="L15" s="9">
        <f t="shared" si="18"/>
        <v>0.23362165657741782</v>
      </c>
      <c r="M15" s="10" t="str">
        <f t="shared" si="19"/>
        <v>0.07 (-0.1,0.23)</v>
      </c>
      <c r="N15" s="11" t="str">
        <f t="shared" si="20"/>
        <v>1.07 (0.91,1.26)</v>
      </c>
      <c r="O15" s="12">
        <f t="shared" si="2"/>
        <v>0.42764454128414087</v>
      </c>
      <c r="P15" s="12">
        <f t="shared" si="21"/>
        <v>8.4853702713362955E-2</v>
      </c>
      <c r="Q15" s="12">
        <f t="shared" si="3"/>
        <v>0.62921190073745437</v>
      </c>
      <c r="R15" s="13">
        <f t="shared" si="22"/>
        <v>19289.315096524319</v>
      </c>
      <c r="S15" s="14">
        <f>1/(S27+1/H15)</f>
        <v>30.017730020002684</v>
      </c>
      <c r="T15" s="15">
        <f t="shared" si="4"/>
        <v>2.020445357042008</v>
      </c>
      <c r="U15" s="12">
        <f t="shared" si="23"/>
        <v>0.62921190073745448</v>
      </c>
      <c r="V15" s="16">
        <v>1</v>
      </c>
      <c r="W15" s="17"/>
      <c r="X15" s="1"/>
      <c r="AA15" t="s">
        <v>84</v>
      </c>
      <c r="AB15" s="10" t="s">
        <v>55</v>
      </c>
      <c r="AC15" s="11" t="s">
        <v>56</v>
      </c>
      <c r="AD15" s="12">
        <v>0.42759999999999998</v>
      </c>
    </row>
    <row r="16" spans="1:30" ht="15">
      <c r="A16" s="1"/>
      <c r="B16" s="7">
        <v>396</v>
      </c>
      <c r="C16" s="7">
        <v>338</v>
      </c>
      <c r="D16" s="7">
        <v>263</v>
      </c>
      <c r="E16" s="7">
        <v>243</v>
      </c>
      <c r="F16" s="8">
        <f t="shared" si="0"/>
        <v>1.0825027560915248</v>
      </c>
      <c r="G16" s="8">
        <f t="shared" si="1"/>
        <v>1.3401340113179182E-2</v>
      </c>
      <c r="H16" s="9">
        <f t="shared" si="5"/>
        <v>74.619403101080707</v>
      </c>
      <c r="I16" s="9">
        <f t="shared" si="15"/>
        <v>5.9155074242376831</v>
      </c>
      <c r="J16" s="9">
        <f t="shared" si="16"/>
        <v>7.9275726934245727E-2</v>
      </c>
      <c r="K16" s="9">
        <f t="shared" si="17"/>
        <v>-0.14762202135513053</v>
      </c>
      <c r="L16" s="9">
        <f t="shared" si="18"/>
        <v>0.30617347522362198</v>
      </c>
      <c r="M16" s="10" t="str">
        <f t="shared" si="19"/>
        <v>0.08 (-0.15,0.31)</v>
      </c>
      <c r="N16" s="11" t="str">
        <f t="shared" si="20"/>
        <v>1.08 (0.86,1.36)</v>
      </c>
      <c r="O16" s="12">
        <f t="shared" si="2"/>
        <v>0.49346778010389714</v>
      </c>
      <c r="P16" s="12">
        <f t="shared" si="21"/>
        <v>0.11576415729049809</v>
      </c>
      <c r="Q16" s="12">
        <f t="shared" si="3"/>
        <v>0.46895615124136986</v>
      </c>
      <c r="R16" s="13">
        <f t="shared" si="22"/>
        <v>5568.0553191615727</v>
      </c>
      <c r="S16" s="14">
        <f>1/(S27+1/H16)</f>
        <v>25.306951689095335</v>
      </c>
      <c r="T16" s="15">
        <f t="shared" si="4"/>
        <v>2.0062269916428703</v>
      </c>
      <c r="U16" s="12">
        <f t="shared" si="23"/>
        <v>0.46895615124136986</v>
      </c>
      <c r="V16" s="16">
        <v>1</v>
      </c>
      <c r="W16" s="17"/>
      <c r="X16" s="1"/>
      <c r="AA16" t="s">
        <v>85</v>
      </c>
      <c r="AB16" s="10" t="s">
        <v>57</v>
      </c>
      <c r="AC16" s="11" t="s">
        <v>58</v>
      </c>
      <c r="AD16" s="12">
        <v>0.49349999999999999</v>
      </c>
    </row>
    <row r="17" spans="1:30" ht="15">
      <c r="A17" s="1"/>
      <c r="B17" s="7">
        <v>315</v>
      </c>
      <c r="C17" s="7">
        <v>255</v>
      </c>
      <c r="D17" s="7">
        <v>296</v>
      </c>
      <c r="E17" s="7">
        <v>204</v>
      </c>
      <c r="F17" s="8">
        <f t="shared" si="0"/>
        <v>0.85135135135135132</v>
      </c>
      <c r="G17" s="8">
        <f t="shared" si="1"/>
        <v>1.5376510964746258E-2</v>
      </c>
      <c r="H17" s="9">
        <f t="shared" si="5"/>
        <v>65.034259221269437</v>
      </c>
      <c r="I17" s="9">
        <f t="shared" si="15"/>
        <v>-10.465987191867018</v>
      </c>
      <c r="J17" s="9">
        <f t="shared" si="16"/>
        <v>-0.16093036681263712</v>
      </c>
      <c r="K17" s="9">
        <f t="shared" si="17"/>
        <v>-0.40397440504885718</v>
      </c>
      <c r="L17" s="9">
        <f t="shared" si="18"/>
        <v>8.2113671423582973E-2</v>
      </c>
      <c r="M17" s="10" t="str">
        <f t="shared" si="19"/>
        <v>-0.16 (-0.4,0.08)</v>
      </c>
      <c r="N17" s="11" t="str">
        <f t="shared" si="20"/>
        <v>0.85 (0.67,1.09)</v>
      </c>
      <c r="O17" s="12">
        <f t="shared" si="2"/>
        <v>0.19435470332899613</v>
      </c>
      <c r="P17" s="12">
        <f t="shared" si="21"/>
        <v>0.12400206032460211</v>
      </c>
      <c r="Q17" s="12">
        <f t="shared" si="3"/>
        <v>1.6842951578435208</v>
      </c>
      <c r="R17" s="13">
        <f t="shared" si="22"/>
        <v>4229.4548724592687</v>
      </c>
      <c r="S17" s="14">
        <f>1/(S27+1/H17)</f>
        <v>24.102190367397547</v>
      </c>
      <c r="T17" s="15">
        <f t="shared" si="4"/>
        <v>-3.8787743368132963</v>
      </c>
      <c r="U17" s="12">
        <f t="shared" si="23"/>
        <v>1.6842951578435212</v>
      </c>
      <c r="V17" s="16">
        <v>1</v>
      </c>
      <c r="W17" s="17"/>
      <c r="X17" s="1"/>
      <c r="AA17" t="s">
        <v>86</v>
      </c>
      <c r="AB17" s="10" t="s">
        <v>59</v>
      </c>
      <c r="AC17" s="11" t="s">
        <v>60</v>
      </c>
      <c r="AD17" s="12">
        <v>0.19439999999999999</v>
      </c>
    </row>
    <row r="18" spans="1:30" ht="15">
      <c r="A18" s="1"/>
      <c r="B18" s="7">
        <v>281</v>
      </c>
      <c r="C18" s="7">
        <v>583</v>
      </c>
      <c r="D18" s="7">
        <v>213</v>
      </c>
      <c r="E18" s="7">
        <v>493</v>
      </c>
      <c r="F18" s="8">
        <f t="shared" si="0"/>
        <v>1.1155912030214448</v>
      </c>
      <c r="G18" s="8">
        <f t="shared" si="1"/>
        <v>1.1997217974093321E-2</v>
      </c>
      <c r="H18" s="9">
        <f t="shared" si="5"/>
        <v>83.352657437698525</v>
      </c>
      <c r="I18" s="9">
        <f t="shared" si="15"/>
        <v>9.11748803370266</v>
      </c>
      <c r="J18" s="9">
        <f t="shared" si="16"/>
        <v>0.10938449131651831</v>
      </c>
      <c r="K18" s="9">
        <f t="shared" si="17"/>
        <v>-0.10529786140320779</v>
      </c>
      <c r="L18" s="9">
        <f t="shared" si="18"/>
        <v>0.32406684403624442</v>
      </c>
      <c r="M18" s="10" t="str">
        <f t="shared" si="19"/>
        <v>0.11 (-0.11,0.32)</v>
      </c>
      <c r="N18" s="11" t="str">
        <f t="shared" si="20"/>
        <v>1.12 (0.9,1.38)</v>
      </c>
      <c r="O18" s="12">
        <f t="shared" si="2"/>
        <v>0.31796185130077242</v>
      </c>
      <c r="P18" s="12">
        <f t="shared" si="21"/>
        <v>0.10953181261210516</v>
      </c>
      <c r="Q18" s="12">
        <f t="shared" si="3"/>
        <v>0.99731179065100817</v>
      </c>
      <c r="R18" s="13">
        <f t="shared" si="22"/>
        <v>6947.6655019263189</v>
      </c>
      <c r="S18" s="14">
        <f>1/(S27+1/H18)</f>
        <v>26.239341802573083</v>
      </c>
      <c r="T18" s="15">
        <f t="shared" si="4"/>
        <v>2.8701770555547115</v>
      </c>
      <c r="U18" s="12">
        <f t="shared" si="23"/>
        <v>0.99731179065100817</v>
      </c>
      <c r="V18" s="16">
        <v>1</v>
      </c>
      <c r="W18" s="17"/>
      <c r="X18" s="1"/>
      <c r="AA18" t="s">
        <v>87</v>
      </c>
      <c r="AB18" s="10" t="s">
        <v>61</v>
      </c>
      <c r="AC18" s="11" t="s">
        <v>62</v>
      </c>
      <c r="AD18" s="12">
        <v>0.318</v>
      </c>
    </row>
    <row r="19" spans="1:30" ht="15">
      <c r="A19" s="1"/>
      <c r="B19" s="7">
        <v>70</v>
      </c>
      <c r="C19" s="7">
        <v>118</v>
      </c>
      <c r="D19" s="7">
        <v>320</v>
      </c>
      <c r="E19" s="7">
        <v>470</v>
      </c>
      <c r="F19" s="8">
        <f t="shared" si="0"/>
        <v>0.87129237288135597</v>
      </c>
      <c r="G19" s="8">
        <f t="shared" si="1"/>
        <v>2.801295013136881E-2</v>
      </c>
      <c r="H19" s="9">
        <f t="shared" si="5"/>
        <v>35.697775325712776</v>
      </c>
      <c r="I19" s="9">
        <f t="shared" si="15"/>
        <v>-4.9183567906934114</v>
      </c>
      <c r="J19" s="9">
        <f t="shared" si="16"/>
        <v>-0.13777768350597369</v>
      </c>
      <c r="K19" s="9">
        <f t="shared" si="17"/>
        <v>-0.46582424914058967</v>
      </c>
      <c r="L19" s="9">
        <f t="shared" si="18"/>
        <v>0.19026888212864229</v>
      </c>
      <c r="M19" s="10" t="str">
        <f t="shared" si="19"/>
        <v>-0.14 (-0.47,0.19)</v>
      </c>
      <c r="N19" s="11" t="str">
        <f t="shared" si="20"/>
        <v>0.87 (0.63,1.21)</v>
      </c>
      <c r="O19" s="12">
        <f t="shared" si="2"/>
        <v>0.41040063529636023</v>
      </c>
      <c r="P19" s="12">
        <f t="shared" si="21"/>
        <v>0.16737069675235511</v>
      </c>
      <c r="Q19" s="12">
        <f t="shared" si="3"/>
        <v>0.67763980527761336</v>
      </c>
      <c r="R19" s="13">
        <f t="shared" si="22"/>
        <v>1274.3311632050679</v>
      </c>
      <c r="S19" s="14">
        <f>1/(S27+1/H19)</f>
        <v>18.475257603166465</v>
      </c>
      <c r="T19" s="15">
        <f t="shared" si="4"/>
        <v>-2.5454781947404035</v>
      </c>
      <c r="U19" s="12">
        <f t="shared" si="23"/>
        <v>0.67763980527761336</v>
      </c>
      <c r="V19" s="16">
        <v>1</v>
      </c>
      <c r="W19" s="17"/>
      <c r="X19" s="1"/>
      <c r="AA19" t="s">
        <v>88</v>
      </c>
      <c r="AB19" s="10" t="s">
        <v>63</v>
      </c>
      <c r="AC19" s="11" t="s">
        <v>64</v>
      </c>
      <c r="AD19" s="12">
        <v>0.41039999999999999</v>
      </c>
    </row>
    <row r="20" spans="1:30" ht="15">
      <c r="A20" s="1"/>
      <c r="B20" s="20">
        <v>10</v>
      </c>
      <c r="C20" s="20">
        <v>18</v>
      </c>
      <c r="D20" s="20"/>
      <c r="E20" s="20"/>
      <c r="F20" s="21">
        <f>B20/C20</f>
        <v>0.55555555555555558</v>
      </c>
      <c r="G20" s="21">
        <f>1/B20+(1/C20)</f>
        <v>0.15555555555555556</v>
      </c>
      <c r="H20" s="9">
        <f t="shared" si="5"/>
        <v>6.4285714285714288</v>
      </c>
      <c r="I20" s="9">
        <f>H20*J20</f>
        <v>-3.7786285600850507</v>
      </c>
      <c r="J20" s="9">
        <f>LN(F20)</f>
        <v>-0.58778666490211895</v>
      </c>
      <c r="K20" s="9">
        <f>J20-(1.96*SQRT(G20))</f>
        <v>-1.3608210898938022</v>
      </c>
      <c r="L20" s="9">
        <f>J20+(1.96*SQRT(G20))</f>
        <v>0.18524776008956423</v>
      </c>
      <c r="M20" s="10" t="str">
        <f>ROUND(J20,2)&amp;" ("&amp;ROUND(K20,2)&amp;","&amp;ROUND(L20,2)&amp;")"</f>
        <v>-0.59 (-1.36,0.19)</v>
      </c>
      <c r="N20" s="11" t="str">
        <f>ROUND(EXP(J20),2)&amp;" ("&amp;ROUND(EXP(K20),2)&amp;","&amp;ROUND(EXP(L20),2)&amp;")"</f>
        <v>0.56 (0.26,1.2)</v>
      </c>
      <c r="O20" s="12">
        <f t="shared" si="2"/>
        <v>0.13614242838843266</v>
      </c>
      <c r="P20" s="12">
        <f>SQRT(1/H20)</f>
        <v>0.39440531887330776</v>
      </c>
      <c r="Q20" s="12">
        <f t="shared" si="3"/>
        <v>2.2210274792362874</v>
      </c>
      <c r="R20" s="13">
        <f>H20*H20</f>
        <v>41.326530612244902</v>
      </c>
      <c r="S20" s="14">
        <f>1/(S27+1/H20)</f>
        <v>5.5045149517253122</v>
      </c>
      <c r="T20" s="15">
        <f t="shared" si="4"/>
        <v>-3.2354804853784698</v>
      </c>
      <c r="U20" s="12">
        <f>J20*J20/G20</f>
        <v>2.2210274792362874</v>
      </c>
      <c r="V20" s="16">
        <v>1</v>
      </c>
      <c r="W20" s="17"/>
      <c r="X20" s="1"/>
      <c r="AA20" t="s">
        <v>89</v>
      </c>
      <c r="AB20" s="10" t="s">
        <v>65</v>
      </c>
      <c r="AC20" s="11" t="s">
        <v>66</v>
      </c>
      <c r="AD20" s="12">
        <v>0.1361</v>
      </c>
    </row>
    <row r="21" spans="1:30" ht="15">
      <c r="A21" s="1"/>
      <c r="B21" s="20">
        <v>45</v>
      </c>
      <c r="C21" s="20">
        <v>30</v>
      </c>
      <c r="D21" s="20"/>
      <c r="E21" s="20"/>
      <c r="F21" s="21">
        <f>B21/C21</f>
        <v>1.5</v>
      </c>
      <c r="G21" s="21">
        <f>1/B21+(1/C21)</f>
        <v>5.5555555555555552E-2</v>
      </c>
      <c r="H21" s="9">
        <f t="shared" si="5"/>
        <v>18</v>
      </c>
      <c r="I21" s="9">
        <f>H21*J21</f>
        <v>7.2983719459469594</v>
      </c>
      <c r="J21" s="9">
        <f>LN(F21)</f>
        <v>0.40546510810816438</v>
      </c>
      <c r="K21" s="9">
        <f>J21-(1.96*SQRT(G21))</f>
        <v>-5.6511322267046638E-2</v>
      </c>
      <c r="L21" s="9">
        <f>J21+(1.96*SQRT(G21))</f>
        <v>0.86744153848337535</v>
      </c>
      <c r="M21" s="10" t="str">
        <f>ROUND(J21,2)&amp;" ("&amp;ROUND(K21,2)&amp;","&amp;ROUND(L21,2)&amp;")"</f>
        <v>0.41 (-0.06,0.87)</v>
      </c>
      <c r="N21" s="11" t="str">
        <f>ROUND(EXP(J21),2)&amp;" ("&amp;ROUND(EXP(K21),2)&amp;","&amp;ROUND(EXP(L21),2)&amp;")"</f>
        <v>1.5 (0.95,2.38)</v>
      </c>
      <c r="O21" s="12">
        <f t="shared" si="2"/>
        <v>8.5388322464093294E-2</v>
      </c>
      <c r="P21" s="12">
        <f>SQRT(1/H21)</f>
        <v>0.23570226039551584</v>
      </c>
      <c r="Q21" s="12">
        <f t="shared" si="3"/>
        <v>2.9592351700769779</v>
      </c>
      <c r="R21" s="13">
        <f>H21*H21</f>
        <v>324</v>
      </c>
      <c r="S21" s="14">
        <f>1/(S27+1/H21)</f>
        <v>12.244540672730913</v>
      </c>
      <c r="T21" s="15">
        <f t="shared" si="4"/>
        <v>4.9647340076036555</v>
      </c>
      <c r="U21" s="12">
        <f>J21*J21/G21</f>
        <v>2.9592351700769779</v>
      </c>
      <c r="V21" s="16">
        <v>1</v>
      </c>
      <c r="W21" s="17"/>
      <c r="X21" s="1"/>
      <c r="AA21" t="s">
        <v>90</v>
      </c>
      <c r="AB21" s="10" t="s">
        <v>67</v>
      </c>
      <c r="AC21" s="11" t="s">
        <v>68</v>
      </c>
      <c r="AD21" s="12">
        <v>8.5400000000000004E-2</v>
      </c>
    </row>
    <row r="22" spans="1:30" ht="15">
      <c r="A22" s="1"/>
      <c r="B22" s="20">
        <v>150</v>
      </c>
      <c r="C22" s="20">
        <v>87</v>
      </c>
      <c r="D22" s="20"/>
      <c r="E22" s="20"/>
      <c r="F22" s="21">
        <f>B22/C22</f>
        <v>1.7241379310344827</v>
      </c>
      <c r="G22" s="21">
        <f>1/B22+(1/C22)</f>
        <v>1.8160919540229886E-2</v>
      </c>
      <c r="H22" s="9">
        <f t="shared" si="5"/>
        <v>55.063291139240505</v>
      </c>
      <c r="I22" s="9">
        <f>H22*J22</f>
        <v>29.994471052800922</v>
      </c>
      <c r="J22" s="9">
        <f>LN(F22)</f>
        <v>0.54472717544167193</v>
      </c>
      <c r="K22" s="9">
        <f>J22-(1.96*SQRT(G22))</f>
        <v>0.28059276173200948</v>
      </c>
      <c r="L22" s="9">
        <f>J22+(1.96*SQRT(G22))</f>
        <v>0.80886158915133444</v>
      </c>
      <c r="M22" s="10" t="str">
        <f>ROUND(J22,2)&amp;" ("&amp;ROUND(K22,2)&amp;","&amp;ROUND(L22,2)&amp;")"</f>
        <v>0.54 (0.28,0.81)</v>
      </c>
      <c r="N22" s="11" t="str">
        <f>ROUND(EXP(J22),2)&amp;" ("&amp;ROUND(EXP(K22),2)&amp;","&amp;ROUND(EXP(L22),2)&amp;")"</f>
        <v>1.72 (1.32,2.25)</v>
      </c>
      <c r="O22" s="12">
        <f t="shared" si="2"/>
        <v>5.2968171275032594E-5</v>
      </c>
      <c r="P22" s="12">
        <f>SQRT(1/H22)</f>
        <v>0.13476245597431757</v>
      </c>
      <c r="Q22" s="12">
        <f t="shared" si="3"/>
        <v>16.338803495459238</v>
      </c>
      <c r="R22" s="13">
        <f>H22*H22</f>
        <v>3031.9660310847621</v>
      </c>
      <c r="S22" s="14">
        <f>1/(S27+1/H22)</f>
        <v>22.586408676456582</v>
      </c>
      <c r="T22" s="15">
        <f t="shared" si="4"/>
        <v>12.303430601697466</v>
      </c>
      <c r="U22" s="12">
        <f>J22*J22/G22</f>
        <v>16.338803495459235</v>
      </c>
      <c r="V22" s="16">
        <v>1</v>
      </c>
      <c r="W22" s="17"/>
      <c r="X22" s="1"/>
      <c r="AA22" t="s">
        <v>91</v>
      </c>
      <c r="AB22" s="10" t="s">
        <v>69</v>
      </c>
      <c r="AC22" s="11" t="s">
        <v>70</v>
      </c>
      <c r="AD22" s="12">
        <v>1E-4</v>
      </c>
    </row>
    <row r="23" spans="1:30" ht="15">
      <c r="A23" s="1"/>
      <c r="B23" s="18"/>
      <c r="C23" s="18"/>
      <c r="D23" s="6"/>
      <c r="E23" s="6"/>
      <c r="F23" s="19"/>
      <c r="G23" s="2" t="s">
        <v>22</v>
      </c>
      <c r="H23" s="2" t="s">
        <v>23</v>
      </c>
      <c r="I23" s="2" t="s">
        <v>24</v>
      </c>
      <c r="J23" s="2" t="s">
        <v>25</v>
      </c>
      <c r="K23" s="2" t="s">
        <v>26</v>
      </c>
      <c r="L23" s="2" t="s">
        <v>27</v>
      </c>
      <c r="M23" s="3" t="s">
        <v>28</v>
      </c>
      <c r="N23" s="3" t="s">
        <v>29</v>
      </c>
      <c r="O23" s="1" t="s">
        <v>30</v>
      </c>
      <c r="P23" s="1" t="s">
        <v>14</v>
      </c>
      <c r="Q23" s="1" t="s">
        <v>15</v>
      </c>
      <c r="R23" s="4" t="s">
        <v>31</v>
      </c>
      <c r="S23" s="5" t="s">
        <v>32</v>
      </c>
      <c r="T23" s="5" t="s">
        <v>33</v>
      </c>
      <c r="U23" s="1" t="s">
        <v>19</v>
      </c>
      <c r="V23" s="22"/>
      <c r="W23" s="17"/>
      <c r="X23" s="1"/>
      <c r="AB23" s="37" t="s">
        <v>42</v>
      </c>
    </row>
    <row r="24" spans="1:30" ht="15">
      <c r="A24" s="1"/>
      <c r="B24" s="6"/>
      <c r="C24" s="6"/>
      <c r="D24" s="6"/>
      <c r="E24" s="6"/>
      <c r="F24" s="19"/>
      <c r="G24" s="23">
        <f>1/H24</f>
        <v>6.156583774091798E-4</v>
      </c>
      <c r="H24" s="24">
        <f>SUM(H2:H22)</f>
        <v>1624.2774186038218</v>
      </c>
      <c r="I24" s="24">
        <f>SUM(I2:I22)</f>
        <v>74.937505339528514</v>
      </c>
      <c r="J24" s="9">
        <f>I24/H24</f>
        <v>4.613590294442587E-2</v>
      </c>
      <c r="K24" s="9">
        <f>J24-(1.96*SQRT(G24))</f>
        <v>-2.4965267980320421E-3</v>
      </c>
      <c r="L24" s="9">
        <f>J24+(1.96*SQRT(G24))</f>
        <v>9.4768332686883783E-2</v>
      </c>
      <c r="M24" s="25" t="str">
        <f>ROUND(J24,2)&amp;" ("&amp;ROUND(K24,2)&amp;","&amp;ROUND(L24,2)&amp;")"</f>
        <v>0.05 (0,0.09)</v>
      </c>
      <c r="N24" s="25" t="str">
        <f>ROUND(J26,2)&amp;" ("&amp;ROUND(K26,2)&amp;","&amp;ROUND(L26,2)&amp;")"</f>
        <v>1.05 (1,1.1)</v>
      </c>
      <c r="O24" s="26">
        <f>CHIDIST(Q24,1)</f>
        <v>6.2972704689245873E-2</v>
      </c>
      <c r="P24" s="12">
        <f>SQRT(1/H24)</f>
        <v>2.4812464154315261E-2</v>
      </c>
      <c r="Q24" s="12">
        <f>(J24/P24)^2</f>
        <v>3.457309473241883</v>
      </c>
      <c r="R24" s="27">
        <f>SUM(R2:R22)</f>
        <v>156253.74402371203</v>
      </c>
      <c r="S24" s="14">
        <f>SUM(S2:S22)</f>
        <v>500.81410840172623</v>
      </c>
      <c r="T24" s="14">
        <f>SUM(T2:T22)</f>
        <v>18.310020368951548</v>
      </c>
      <c r="U24" s="12">
        <f>J24*J24/G24</f>
        <v>3.4573094732418825</v>
      </c>
      <c r="V24" s="28"/>
      <c r="W24" s="17"/>
      <c r="X24" s="1"/>
      <c r="AB24" s="37" t="s">
        <v>43</v>
      </c>
    </row>
    <row r="25" spans="1:30" ht="15">
      <c r="A25" s="1"/>
      <c r="B25" s="6"/>
      <c r="C25" s="6"/>
      <c r="D25" s="6"/>
      <c r="E25" s="6"/>
      <c r="F25" s="19"/>
      <c r="G25" s="17"/>
      <c r="H25" s="17"/>
      <c r="I25" s="17"/>
      <c r="J25" s="3" t="s">
        <v>34</v>
      </c>
      <c r="K25" s="2" t="s">
        <v>35</v>
      </c>
      <c r="L25" s="2" t="s">
        <v>36</v>
      </c>
      <c r="M25" s="17"/>
      <c r="N25" s="6"/>
      <c r="O25" s="6"/>
      <c r="P25" s="6"/>
      <c r="Q25" s="6"/>
      <c r="R25" s="29"/>
      <c r="S25" s="21"/>
      <c r="T25" s="21"/>
      <c r="U25" s="30"/>
      <c r="V25" s="17"/>
      <c r="W25" s="17"/>
      <c r="X25" s="1"/>
    </row>
    <row r="26" spans="1:30" ht="15">
      <c r="A26" s="1"/>
      <c r="B26" s="6"/>
      <c r="C26" s="6"/>
      <c r="D26" s="6"/>
      <c r="E26" s="6"/>
      <c r="F26" s="19"/>
      <c r="G26" s="17"/>
      <c r="H26" s="17"/>
      <c r="I26" s="17"/>
      <c r="J26" s="9">
        <f>EXP(J24)</f>
        <v>1.0472167211223855</v>
      </c>
      <c r="K26" s="9">
        <f>EXP(K24)</f>
        <v>0.99750658693328442</v>
      </c>
      <c r="L26" s="9">
        <f>EXP(L24)</f>
        <v>1.0994041296207173</v>
      </c>
      <c r="M26" s="17"/>
      <c r="N26" s="6"/>
      <c r="O26" s="6"/>
      <c r="P26" s="6"/>
      <c r="Q26" s="6"/>
      <c r="R26" s="29"/>
      <c r="S26" s="5" t="s">
        <v>39</v>
      </c>
      <c r="T26" s="21"/>
      <c r="U26" s="31" t="s">
        <v>37</v>
      </c>
      <c r="V26" s="32" t="s">
        <v>38</v>
      </c>
      <c r="W26" s="17"/>
      <c r="X26" s="1"/>
    </row>
    <row r="27" spans="1:30" ht="15">
      <c r="A27" s="1"/>
      <c r="B27" s="6"/>
      <c r="C27" s="6"/>
      <c r="D27" s="6"/>
      <c r="E27" s="6"/>
      <c r="F27" s="19"/>
      <c r="G27" s="17"/>
      <c r="H27" s="17"/>
      <c r="I27" s="17"/>
      <c r="J27" s="17"/>
      <c r="K27" s="17"/>
      <c r="L27" s="17"/>
      <c r="M27" s="17"/>
      <c r="N27" s="6"/>
      <c r="O27" s="6"/>
      <c r="P27" s="6"/>
      <c r="Q27" s="6"/>
      <c r="R27" s="29"/>
      <c r="S27" s="36">
        <f>(U27-V27)*H24/(H24*H24-R24)</f>
        <v>2.6113494082789828E-2</v>
      </c>
      <c r="T27" s="21"/>
      <c r="U27" s="33">
        <f>SUM(U2:U22)-U24</f>
        <v>59.903468661337008</v>
      </c>
      <c r="V27" s="34">
        <f>SUM(V2:V22)-1</f>
        <v>20</v>
      </c>
      <c r="W27" s="35">
        <f>CHIDIST(U27,V27)</f>
        <v>7.3709161968559945E-6</v>
      </c>
      <c r="X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Dawei Li</dc:creator>
  <cp:lastModifiedBy>Dawei Li</cp:lastModifiedBy>
  <dcterms:created xsi:type="dcterms:W3CDTF">2017-07-18T02:50:54Z</dcterms:created>
  <dcterms:modified xsi:type="dcterms:W3CDTF">2017-07-18T03:56:45Z</dcterms:modified>
</cp:coreProperties>
</file>