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Courses\4270\2020-21\Assignments\"/>
    </mc:Choice>
  </mc:AlternateContent>
  <bookViews>
    <workbookView xWindow="0" yWindow="600" windowWidth="19200" windowHeight="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C81" i="1"/>
  <c r="C80" i="1"/>
  <c r="C77" i="1"/>
  <c r="C76" i="1"/>
  <c r="C73" i="1"/>
  <c r="C71" i="1"/>
  <c r="H63" i="1"/>
  <c r="D63" i="1"/>
  <c r="C47" i="1"/>
  <c r="C55" i="1" s="1"/>
  <c r="C56" i="1" s="1"/>
  <c r="C59" i="1" s="1"/>
  <c r="D51" i="1"/>
  <c r="C44" i="1"/>
  <c r="C27" i="1"/>
  <c r="C28" i="1" s="1"/>
  <c r="F28" i="1" s="1"/>
  <c r="C18" i="1"/>
  <c r="C20" i="1" s="1"/>
  <c r="C3" i="1"/>
  <c r="C9" i="1" s="1"/>
  <c r="C10" i="1" s="1"/>
  <c r="F47" i="1" l="1"/>
  <c r="C50" i="1"/>
  <c r="C51" i="1" s="1"/>
  <c r="C29" i="1"/>
  <c r="C34" i="1" s="1"/>
  <c r="C36" i="1" s="1"/>
</calcChain>
</file>

<file path=xl/sharedStrings.xml><?xml version="1.0" encoding="utf-8"?>
<sst xmlns="http://schemas.openxmlformats.org/spreadsheetml/2006/main" count="98" uniqueCount="79">
  <si>
    <t>Question 1</t>
  </si>
  <si>
    <t>order</t>
  </si>
  <si>
    <t>wavelength (nm)</t>
  </si>
  <si>
    <t>angle incidence</t>
  </si>
  <si>
    <t>angle diffraction</t>
  </si>
  <si>
    <t>degtorad</t>
  </si>
  <si>
    <t>d (micron)</t>
  </si>
  <si>
    <t>width (cm)</t>
  </si>
  <si>
    <t>Integer:</t>
  </si>
  <si>
    <t>Num lines:</t>
  </si>
  <si>
    <t>Question 2</t>
  </si>
  <si>
    <t>[2 marks]</t>
  </si>
  <si>
    <t>dlam (A)</t>
  </si>
  <si>
    <t>lam (A)</t>
  </si>
  <si>
    <t>R</t>
  </si>
  <si>
    <t xml:space="preserve">N </t>
  </si>
  <si>
    <t>N integer</t>
  </si>
  <si>
    <t>[3 marks]</t>
  </si>
  <si>
    <t>Question 3</t>
  </si>
  <si>
    <t>a)</t>
  </si>
  <si>
    <t>lines/mm</t>
  </si>
  <si>
    <t>sin(beta)</t>
  </si>
  <si>
    <t>d (mm)</t>
  </si>
  <si>
    <t>beta  (rad)</t>
  </si>
  <si>
    <t>A (rad/nm)</t>
  </si>
  <si>
    <t>b)</t>
  </si>
  <si>
    <t>A=m/(d cos(beta)</t>
  </si>
  <si>
    <t>R = l am/dlam = mN</t>
  </si>
  <si>
    <t>linear dispersion = A fc</t>
  </si>
  <si>
    <t>fc (cm)</t>
  </si>
  <si>
    <t>linear disp</t>
  </si>
  <si>
    <t>cm/nm</t>
  </si>
  <si>
    <t>inverse lin disp</t>
  </si>
  <si>
    <t>A/mm</t>
  </si>
  <si>
    <t>(since nm/cm = A/mm)</t>
  </si>
  <si>
    <t>Question 4</t>
  </si>
  <si>
    <t>beta (deg)</t>
  </si>
  <si>
    <t>lam(nm)</t>
  </si>
  <si>
    <t>blaze angle (deg)</t>
  </si>
  <si>
    <t>[1 mark]</t>
  </si>
  <si>
    <t>c)</t>
  </si>
  <si>
    <t>A = 2 sin(beta)/(lam cos(beta))</t>
  </si>
  <si>
    <t>m</t>
  </si>
  <si>
    <t>d (microns)</t>
  </si>
  <si>
    <t>d=lam m/2sin(beta)</t>
  </si>
  <si>
    <t>rounded up</t>
  </si>
  <si>
    <t>d)</t>
  </si>
  <si>
    <t>reciprocal linear disperson = 1/Afc</t>
  </si>
  <si>
    <t>fc (m)</t>
  </si>
  <si>
    <t>Afc (mm/nm)</t>
  </si>
  <si>
    <t>A rad/nm</t>
  </si>
  <si>
    <t>'A deg/nm</t>
  </si>
  <si>
    <t>1/Afc (A/mm)</t>
  </si>
  <si>
    <t>e)</t>
  </si>
  <si>
    <t>1 px (microns)</t>
  </si>
  <si>
    <t>1/Afc (nm/px)</t>
  </si>
  <si>
    <t>Question 5</t>
  </si>
  <si>
    <r>
      <t xml:space="preserve">  Need to have an integral number of lines, so </t>
    </r>
    <r>
      <rPr>
        <i/>
        <sz val="11"/>
        <color theme="1"/>
        <rFont val="Calibri"/>
        <family val="2"/>
        <scheme val="minor"/>
      </rPr>
      <t>rounded up</t>
    </r>
    <r>
      <rPr>
        <sz val="11"/>
        <color theme="1"/>
        <rFont val="Calibri"/>
        <family val="2"/>
        <scheme val="minor"/>
      </rPr>
      <t>.</t>
    </r>
  </si>
  <si>
    <t>3C 273 J2000</t>
  </si>
  <si>
    <t>alpha hms</t>
  </si>
  <si>
    <t>delta deg,',"</t>
  </si>
  <si>
    <t>alpha dd</t>
  </si>
  <si>
    <t>delta dd</t>
  </si>
  <si>
    <t>Latitude (deg)</t>
  </si>
  <si>
    <t>In order to avoid the problem of differential refraction, the slit should be rotated, if possible, along the parallactic angle</t>
  </si>
  <si>
    <t>LST hms</t>
  </si>
  <si>
    <t>LST dd</t>
  </si>
  <si>
    <t>HA = LST - RA (dd)</t>
  </si>
  <si>
    <t>tan(q) = sin(HA)/(cos(dec)*tan(phi)-sin(dec)cos(HA))</t>
  </si>
  <si>
    <t>tan(q)</t>
  </si>
  <si>
    <t>q(deg)</t>
  </si>
  <si>
    <t>cos(z)=sin(phi)sin(dec)+cos(phi)*cos(dec)*cos(HA)</t>
  </si>
  <si>
    <t>cos(z)</t>
  </si>
  <si>
    <t>z (deg)</t>
  </si>
  <si>
    <t xml:space="preserve">Airmass </t>
  </si>
  <si>
    <t>[2 mark]</t>
  </si>
  <si>
    <t>Nlines = No. lines/mm * width in mm</t>
  </si>
  <si>
    <t>In Litrow conditions, alpha = beta, so sin(alpha)+sin(beta) = 2sin(beta) and blaze angle is the angle of diffraction</t>
  </si>
  <si>
    <t>PHYS 4270/5390 Assignment #6 - spectroscopy [20 marks total]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</si>
</sst>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quotePrefix="1"/>
    <xf numFmtId="0" fontId="0" fillId="0" borderId="0" xfId="0" applyAlignment="1"/>
    <xf numFmtId="0" fontId="0" fillId="0" borderId="0" xfId="0" quotePrefix="1" applyAlignment="1"/>
    <xf numFmtId="0" fontId="0" fillId="0" borderId="0" xfId="0" quotePrefix="1" applyAlignment="1"/>
    <xf numFmtId="0" fontId="1" fillId="0" borderId="0" xfId="0" applyFon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2" borderId="0" xfId="0" quotePrefix="1" applyFill="1"/>
    <xf numFmtId="0" fontId="0" fillId="2" borderId="0" xfId="0" applyFill="1"/>
    <xf numFmtId="0" fontId="1" fillId="0" borderId="0" xfId="0" applyFont="1" applyAlignment="1"/>
    <xf numFmtId="0" fontId="2" fillId="2" borderId="0" xfId="0" quotePrefix="1" applyFont="1" applyFill="1"/>
    <xf numFmtId="2" fontId="0" fillId="2" borderId="0" xfId="0" applyNumberFormat="1" applyFill="1"/>
    <xf numFmtId="0" fontId="0" fillId="2" borderId="0" xfId="0" quotePrefix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workbookViewId="0">
      <selection sqref="A1:F1"/>
    </sheetView>
  </sheetViews>
  <sheetFormatPr defaultRowHeight="14.5" x14ac:dyDescent="0.35"/>
  <cols>
    <col min="1" max="1" width="9.81640625" bestFit="1" customWidth="1"/>
    <col min="2" max="2" width="13.81640625" customWidth="1"/>
    <col min="3" max="3" width="11.81640625" bestFit="1" customWidth="1"/>
    <col min="4" max="4" width="9.7265625" customWidth="1"/>
    <col min="5" max="5" width="14.90625" bestFit="1" customWidth="1"/>
    <col min="7" max="7" width="15.1796875" customWidth="1"/>
    <col min="13" max="13" width="9.7265625" bestFit="1" customWidth="1"/>
  </cols>
  <sheetData>
    <row r="1" spans="1:14" x14ac:dyDescent="0.35">
      <c r="A1" s="11" t="s">
        <v>78</v>
      </c>
      <c r="B1" s="11"/>
      <c r="C1" s="11"/>
      <c r="D1" s="11"/>
      <c r="E1" s="11"/>
      <c r="F1" s="11"/>
    </row>
    <row r="2" spans="1:14" x14ac:dyDescent="0.35">
      <c r="A2" s="3"/>
      <c r="B2" s="3"/>
      <c r="C2" s="3"/>
      <c r="D2" s="3"/>
      <c r="E2" s="3"/>
      <c r="F2" s="3"/>
    </row>
    <row r="3" spans="1:14" x14ac:dyDescent="0.35">
      <c r="A3" s="3"/>
      <c r="B3" s="4" t="s">
        <v>5</v>
      </c>
      <c r="C3" s="3">
        <f>PI()/180</f>
        <v>1.7453292519943295E-2</v>
      </c>
      <c r="D3" s="3"/>
      <c r="E3" s="3"/>
      <c r="F3" s="3"/>
    </row>
    <row r="5" spans="1:14" x14ac:dyDescent="0.35">
      <c r="A5" s="2" t="s">
        <v>0</v>
      </c>
    </row>
    <row r="6" spans="1:14" x14ac:dyDescent="0.35">
      <c r="B6" s="2" t="s">
        <v>1</v>
      </c>
      <c r="C6">
        <v>2</v>
      </c>
      <c r="E6" s="2" t="s">
        <v>2</v>
      </c>
      <c r="F6">
        <v>700</v>
      </c>
      <c r="G6" s="2" t="s">
        <v>3</v>
      </c>
      <c r="H6">
        <v>0</v>
      </c>
      <c r="J6" s="2" t="s">
        <v>4</v>
      </c>
      <c r="K6">
        <v>33</v>
      </c>
      <c r="M6" s="2" t="s">
        <v>7</v>
      </c>
      <c r="N6">
        <v>3</v>
      </c>
    </row>
    <row r="7" spans="1:14" x14ac:dyDescent="0.35">
      <c r="B7" s="2" t="s">
        <v>76</v>
      </c>
      <c r="E7" s="2"/>
      <c r="G7" s="2"/>
      <c r="J7" s="2"/>
      <c r="M7" s="2"/>
    </row>
    <row r="9" spans="1:14" x14ac:dyDescent="0.35">
      <c r="B9" s="2" t="s">
        <v>6</v>
      </c>
      <c r="C9">
        <f>C6*F6/SIN($C$3*K6)*0.001</f>
        <v>2.5705098422873283</v>
      </c>
    </row>
    <row r="10" spans="1:14" x14ac:dyDescent="0.35">
      <c r="B10" s="2" t="s">
        <v>9</v>
      </c>
      <c r="C10">
        <f>(N6/C9)*10000</f>
        <v>11670.836464607723</v>
      </c>
    </row>
    <row r="11" spans="1:14" x14ac:dyDescent="0.35">
      <c r="B11" s="9" t="s">
        <v>8</v>
      </c>
      <c r="C11" s="10">
        <v>11671</v>
      </c>
      <c r="D11" s="5" t="s">
        <v>57</v>
      </c>
      <c r="E11" s="1"/>
      <c r="F11" s="1"/>
      <c r="G11" s="1"/>
      <c r="I11" s="6" t="s">
        <v>17</v>
      </c>
    </row>
    <row r="13" spans="1:14" x14ac:dyDescent="0.35">
      <c r="A13" t="s">
        <v>10</v>
      </c>
    </row>
    <row r="14" spans="1:14" x14ac:dyDescent="0.35">
      <c r="B14" s="2" t="s">
        <v>12</v>
      </c>
      <c r="C14">
        <v>1.8</v>
      </c>
      <c r="E14" s="2" t="s">
        <v>1</v>
      </c>
      <c r="F14">
        <v>1</v>
      </c>
    </row>
    <row r="15" spans="1:14" x14ac:dyDescent="0.35">
      <c r="B15" s="2" t="s">
        <v>13</v>
      </c>
      <c r="C15">
        <v>6563</v>
      </c>
    </row>
    <row r="16" spans="1:14" x14ac:dyDescent="0.35">
      <c r="B16" s="2" t="s">
        <v>27</v>
      </c>
    </row>
    <row r="17" spans="1:9" x14ac:dyDescent="0.35">
      <c r="B17" s="2"/>
    </row>
    <row r="18" spans="1:9" x14ac:dyDescent="0.35">
      <c r="B18" s="2" t="s">
        <v>14</v>
      </c>
      <c r="C18">
        <f>C15/C14</f>
        <v>3646.1111111111109</v>
      </c>
    </row>
    <row r="19" spans="1:9" x14ac:dyDescent="0.35">
      <c r="B19" s="2"/>
    </row>
    <row r="20" spans="1:9" x14ac:dyDescent="0.35">
      <c r="B20" s="2" t="s">
        <v>15</v>
      </c>
      <c r="C20">
        <f>C18/F14</f>
        <v>3646.1111111111109</v>
      </c>
    </row>
    <row r="21" spans="1:9" x14ac:dyDescent="0.35">
      <c r="B21" s="9" t="s">
        <v>16</v>
      </c>
      <c r="C21" s="10">
        <v>3647</v>
      </c>
      <c r="D21" s="12" t="s">
        <v>45</v>
      </c>
      <c r="I21" s="6" t="s">
        <v>11</v>
      </c>
    </row>
    <row r="23" spans="1:9" x14ac:dyDescent="0.35">
      <c r="A23" t="s">
        <v>18</v>
      </c>
    </row>
    <row r="24" spans="1:9" x14ac:dyDescent="0.35">
      <c r="A24" s="2" t="s">
        <v>19</v>
      </c>
      <c r="B24" s="2" t="s">
        <v>1</v>
      </c>
      <c r="C24">
        <v>2</v>
      </c>
      <c r="E24" s="2" t="s">
        <v>2</v>
      </c>
      <c r="F24">
        <v>450</v>
      </c>
      <c r="G24" s="2" t="s">
        <v>20</v>
      </c>
      <c r="H24">
        <v>600</v>
      </c>
    </row>
    <row r="25" spans="1:9" x14ac:dyDescent="0.35">
      <c r="A25" s="2"/>
      <c r="B25" s="2" t="s">
        <v>26</v>
      </c>
      <c r="E25" s="2"/>
      <c r="G25" s="2"/>
    </row>
    <row r="27" spans="1:9" x14ac:dyDescent="0.35">
      <c r="B27" s="2" t="s">
        <v>22</v>
      </c>
      <c r="C27">
        <f>1/H24</f>
        <v>1.6666666666666668E-3</v>
      </c>
    </row>
    <row r="28" spans="1:9" x14ac:dyDescent="0.35">
      <c r="B28" s="2" t="s">
        <v>21</v>
      </c>
      <c r="C28">
        <f>C24*F24*0.000001/2/C27</f>
        <v>0.26999999999999996</v>
      </c>
      <c r="E28" s="2" t="s">
        <v>23</v>
      </c>
      <c r="F28">
        <f>ASIN(C28)</f>
        <v>0.27339303146747318</v>
      </c>
      <c r="I28" s="6" t="s">
        <v>11</v>
      </c>
    </row>
    <row r="29" spans="1:9" x14ac:dyDescent="0.35">
      <c r="B29" s="9" t="s">
        <v>24</v>
      </c>
      <c r="C29" s="10">
        <f>2/C27/COS(F28)/1000000</f>
        <v>1.2462866860081918E-3</v>
      </c>
    </row>
    <row r="31" spans="1:9" x14ac:dyDescent="0.35">
      <c r="A31" s="2" t="s">
        <v>25</v>
      </c>
      <c r="B31" s="2" t="s">
        <v>28</v>
      </c>
    </row>
    <row r="32" spans="1:9" x14ac:dyDescent="0.35">
      <c r="B32" s="2" t="s">
        <v>29</v>
      </c>
      <c r="C32">
        <v>65</v>
      </c>
    </row>
    <row r="34" spans="1:9" x14ac:dyDescent="0.35">
      <c r="B34" s="9" t="s">
        <v>30</v>
      </c>
      <c r="C34" s="10">
        <f>C29*C32</f>
        <v>8.1008634590532466E-2</v>
      </c>
      <c r="D34" s="9" t="s">
        <v>31</v>
      </c>
    </row>
    <row r="36" spans="1:9" x14ac:dyDescent="0.35">
      <c r="B36" s="10" t="s">
        <v>32</v>
      </c>
      <c r="C36" s="13">
        <f>1/C34</f>
        <v>12.344363104681568</v>
      </c>
      <c r="D36" s="9" t="s">
        <v>33</v>
      </c>
      <c r="E36" t="s">
        <v>34</v>
      </c>
      <c r="I36" s="6" t="s">
        <v>11</v>
      </c>
    </row>
    <row r="39" spans="1:9" x14ac:dyDescent="0.35">
      <c r="A39" s="2" t="s">
        <v>35</v>
      </c>
    </row>
    <row r="40" spans="1:9" x14ac:dyDescent="0.35">
      <c r="A40" s="2"/>
      <c r="B40" s="2" t="s">
        <v>36</v>
      </c>
      <c r="C40">
        <v>35.5</v>
      </c>
      <c r="E40" s="2" t="s">
        <v>37</v>
      </c>
      <c r="F40">
        <v>650</v>
      </c>
    </row>
    <row r="42" spans="1:9" x14ac:dyDescent="0.35">
      <c r="A42" s="2" t="s">
        <v>19</v>
      </c>
      <c r="B42" s="7" t="s">
        <v>77</v>
      </c>
      <c r="C42" s="8"/>
      <c r="D42" s="8"/>
      <c r="E42" s="8"/>
    </row>
    <row r="43" spans="1:9" x14ac:dyDescent="0.35">
      <c r="B43" s="8"/>
      <c r="C43" s="8"/>
      <c r="D43" s="8"/>
      <c r="E43" s="8"/>
    </row>
    <row r="44" spans="1:9" x14ac:dyDescent="0.35">
      <c r="B44" s="9" t="s">
        <v>38</v>
      </c>
      <c r="C44" s="9">
        <f>35.5</f>
        <v>35.5</v>
      </c>
      <c r="I44" s="6" t="s">
        <v>39</v>
      </c>
    </row>
    <row r="46" spans="1:9" x14ac:dyDescent="0.35">
      <c r="A46" s="2" t="s">
        <v>25</v>
      </c>
      <c r="B46" s="2" t="s">
        <v>41</v>
      </c>
    </row>
    <row r="47" spans="1:9" x14ac:dyDescent="0.35">
      <c r="B47" s="2" t="s">
        <v>50</v>
      </c>
      <c r="C47">
        <f>2*TAN(C3*C40)/F40</f>
        <v>2.1947479012215548E-3</v>
      </c>
      <c r="E47" s="9" t="s">
        <v>51</v>
      </c>
      <c r="F47" s="10">
        <f>C47/C3</f>
        <v>0.12574979183519039</v>
      </c>
      <c r="I47" s="6" t="s">
        <v>39</v>
      </c>
    </row>
    <row r="49" spans="1:10" x14ac:dyDescent="0.35">
      <c r="A49" s="2" t="s">
        <v>40</v>
      </c>
      <c r="B49" s="2" t="s">
        <v>44</v>
      </c>
      <c r="D49" s="2" t="s">
        <v>42</v>
      </c>
      <c r="E49">
        <v>3</v>
      </c>
    </row>
    <row r="50" spans="1:10" x14ac:dyDescent="0.35">
      <c r="B50" s="2" t="s">
        <v>43</v>
      </c>
      <c r="C50">
        <f>F40*E49/2/SIN(C40*C3)</f>
        <v>1678.9995477228672</v>
      </c>
    </row>
    <row r="51" spans="1:10" x14ac:dyDescent="0.35">
      <c r="B51" s="9" t="s">
        <v>20</v>
      </c>
      <c r="C51" s="10">
        <f>1000000/C50</f>
        <v>595.5927750881433</v>
      </c>
      <c r="D51" s="10">
        <f>596</f>
        <v>596</v>
      </c>
      <c r="E51" s="12" t="s">
        <v>45</v>
      </c>
      <c r="I51" s="6" t="s">
        <v>39</v>
      </c>
    </row>
    <row r="53" spans="1:10" x14ac:dyDescent="0.35">
      <c r="A53" s="2" t="s">
        <v>46</v>
      </c>
      <c r="B53" s="2" t="s">
        <v>47</v>
      </c>
      <c r="E53" s="2" t="s">
        <v>48</v>
      </c>
      <c r="F53">
        <v>3</v>
      </c>
    </row>
    <row r="55" spans="1:10" x14ac:dyDescent="0.35">
      <c r="B55" s="2" t="s">
        <v>49</v>
      </c>
      <c r="C55">
        <f>C47*F53*1000</f>
        <v>6.584243703664665</v>
      </c>
    </row>
    <row r="56" spans="1:10" x14ac:dyDescent="0.35">
      <c r="B56" s="9" t="s">
        <v>52</v>
      </c>
      <c r="C56" s="10">
        <f>10/C55</f>
        <v>1.5187773190160305</v>
      </c>
      <c r="I56" s="6" t="s">
        <v>39</v>
      </c>
    </row>
    <row r="58" spans="1:10" x14ac:dyDescent="0.35">
      <c r="A58" s="2" t="s">
        <v>53</v>
      </c>
      <c r="B58" s="2" t="s">
        <v>54</v>
      </c>
      <c r="C58">
        <v>15</v>
      </c>
    </row>
    <row r="59" spans="1:10" x14ac:dyDescent="0.35">
      <c r="B59" s="10" t="s">
        <v>55</v>
      </c>
      <c r="C59" s="10">
        <f>1000*(C56/10)/15</f>
        <v>10.125182126773536</v>
      </c>
      <c r="I59" s="6" t="s">
        <v>39</v>
      </c>
    </row>
    <row r="61" spans="1:10" x14ac:dyDescent="0.35">
      <c r="A61" s="2" t="s">
        <v>56</v>
      </c>
    </row>
    <row r="62" spans="1:10" x14ac:dyDescent="0.35">
      <c r="B62" s="2" t="s">
        <v>58</v>
      </c>
      <c r="C62" s="2" t="s">
        <v>59</v>
      </c>
      <c r="D62">
        <v>12</v>
      </c>
      <c r="E62">
        <v>29</v>
      </c>
      <c r="F62">
        <v>6.6</v>
      </c>
      <c r="G62" s="2" t="s">
        <v>60</v>
      </c>
      <c r="H62">
        <v>2</v>
      </c>
      <c r="I62">
        <v>3</v>
      </c>
      <c r="J62">
        <v>9</v>
      </c>
    </row>
    <row r="63" spans="1:10" x14ac:dyDescent="0.35">
      <c r="C63" s="2" t="s">
        <v>61</v>
      </c>
      <c r="D63">
        <f>15*(D62+(E62/60)+(F62/3600))</f>
        <v>187.2775</v>
      </c>
      <c r="G63" s="2" t="s">
        <v>62</v>
      </c>
      <c r="H63">
        <f>(H62+(I62/60)+(J62/3600))</f>
        <v>2.0524999999999998</v>
      </c>
    </row>
    <row r="65" spans="1:9" x14ac:dyDescent="0.35">
      <c r="B65" s="2" t="s">
        <v>63</v>
      </c>
      <c r="C65">
        <v>43.667000000000002</v>
      </c>
    </row>
    <row r="67" spans="1:9" x14ac:dyDescent="0.35">
      <c r="A67" s="2" t="s">
        <v>19</v>
      </c>
      <c r="B67" s="14" t="s">
        <v>64</v>
      </c>
      <c r="C67" s="15"/>
      <c r="D67" s="15"/>
      <c r="E67" s="15"/>
      <c r="F67" s="15"/>
      <c r="I67" s="6" t="s">
        <v>39</v>
      </c>
    </row>
    <row r="68" spans="1:9" x14ac:dyDescent="0.35">
      <c r="B68" s="15"/>
      <c r="C68" s="15"/>
      <c r="D68" s="15"/>
      <c r="E68" s="15"/>
      <c r="F68" s="15"/>
    </row>
    <row r="70" spans="1:9" x14ac:dyDescent="0.35">
      <c r="A70" s="2" t="s">
        <v>25</v>
      </c>
      <c r="B70" s="2" t="s">
        <v>65</v>
      </c>
      <c r="C70">
        <v>14</v>
      </c>
      <c r="D70">
        <v>6</v>
      </c>
      <c r="E70">
        <v>27</v>
      </c>
    </row>
    <row r="71" spans="1:9" x14ac:dyDescent="0.35">
      <c r="B71" s="2" t="s">
        <v>66</v>
      </c>
      <c r="C71">
        <f>15*(C70+(D70/60)+(E70/3600))</f>
        <v>211.61250000000001</v>
      </c>
    </row>
    <row r="73" spans="1:9" x14ac:dyDescent="0.35">
      <c r="B73" s="2" t="s">
        <v>67</v>
      </c>
      <c r="C73">
        <f>C71-D63</f>
        <v>24.335000000000008</v>
      </c>
      <c r="I73" s="6" t="s">
        <v>39</v>
      </c>
    </row>
    <row r="75" spans="1:9" x14ac:dyDescent="0.35">
      <c r="B75" s="2" t="s">
        <v>68</v>
      </c>
      <c r="I75" s="6" t="s">
        <v>75</v>
      </c>
    </row>
    <row r="76" spans="1:9" x14ac:dyDescent="0.35">
      <c r="B76" s="2" t="s">
        <v>69</v>
      </c>
      <c r="C76">
        <f>SIN(C73*C3)/(COS(C3*H63)*TAN(C3*C65)-SIN(C3*H63)*COS(C3*73))</f>
        <v>0.43677702015281966</v>
      </c>
    </row>
    <row r="77" spans="1:9" x14ac:dyDescent="0.35">
      <c r="B77" s="9" t="s">
        <v>70</v>
      </c>
      <c r="C77" s="10">
        <f>ATAN(C76)/C3</f>
        <v>23.59459976199274</v>
      </c>
    </row>
    <row r="79" spans="1:9" x14ac:dyDescent="0.35">
      <c r="A79" s="2" t="s">
        <v>40</v>
      </c>
      <c r="B79" s="2" t="s">
        <v>71</v>
      </c>
    </row>
    <row r="80" spans="1:9" x14ac:dyDescent="0.35">
      <c r="B80" s="2" t="s">
        <v>72</v>
      </c>
      <c r="C80">
        <f>SIN(C3*C65)*SIN(C3*H63)+COS(C3*C65)*COS(C3*H63)*COS(C3*C73)</f>
        <v>0.68340155218359877</v>
      </c>
      <c r="I80" s="6" t="s">
        <v>75</v>
      </c>
    </row>
    <row r="81" spans="2:3" x14ac:dyDescent="0.35">
      <c r="B81" s="9" t="s">
        <v>73</v>
      </c>
      <c r="C81" s="10">
        <f>ACOS(C80)/C3</f>
        <v>46.889972409204873</v>
      </c>
    </row>
    <row r="83" spans="2:3" x14ac:dyDescent="0.35">
      <c r="B83" s="9" t="s">
        <v>74</v>
      </c>
      <c r="C83" s="10">
        <f>_xlfn.SEC(C81*C3)</f>
        <v>1.4632685524415456</v>
      </c>
    </row>
  </sheetData>
  <mergeCells count="4">
    <mergeCell ref="A1:F1"/>
    <mergeCell ref="D11:G11"/>
    <mergeCell ref="B67:F68"/>
    <mergeCell ref="B42:E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2021-03-08T19:19:24Z</dcterms:created>
  <dcterms:modified xsi:type="dcterms:W3CDTF">2021-03-09T14:58:38Z</dcterms:modified>
</cp:coreProperties>
</file>