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24226"/>
  <mc:AlternateContent xmlns:mc="http://schemas.openxmlformats.org/markup-compatibility/2006">
    <mc:Choice Requires="x15">
      <x15ac:absPath xmlns:x15ac="http://schemas.microsoft.com/office/spreadsheetml/2010/11/ac" url="C:\Users\admin\Desktop\"/>
    </mc:Choice>
  </mc:AlternateContent>
  <xr:revisionPtr revIDLastSave="0" documentId="13_ncr:1_{C0894201-8734-49CE-90CB-BFC5CC206D02}" xr6:coauthVersionLast="47" xr6:coauthVersionMax="47" xr10:uidLastSave="{00000000-0000-0000-0000-000000000000}"/>
  <bookViews>
    <workbookView xWindow="-108" yWindow="-108" windowWidth="23256" windowHeight="12456" tabRatio="515" activeTab="1" xr2:uid="{E5C34987-F13D-4E29-8950-489D74BB707D}"/>
  </bookViews>
  <sheets>
    <sheet name="Instructions" sheetId="15" r:id="rId1"/>
    <sheet name="ActualResults" sheetId="12" r:id="rId2"/>
    <sheet name="Decision" sheetId="11" r:id="rId3"/>
    <sheet name="ExpectedResults" sheetId="7" r:id="rId4"/>
    <sheet name="Data" sheetId="1" r:id="rId5"/>
    <sheet name="Q3" sheetId="18" r:id="rId6"/>
    <sheet name="Q2" sheetId="17" r:id="rId7"/>
    <sheet name="Q1" sheetId="16" r:id="rId8"/>
    <sheet name="RawData" sheetId="19" r:id="rId9"/>
  </sheets>
  <definedNames>
    <definedName name="Jazyk">Instructions!$B$47:$B$48</definedName>
    <definedName name="_xlnm.Print_Area" localSheetId="1">ActualResults!$A$1:$L$95</definedName>
    <definedName name="_xlnm.Print_Area" localSheetId="4">Data!$A$1:$G$42</definedName>
    <definedName name="_xlnm.Print_Area" localSheetId="3">ExpectedResults!$A$1:$E$88</definedName>
    <definedName name="_xlnm.Print_Area" localSheetId="7">'Q1'!$A$1:$L$95</definedName>
    <definedName name="_xlnm.Print_Area" localSheetId="6">'Q2'!$A$1:$L$92</definedName>
    <definedName name="_xlnm.Print_Area" localSheetId="5">'Q3'!$A$1:$L$92</definedName>
    <definedName name="Pozadavek">Data!$A$46:$A$47</definedName>
    <definedName name="Výroba" comment="Výrobní dávky">Data!$A$22:$A$28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52" i="19" l="1" a="1"/>
  <c r="D152" i="19" s="1"/>
  <c r="D153" i="19" a="1"/>
  <c r="D153" i="19" s="1"/>
  <c r="D157" i="19" a="1"/>
  <c r="D157" i="19" s="1"/>
  <c r="D158" i="19" a="1"/>
  <c r="D158" i="19" s="1"/>
  <c r="D159" i="19" a="1"/>
  <c r="D159" i="19" s="1"/>
  <c r="D160" i="19" a="1"/>
  <c r="D160" i="19" s="1"/>
  <c r="D161" i="19" a="1"/>
  <c r="D161" i="19" s="1"/>
  <c r="G75" i="18"/>
  <c r="D20" i="16"/>
  <c r="G74" i="18"/>
  <c r="G73" i="18" s="1"/>
  <c r="G74" i="16"/>
  <c r="G73" i="16" s="1"/>
  <c r="G72" i="18"/>
  <c r="G83" i="17"/>
  <c r="A11" i="16"/>
  <c r="A12" i="16"/>
  <c r="A13" i="16"/>
  <c r="A14" i="16"/>
  <c r="A15" i="16"/>
  <c r="A16" i="16"/>
  <c r="A18" i="16"/>
  <c r="A19" i="16"/>
  <c r="A20" i="16"/>
  <c r="A21" i="16"/>
  <c r="B12" i="18"/>
  <c r="B17" i="15"/>
  <c r="B15" i="15"/>
  <c r="B11" i="15"/>
  <c r="G18" i="1" l="1"/>
  <c r="F18" i="1"/>
  <c r="G17" i="1"/>
  <c r="F17" i="1"/>
  <c r="H71" i="18"/>
  <c r="G71" i="18"/>
  <c r="H71" i="12"/>
  <c r="G71" i="12"/>
  <c r="H71" i="17"/>
  <c r="G71" i="17"/>
  <c r="G71" i="16"/>
  <c r="H71" i="16"/>
  <c r="A3" i="16"/>
  <c r="F2" i="1"/>
  <c r="E4" i="1"/>
  <c r="E3" i="1"/>
  <c r="E2" i="1"/>
  <c r="E1" i="1"/>
  <c r="A1" i="1"/>
  <c r="E2" i="12"/>
  <c r="D3" i="12"/>
  <c r="D7" i="7"/>
  <c r="C4" i="7"/>
  <c r="B52" i="11"/>
  <c r="A50" i="11"/>
  <c r="L51" i="11"/>
  <c r="L50" i="11"/>
  <c r="L49" i="11"/>
  <c r="L48" i="11"/>
  <c r="L47" i="11"/>
  <c r="L46" i="11"/>
  <c r="L45" i="11"/>
  <c r="L44" i="11"/>
  <c r="L43" i="11"/>
  <c r="L42" i="11"/>
  <c r="L31" i="11"/>
  <c r="L30" i="11"/>
  <c r="L29" i="11"/>
  <c r="L28" i="11"/>
  <c r="L27" i="11"/>
  <c r="L26" i="11"/>
  <c r="L25" i="11"/>
  <c r="L24" i="11"/>
  <c r="L23" i="11"/>
  <c r="L22" i="11"/>
  <c r="L21" i="11"/>
  <c r="L20" i="11"/>
  <c r="L19" i="11"/>
  <c r="I1" i="11"/>
  <c r="I2" i="11"/>
  <c r="I12" i="11"/>
  <c r="I14" i="11"/>
  <c r="L18" i="11"/>
  <c r="L17" i="11"/>
  <c r="L16" i="11"/>
  <c r="L41" i="11"/>
  <c r="L40" i="11"/>
  <c r="L39" i="11"/>
  <c r="L38" i="11"/>
  <c r="L37" i="11"/>
  <c r="L36" i="11"/>
  <c r="L35" i="11"/>
  <c r="I33" i="11"/>
  <c r="L34" i="11"/>
  <c r="K34" i="11"/>
  <c r="J34" i="11"/>
  <c r="I34" i="11"/>
  <c r="L15" i="11"/>
  <c r="L14" i="11"/>
  <c r="K14" i="11"/>
  <c r="J14" i="11"/>
  <c r="I13" i="11"/>
  <c r="B15" i="11"/>
  <c r="F19" i="1" l="1"/>
  <c r="G19" i="1"/>
  <c r="H19" i="1"/>
  <c r="B5" i="12" l="1"/>
  <c r="B91" i="12"/>
  <c r="B90" i="12"/>
  <c r="B89" i="12"/>
  <c r="B88" i="12"/>
  <c r="B87" i="12"/>
  <c r="B86" i="12"/>
  <c r="B85" i="12"/>
  <c r="B84" i="12"/>
  <c r="B83" i="12"/>
  <c r="B82" i="12"/>
  <c r="B81" i="12"/>
  <c r="B80" i="12"/>
  <c r="B79" i="12"/>
  <c r="B78" i="12"/>
  <c r="B77" i="12"/>
  <c r="B76" i="12"/>
  <c r="B75" i="12"/>
  <c r="B74" i="12"/>
  <c r="B73" i="12"/>
  <c r="B72" i="12"/>
  <c r="B69" i="12"/>
  <c r="B68" i="12"/>
  <c r="B67" i="12"/>
  <c r="B66" i="12"/>
  <c r="B65" i="12"/>
  <c r="B61" i="12"/>
  <c r="E60" i="12"/>
  <c r="B60" i="12"/>
  <c r="E59" i="12"/>
  <c r="B59" i="12"/>
  <c r="E58" i="12"/>
  <c r="B58" i="12"/>
  <c r="E57" i="12"/>
  <c r="B57" i="12"/>
  <c r="B53" i="12"/>
  <c r="B52" i="12"/>
  <c r="B51" i="12"/>
  <c r="B50" i="12"/>
  <c r="B49" i="12"/>
  <c r="B48" i="12"/>
  <c r="B47" i="12"/>
  <c r="B46" i="12"/>
  <c r="B45" i="12"/>
  <c r="B44" i="12"/>
  <c r="B43" i="12"/>
  <c r="B42" i="12"/>
  <c r="B41" i="12"/>
  <c r="B40" i="12"/>
  <c r="B39" i="12"/>
  <c r="B38" i="12"/>
  <c r="B37" i="12"/>
  <c r="B36" i="12"/>
  <c r="B35" i="12"/>
  <c r="B32" i="12"/>
  <c r="B31" i="12"/>
  <c r="B29" i="12"/>
  <c r="E28" i="12"/>
  <c r="B28" i="12"/>
  <c r="E27" i="12"/>
  <c r="B27" i="12"/>
  <c r="C24" i="12"/>
  <c r="B24" i="12"/>
  <c r="C23" i="12"/>
  <c r="B23" i="12"/>
  <c r="C22" i="12"/>
  <c r="B22" i="12"/>
  <c r="C21" i="12"/>
  <c r="B21" i="12"/>
  <c r="C20" i="12"/>
  <c r="B20" i="12"/>
  <c r="C15" i="12"/>
  <c r="B15" i="12"/>
  <c r="C14" i="12"/>
  <c r="B14" i="12"/>
  <c r="C13" i="12"/>
  <c r="B13" i="12"/>
  <c r="C8" i="12"/>
  <c r="B8" i="12"/>
  <c r="C7" i="12"/>
  <c r="B7" i="12"/>
  <c r="C6" i="12"/>
  <c r="B6" i="12"/>
  <c r="C5" i="12"/>
  <c r="H4" i="12"/>
  <c r="K39" i="12"/>
  <c r="J39" i="12"/>
  <c r="I39" i="12"/>
  <c r="H39" i="12"/>
  <c r="K38" i="12"/>
  <c r="J38" i="12"/>
  <c r="I38" i="12"/>
  <c r="H38" i="12"/>
  <c r="K37" i="12"/>
  <c r="J37" i="12"/>
  <c r="I37" i="12"/>
  <c r="H37" i="12"/>
  <c r="K36" i="12"/>
  <c r="J36" i="12"/>
  <c r="I36" i="12"/>
  <c r="H36" i="12"/>
  <c r="K35" i="12"/>
  <c r="J35" i="12"/>
  <c r="I35" i="12"/>
  <c r="H35" i="12"/>
  <c r="K34" i="12"/>
  <c r="J34" i="12"/>
  <c r="I34" i="12"/>
  <c r="H34" i="12"/>
  <c r="K33" i="12"/>
  <c r="J33" i="12"/>
  <c r="I33" i="12"/>
  <c r="H33" i="12"/>
  <c r="K32" i="12"/>
  <c r="J32" i="12"/>
  <c r="I32" i="12"/>
  <c r="H32" i="12"/>
  <c r="K31" i="12"/>
  <c r="J31" i="12"/>
  <c r="I31" i="12"/>
  <c r="H31" i="12"/>
  <c r="K30" i="12"/>
  <c r="J30" i="12"/>
  <c r="I30" i="12"/>
  <c r="H30" i="12"/>
  <c r="K29" i="12"/>
  <c r="J29" i="12"/>
  <c r="I29" i="12"/>
  <c r="H29" i="12"/>
  <c r="K28" i="12"/>
  <c r="J28" i="12"/>
  <c r="I28" i="12"/>
  <c r="H28" i="12"/>
  <c r="K27" i="12"/>
  <c r="J27" i="12"/>
  <c r="I27" i="12"/>
  <c r="H27" i="12"/>
  <c r="K26" i="12"/>
  <c r="J26" i="12"/>
  <c r="I26" i="12"/>
  <c r="H26" i="12"/>
  <c r="K25" i="12"/>
  <c r="J25" i="12"/>
  <c r="I25" i="12"/>
  <c r="H25" i="12"/>
  <c r="K24" i="12"/>
  <c r="J24" i="12"/>
  <c r="I24" i="12"/>
  <c r="H24" i="12"/>
  <c r="K23" i="12"/>
  <c r="J23" i="12"/>
  <c r="I23" i="12"/>
  <c r="H23" i="12"/>
  <c r="K22" i="12"/>
  <c r="J22" i="12"/>
  <c r="I22" i="12"/>
  <c r="H22" i="12"/>
  <c r="K21" i="12"/>
  <c r="J21" i="12"/>
  <c r="I21" i="12"/>
  <c r="H21" i="12"/>
  <c r="K20" i="12"/>
  <c r="J20" i="12"/>
  <c r="I20" i="12"/>
  <c r="H20" i="12"/>
  <c r="K19" i="12"/>
  <c r="J19" i="12"/>
  <c r="I19" i="12"/>
  <c r="H19" i="12"/>
  <c r="K18" i="12"/>
  <c r="J18" i="12"/>
  <c r="I18" i="12"/>
  <c r="H18" i="12"/>
  <c r="K17" i="12"/>
  <c r="J17" i="12"/>
  <c r="I17" i="12"/>
  <c r="H17" i="12"/>
  <c r="K16" i="12"/>
  <c r="J16" i="12"/>
  <c r="I16" i="12"/>
  <c r="H16" i="12"/>
  <c r="K15" i="12"/>
  <c r="J15" i="12"/>
  <c r="I15" i="12"/>
  <c r="H15" i="12"/>
  <c r="K14" i="12"/>
  <c r="J14" i="12"/>
  <c r="I14" i="12"/>
  <c r="H14" i="12"/>
  <c r="K13" i="12"/>
  <c r="J13" i="12"/>
  <c r="I13" i="12"/>
  <c r="H13" i="12"/>
  <c r="K12" i="12"/>
  <c r="J12" i="12"/>
  <c r="I12" i="12"/>
  <c r="H12" i="12"/>
  <c r="K11" i="12"/>
  <c r="J11" i="12"/>
  <c r="I11" i="12"/>
  <c r="H11" i="12"/>
  <c r="K10" i="12"/>
  <c r="J10" i="12"/>
  <c r="I10" i="12"/>
  <c r="H10" i="12"/>
  <c r="K9" i="12"/>
  <c r="J9" i="12"/>
  <c r="I9" i="12"/>
  <c r="H9" i="12"/>
  <c r="K8" i="12"/>
  <c r="J8" i="12"/>
  <c r="I8" i="12"/>
  <c r="H8" i="12"/>
  <c r="K7" i="12"/>
  <c r="J7" i="12"/>
  <c r="I7" i="12"/>
  <c r="H7" i="12"/>
  <c r="K6" i="12"/>
  <c r="J6" i="12"/>
  <c r="I6" i="12"/>
  <c r="H6" i="12"/>
  <c r="K5" i="12"/>
  <c r="J5" i="12"/>
  <c r="I5" i="12"/>
  <c r="H5" i="12"/>
  <c r="K4" i="12"/>
  <c r="J4" i="12"/>
  <c r="I4" i="12"/>
  <c r="H81" i="12" l="1"/>
  <c r="B30" i="12"/>
  <c r="A28" i="11"/>
  <c r="A27" i="11"/>
  <c r="A31" i="11"/>
  <c r="A26" i="11"/>
  <c r="A23" i="11"/>
  <c r="A25" i="11"/>
  <c r="A24" i="11"/>
  <c r="A30" i="11"/>
  <c r="A22" i="11"/>
  <c r="A29" i="11"/>
  <c r="G81" i="12"/>
  <c r="I81" i="12" s="1"/>
  <c r="B9" i="15" l="1"/>
  <c r="B18" i="15"/>
  <c r="B16" i="15"/>
  <c r="B13" i="15"/>
  <c r="B12" i="15"/>
  <c r="B10" i="15"/>
  <c r="B8" i="15"/>
  <c r="B14" i="15" l="1"/>
  <c r="D62" i="12" l="1"/>
  <c r="J26" i="18"/>
  <c r="I26" i="17"/>
  <c r="H27" i="16"/>
  <c r="H26" i="16"/>
  <c r="G15" i="12" l="1"/>
  <c r="G33" i="12"/>
  <c r="G33" i="7"/>
  <c r="A71" i="16" l="1"/>
  <c r="A65" i="12"/>
  <c r="J12" i="18"/>
  <c r="J10" i="18"/>
  <c r="J8" i="18"/>
  <c r="J7" i="18"/>
  <c r="J30" i="18"/>
  <c r="J28" i="18"/>
  <c r="J16" i="18"/>
  <c r="J13" i="18"/>
  <c r="J6" i="18"/>
  <c r="J5" i="18"/>
  <c r="J4" i="18"/>
  <c r="J39" i="18"/>
  <c r="J9" i="18"/>
  <c r="J25" i="18"/>
  <c r="H83" i="18"/>
  <c r="G83" i="18"/>
  <c r="A91" i="18"/>
  <c r="A90" i="18"/>
  <c r="A89" i="18"/>
  <c r="A88" i="18"/>
  <c r="A87" i="18"/>
  <c r="A86" i="18"/>
  <c r="A85" i="18"/>
  <c r="A84" i="18"/>
  <c r="A83" i="18"/>
  <c r="A82" i="18"/>
  <c r="A81" i="18"/>
  <c r="A80" i="18"/>
  <c r="A79" i="18"/>
  <c r="A78" i="18"/>
  <c r="A77" i="18"/>
  <c r="A76" i="18"/>
  <c r="A75" i="18"/>
  <c r="A74" i="18"/>
  <c r="A73" i="18"/>
  <c r="A72" i="18"/>
  <c r="A71" i="18"/>
  <c r="A65" i="18"/>
  <c r="D62" i="18"/>
  <c r="A62" i="18"/>
  <c r="A61" i="18"/>
  <c r="D60" i="18"/>
  <c r="A60" i="18"/>
  <c r="D59" i="18"/>
  <c r="A59" i="18"/>
  <c r="D58" i="18"/>
  <c r="A58" i="18"/>
  <c r="D57" i="18"/>
  <c r="A57" i="18"/>
  <c r="A56" i="18"/>
  <c r="A54" i="18"/>
  <c r="A53" i="18"/>
  <c r="A52" i="18"/>
  <c r="A51" i="18"/>
  <c r="A50" i="18"/>
  <c r="A49" i="18"/>
  <c r="A48" i="18"/>
  <c r="A47" i="18"/>
  <c r="A46" i="18"/>
  <c r="A45" i="18"/>
  <c r="A44" i="18"/>
  <c r="A43" i="18"/>
  <c r="A42" i="18"/>
  <c r="A41" i="18"/>
  <c r="A40" i="18"/>
  <c r="A39" i="18"/>
  <c r="A38" i="18"/>
  <c r="A37" i="18"/>
  <c r="A36" i="18"/>
  <c r="A35" i="18"/>
  <c r="A32" i="18"/>
  <c r="A31" i="18"/>
  <c r="A30" i="18"/>
  <c r="A29" i="18"/>
  <c r="D28" i="18"/>
  <c r="A28" i="18"/>
  <c r="D27" i="18"/>
  <c r="A27" i="18"/>
  <c r="A26" i="18"/>
  <c r="A24" i="18"/>
  <c r="A23" i="18"/>
  <c r="A22" i="18"/>
  <c r="A21" i="18"/>
  <c r="A20" i="18"/>
  <c r="C19" i="18"/>
  <c r="B19" i="18"/>
  <c r="A19" i="18"/>
  <c r="A18" i="18"/>
  <c r="A16" i="18"/>
  <c r="A15" i="18"/>
  <c r="A14" i="18"/>
  <c r="A13" i="18"/>
  <c r="C12" i="18"/>
  <c r="A12" i="18"/>
  <c r="A11" i="18"/>
  <c r="A9" i="18"/>
  <c r="A8" i="18"/>
  <c r="A7" i="18"/>
  <c r="A6" i="18"/>
  <c r="A5" i="18"/>
  <c r="C4" i="18"/>
  <c r="B4" i="18"/>
  <c r="A4" i="18"/>
  <c r="D3" i="18"/>
  <c r="A3" i="18"/>
  <c r="I12" i="17"/>
  <c r="I10" i="17"/>
  <c r="I8" i="17"/>
  <c r="I7" i="17"/>
  <c r="I30" i="17"/>
  <c r="I28" i="17"/>
  <c r="I16" i="17"/>
  <c r="I13" i="17"/>
  <c r="I6" i="17"/>
  <c r="I5" i="17"/>
  <c r="I4" i="17"/>
  <c r="I39" i="17"/>
  <c r="I25" i="17"/>
  <c r="H83" i="17"/>
  <c r="G81" i="17"/>
  <c r="A91" i="17"/>
  <c r="A90" i="17"/>
  <c r="A89" i="17"/>
  <c r="A88" i="17"/>
  <c r="A87" i="17"/>
  <c r="A86" i="17"/>
  <c r="A85" i="17"/>
  <c r="A84" i="17"/>
  <c r="A83" i="17"/>
  <c r="A82" i="17"/>
  <c r="A81" i="17"/>
  <c r="A80" i="17"/>
  <c r="A79" i="17"/>
  <c r="A78" i="17"/>
  <c r="A77" i="17"/>
  <c r="A76" i="17"/>
  <c r="A75" i="17"/>
  <c r="A74" i="17"/>
  <c r="A73" i="17"/>
  <c r="A72" i="17"/>
  <c r="A71" i="17"/>
  <c r="A65" i="17"/>
  <c r="D62" i="17"/>
  <c r="A62" i="17"/>
  <c r="A61" i="17"/>
  <c r="D60" i="17"/>
  <c r="A60" i="17"/>
  <c r="D59" i="17"/>
  <c r="A59" i="17"/>
  <c r="D58" i="17"/>
  <c r="A58" i="17"/>
  <c r="D57" i="17"/>
  <c r="A57" i="17"/>
  <c r="A56" i="17"/>
  <c r="A54" i="17"/>
  <c r="A53" i="17"/>
  <c r="A52" i="17"/>
  <c r="A51" i="17"/>
  <c r="A50" i="17"/>
  <c r="A49" i="17"/>
  <c r="A48" i="17"/>
  <c r="A47" i="17"/>
  <c r="A46" i="17"/>
  <c r="A45" i="17"/>
  <c r="A44" i="17"/>
  <c r="A43" i="17"/>
  <c r="A42" i="17"/>
  <c r="A41" i="17"/>
  <c r="A40" i="17"/>
  <c r="A39" i="17"/>
  <c r="A38" i="17"/>
  <c r="A37" i="17"/>
  <c r="A36" i="17"/>
  <c r="A35" i="17"/>
  <c r="A32" i="17"/>
  <c r="A31" i="17"/>
  <c r="A30" i="17"/>
  <c r="A29" i="17"/>
  <c r="D28" i="17"/>
  <c r="A28" i="17"/>
  <c r="D27" i="17"/>
  <c r="A27" i="17"/>
  <c r="A26" i="17"/>
  <c r="A24" i="17"/>
  <c r="A23" i="17"/>
  <c r="A22" i="17"/>
  <c r="A21" i="17"/>
  <c r="A20" i="17"/>
  <c r="C19" i="17"/>
  <c r="B19" i="17"/>
  <c r="A19" i="17"/>
  <c r="A18" i="17"/>
  <c r="A16" i="17"/>
  <c r="A15" i="17"/>
  <c r="A14" i="17"/>
  <c r="A13" i="17"/>
  <c r="C12" i="17"/>
  <c r="B12" i="17"/>
  <c r="A12" i="17"/>
  <c r="A11" i="17"/>
  <c r="A9" i="17"/>
  <c r="A8" i="17"/>
  <c r="A7" i="17"/>
  <c r="A6" i="17"/>
  <c r="A5" i="17"/>
  <c r="C4" i="17"/>
  <c r="B4" i="17"/>
  <c r="A4" i="17"/>
  <c r="D3" i="17"/>
  <c r="A3" i="17"/>
  <c r="A65" i="16"/>
  <c r="H25" i="16"/>
  <c r="H20" i="16"/>
  <c r="E20" i="16"/>
  <c r="H83" i="16"/>
  <c r="G83" i="16"/>
  <c r="H81" i="16" l="1"/>
  <c r="D24" i="16"/>
  <c r="D21" i="16" s="1"/>
  <c r="E62" i="18"/>
  <c r="G85" i="16"/>
  <c r="G82" i="16"/>
  <c r="G79" i="16"/>
  <c r="G75" i="16"/>
  <c r="G80" i="16"/>
  <c r="G86" i="16"/>
  <c r="G85" i="18"/>
  <c r="G82" i="18"/>
  <c r="G80" i="18"/>
  <c r="G86" i="18"/>
  <c r="G79" i="18"/>
  <c r="H85" i="18"/>
  <c r="H86" i="18"/>
  <c r="H75" i="18"/>
  <c r="H79" i="18"/>
  <c r="H82" i="18"/>
  <c r="H80" i="18"/>
  <c r="G81" i="18"/>
  <c r="H74" i="17"/>
  <c r="H74" i="18"/>
  <c r="H82" i="16"/>
  <c r="H74" i="16"/>
  <c r="H80" i="16"/>
  <c r="H79" i="16"/>
  <c r="H75" i="16"/>
  <c r="H86" i="16"/>
  <c r="H85" i="16"/>
  <c r="G81" i="16"/>
  <c r="E24" i="16"/>
  <c r="E21" i="16" s="1"/>
  <c r="H81" i="18"/>
  <c r="G74" i="17"/>
  <c r="H72" i="17"/>
  <c r="H81" i="17"/>
  <c r="G75" i="17"/>
  <c r="G79" i="17"/>
  <c r="G85" i="17"/>
  <c r="G80" i="17"/>
  <c r="G82" i="17"/>
  <c r="G86" i="17"/>
  <c r="H85" i="17"/>
  <c r="H80" i="17"/>
  <c r="H75" i="17"/>
  <c r="H86" i="17"/>
  <c r="H79" i="17"/>
  <c r="H82" i="17"/>
  <c r="B62" i="12"/>
  <c r="E62" i="12"/>
  <c r="I20" i="17"/>
  <c r="H72" i="18"/>
  <c r="J20" i="18"/>
  <c r="J11" i="18"/>
  <c r="G72" i="17"/>
  <c r="B54" i="12"/>
  <c r="B19" i="15"/>
  <c r="G78" i="16" l="1"/>
  <c r="H78" i="16"/>
  <c r="G78" i="18"/>
  <c r="H78" i="18"/>
  <c r="H78" i="17"/>
  <c r="G78" i="17"/>
  <c r="C19" i="16"/>
  <c r="B19" i="16"/>
  <c r="B51" i="7"/>
  <c r="B40" i="7" l="1"/>
  <c r="B38" i="7"/>
  <c r="D3" i="16" l="1"/>
  <c r="D3" i="7"/>
  <c r="E3" i="7"/>
  <c r="B21" i="7" l="1"/>
  <c r="C21" i="7"/>
  <c r="A86" i="12"/>
  <c r="A90" i="12"/>
  <c r="A90" i="16"/>
  <c r="A86" i="16"/>
  <c r="B86" i="7"/>
  <c r="A86" i="7"/>
  <c r="A82" i="7"/>
  <c r="G39" i="16" l="1"/>
  <c r="G38" i="16"/>
  <c r="G37" i="16"/>
  <c r="G36" i="16"/>
  <c r="G35" i="16"/>
  <c r="G34" i="16"/>
  <c r="G33" i="16"/>
  <c r="G32" i="16"/>
  <c r="G30" i="16"/>
  <c r="G29" i="16"/>
  <c r="G28" i="16"/>
  <c r="G27" i="16"/>
  <c r="G26" i="16"/>
  <c r="G25" i="16"/>
  <c r="G24" i="16"/>
  <c r="G23" i="16"/>
  <c r="G22" i="16"/>
  <c r="G21" i="16"/>
  <c r="G20" i="16"/>
  <c r="G19" i="16"/>
  <c r="G18" i="16"/>
  <c r="G17" i="16"/>
  <c r="G16" i="16"/>
  <c r="G15" i="16"/>
  <c r="G14" i="16"/>
  <c r="G13" i="16"/>
  <c r="G12" i="16"/>
  <c r="G11" i="16"/>
  <c r="G10" i="16"/>
  <c r="G9" i="16"/>
  <c r="G8" i="16"/>
  <c r="G7" i="16"/>
  <c r="G6" i="16"/>
  <c r="G5" i="16"/>
  <c r="G4" i="16"/>
  <c r="G3" i="16"/>
  <c r="G39" i="17"/>
  <c r="G38" i="17"/>
  <c r="G37" i="17"/>
  <c r="G36" i="17"/>
  <c r="G35" i="17"/>
  <c r="G34" i="17"/>
  <c r="G33" i="17"/>
  <c r="G32" i="17"/>
  <c r="G30" i="17"/>
  <c r="G29" i="17"/>
  <c r="G28" i="17"/>
  <c r="G27" i="17"/>
  <c r="G26" i="17"/>
  <c r="G25" i="17"/>
  <c r="G24" i="17"/>
  <c r="G23" i="17"/>
  <c r="G22" i="17"/>
  <c r="G21" i="17"/>
  <c r="G20" i="17"/>
  <c r="G19" i="17"/>
  <c r="G18" i="17"/>
  <c r="G17" i="17"/>
  <c r="G16" i="17"/>
  <c r="G15" i="17"/>
  <c r="G14" i="17"/>
  <c r="G13" i="17"/>
  <c r="G12" i="17"/>
  <c r="G11" i="17"/>
  <c r="G10" i="17"/>
  <c r="G9" i="17"/>
  <c r="G8" i="17"/>
  <c r="G7" i="17"/>
  <c r="G6" i="17"/>
  <c r="G5" i="17"/>
  <c r="G4" i="17"/>
  <c r="G3" i="17"/>
  <c r="G39" i="18"/>
  <c r="G38" i="18"/>
  <c r="G37" i="18"/>
  <c r="G36" i="18"/>
  <c r="G35" i="18"/>
  <c r="G34" i="18"/>
  <c r="G33" i="18"/>
  <c r="G32" i="18"/>
  <c r="G30" i="18"/>
  <c r="G29" i="18"/>
  <c r="G28" i="18"/>
  <c r="G27" i="18"/>
  <c r="G26" i="18"/>
  <c r="G25" i="18"/>
  <c r="G24" i="18"/>
  <c r="G23" i="18"/>
  <c r="G22" i="18"/>
  <c r="G21" i="18"/>
  <c r="G20" i="18"/>
  <c r="G19" i="18"/>
  <c r="G18" i="18"/>
  <c r="G17" i="18"/>
  <c r="G16" i="18"/>
  <c r="G15" i="18"/>
  <c r="G14" i="18"/>
  <c r="G13" i="18"/>
  <c r="G12" i="18"/>
  <c r="G11" i="18"/>
  <c r="G10" i="18"/>
  <c r="G9" i="18"/>
  <c r="G8" i="18"/>
  <c r="G7" i="18"/>
  <c r="G6" i="18"/>
  <c r="G5" i="18"/>
  <c r="G4" i="18"/>
  <c r="G3" i="18"/>
  <c r="C4" i="12"/>
  <c r="G39" i="12"/>
  <c r="G38" i="12"/>
  <c r="G37" i="12"/>
  <c r="G36" i="12"/>
  <c r="G35" i="12"/>
  <c r="G34" i="12"/>
  <c r="G32" i="12"/>
  <c r="G30" i="12"/>
  <c r="G29" i="12"/>
  <c r="G28" i="12"/>
  <c r="G27" i="12"/>
  <c r="G26" i="12"/>
  <c r="G25" i="12"/>
  <c r="G24" i="12"/>
  <c r="G23" i="12"/>
  <c r="G22" i="12"/>
  <c r="G21" i="12"/>
  <c r="G20" i="12"/>
  <c r="G19" i="12"/>
  <c r="G18" i="12"/>
  <c r="G17" i="12"/>
  <c r="G16" i="12"/>
  <c r="G14" i="12"/>
  <c r="G13" i="12"/>
  <c r="G12" i="12"/>
  <c r="G11" i="12"/>
  <c r="G10" i="12"/>
  <c r="G9" i="12"/>
  <c r="G8" i="12"/>
  <c r="G7" i="12"/>
  <c r="G6" i="12"/>
  <c r="G5" i="12"/>
  <c r="G4" i="12"/>
  <c r="G3" i="12"/>
  <c r="G39" i="7"/>
  <c r="G38" i="7"/>
  <c r="G37" i="7"/>
  <c r="G36" i="7"/>
  <c r="G35" i="7"/>
  <c r="G34" i="7"/>
  <c r="G32" i="7"/>
  <c r="G30" i="7"/>
  <c r="G29" i="7"/>
  <c r="G28" i="7"/>
  <c r="G27" i="7"/>
  <c r="G26" i="7"/>
  <c r="G25" i="7"/>
  <c r="G24" i="7"/>
  <c r="G23" i="7"/>
  <c r="G22" i="7"/>
  <c r="G21" i="7"/>
  <c r="G20" i="7"/>
  <c r="G19" i="7"/>
  <c r="G18" i="7"/>
  <c r="G17" i="7"/>
  <c r="G16" i="7"/>
  <c r="G15" i="7"/>
  <c r="G14" i="7"/>
  <c r="G13" i="7"/>
  <c r="G12" i="7"/>
  <c r="G11" i="7"/>
  <c r="G10" i="7"/>
  <c r="G9" i="7"/>
  <c r="G8" i="7"/>
  <c r="G7" i="7"/>
  <c r="G6" i="7"/>
  <c r="G5" i="7"/>
  <c r="G4" i="7"/>
  <c r="G3" i="7"/>
  <c r="A54" i="16" l="1"/>
  <c r="A53" i="16"/>
  <c r="A52" i="16"/>
  <c r="A51" i="16"/>
  <c r="A50" i="16"/>
  <c r="A49" i="16"/>
  <c r="A48" i="16"/>
  <c r="A47" i="16"/>
  <c r="A46" i="16"/>
  <c r="A45" i="16"/>
  <c r="A44" i="16"/>
  <c r="A43" i="16"/>
  <c r="A42" i="16"/>
  <c r="A41" i="16"/>
  <c r="A40" i="16"/>
  <c r="A39" i="16"/>
  <c r="A38" i="16"/>
  <c r="A37" i="16"/>
  <c r="A36" i="16"/>
  <c r="A35" i="16"/>
  <c r="A54" i="12"/>
  <c r="A53" i="12"/>
  <c r="A52" i="12"/>
  <c r="A51" i="12"/>
  <c r="A50" i="12"/>
  <c r="A49" i="12"/>
  <c r="A48" i="12"/>
  <c r="A47" i="12"/>
  <c r="A46" i="12"/>
  <c r="A45" i="12"/>
  <c r="A44" i="12"/>
  <c r="A43" i="12"/>
  <c r="A42" i="12"/>
  <c r="A41" i="12"/>
  <c r="A40" i="12"/>
  <c r="A39" i="12"/>
  <c r="A38" i="12"/>
  <c r="A37" i="12"/>
  <c r="A36" i="12"/>
  <c r="A35" i="12"/>
  <c r="A49" i="7"/>
  <c r="A48" i="7"/>
  <c r="A47" i="7"/>
  <c r="A46" i="7"/>
  <c r="A45" i="7"/>
  <c r="A44" i="7"/>
  <c r="A43" i="7"/>
  <c r="A42" i="7"/>
  <c r="A41" i="7"/>
  <c r="A40" i="7"/>
  <c r="A38" i="7"/>
  <c r="J32" i="1"/>
  <c r="I31" i="1"/>
  <c r="A37" i="1"/>
  <c r="A42" i="1"/>
  <c r="B1" i="11"/>
  <c r="B4" i="7"/>
  <c r="B20" i="15" l="1"/>
  <c r="A1" i="7"/>
  <c r="B7" i="15"/>
  <c r="H3" i="12" l="1"/>
  <c r="I3" i="12" s="1"/>
  <c r="J3" i="12" s="1"/>
  <c r="K3" i="12" s="1"/>
  <c r="G1" i="12"/>
  <c r="A1" i="12"/>
  <c r="G1" i="18"/>
  <c r="A1" i="18"/>
  <c r="G1" i="17"/>
  <c r="A1" i="17"/>
  <c r="A1" i="16"/>
  <c r="G1" i="16"/>
  <c r="A70" i="7" l="1"/>
  <c r="A74" i="12"/>
  <c r="A74" i="16"/>
  <c r="G72" i="16"/>
  <c r="A82" i="16" l="1"/>
  <c r="B12" i="16"/>
  <c r="C12" i="16"/>
  <c r="B16" i="12" l="1"/>
  <c r="C16" i="12"/>
  <c r="H83" i="12" l="1"/>
  <c r="G83" i="12"/>
  <c r="A5" i="15"/>
  <c r="B2" i="11"/>
  <c r="B42" i="7" s="1"/>
  <c r="B75" i="7" s="1"/>
  <c r="I83" i="12" l="1"/>
  <c r="A13" i="11"/>
  <c r="A12" i="11"/>
  <c r="A9" i="11"/>
  <c r="A6" i="11"/>
  <c r="B9" i="12"/>
  <c r="C9" i="12"/>
  <c r="H72" i="12" l="1"/>
  <c r="H74" i="12"/>
  <c r="H85" i="12"/>
  <c r="H82" i="12"/>
  <c r="H80" i="12"/>
  <c r="H79" i="12"/>
  <c r="H78" i="12" s="1"/>
  <c r="H86" i="12"/>
  <c r="H75" i="12"/>
  <c r="G72" i="12"/>
  <c r="I72" i="12" s="1"/>
  <c r="G75" i="12"/>
  <c r="G74" i="12"/>
  <c r="I74" i="12" s="1"/>
  <c r="G80" i="12"/>
  <c r="G82" i="12"/>
  <c r="I82" i="12" s="1"/>
  <c r="G86" i="12"/>
  <c r="G79" i="12"/>
  <c r="G85" i="12"/>
  <c r="I85" i="12" s="1"/>
  <c r="H21" i="16"/>
  <c r="H21" i="17" s="1"/>
  <c r="I39" i="18"/>
  <c r="H20" i="18"/>
  <c r="H26" i="17"/>
  <c r="H39" i="17"/>
  <c r="H39" i="18" s="1"/>
  <c r="H20" i="17"/>
  <c r="I22" i="17" s="1"/>
  <c r="I79" i="12" l="1"/>
  <c r="G78" i="12"/>
  <c r="I78" i="12" s="1"/>
  <c r="I80" i="12"/>
  <c r="I86" i="12"/>
  <c r="I75" i="12"/>
  <c r="I26" i="18"/>
  <c r="I11" i="17"/>
  <c r="H11" i="16"/>
  <c r="H11" i="18" s="1"/>
  <c r="I9" i="17"/>
  <c r="H9" i="16"/>
  <c r="H37" i="16"/>
  <c r="H36" i="16"/>
  <c r="H35" i="16"/>
  <c r="H34" i="16"/>
  <c r="H33" i="16"/>
  <c r="H31" i="16"/>
  <c r="H10" i="16"/>
  <c r="H8" i="16"/>
  <c r="L8" i="16" s="1"/>
  <c r="H9" i="18" l="1"/>
  <c r="L9" i="16"/>
  <c r="H10" i="18"/>
  <c r="L10" i="16"/>
  <c r="I10" i="18"/>
  <c r="H10" i="17"/>
  <c r="L10" i="17" s="1"/>
  <c r="I9" i="18"/>
  <c r="H11" i="17"/>
  <c r="L11" i="17" s="1"/>
  <c r="J37" i="18"/>
  <c r="J36" i="18"/>
  <c r="J35" i="18"/>
  <c r="J34" i="18"/>
  <c r="J33" i="18"/>
  <c r="J31" i="18"/>
  <c r="I32" i="18"/>
  <c r="I24" i="18"/>
  <c r="I22" i="18"/>
  <c r="I17" i="18"/>
  <c r="H37" i="18"/>
  <c r="H36" i="18"/>
  <c r="H35" i="18"/>
  <c r="H34" i="18"/>
  <c r="H33" i="18"/>
  <c r="H32" i="18"/>
  <c r="H31" i="18"/>
  <c r="H26" i="18"/>
  <c r="H24" i="18"/>
  <c r="H22" i="18"/>
  <c r="H17" i="18"/>
  <c r="H8" i="18"/>
  <c r="I37" i="17"/>
  <c r="I36" i="17"/>
  <c r="I35" i="17"/>
  <c r="I34" i="17"/>
  <c r="I33" i="17"/>
  <c r="I31" i="17"/>
  <c r="H23" i="16"/>
  <c r="H21" i="18"/>
  <c r="I15" i="17"/>
  <c r="I14" i="17"/>
  <c r="I8" i="18"/>
  <c r="H37" i="17"/>
  <c r="H36" i="17"/>
  <c r="H35" i="17"/>
  <c r="H34" i="17"/>
  <c r="H33" i="17"/>
  <c r="H32" i="17"/>
  <c r="H31" i="17"/>
  <c r="H24" i="17"/>
  <c r="H22" i="17"/>
  <c r="H17" i="17"/>
  <c r="H9" i="17"/>
  <c r="L9" i="17" s="1"/>
  <c r="H8" i="17"/>
  <c r="L8" i="17" s="1"/>
  <c r="J15" i="18"/>
  <c r="J14" i="18"/>
  <c r="L3" i="18"/>
  <c r="H16" i="16"/>
  <c r="L3" i="17"/>
  <c r="H15" i="16"/>
  <c r="H15" i="17" s="1"/>
  <c r="H14" i="16"/>
  <c r="H30" i="16"/>
  <c r="B44" i="7"/>
  <c r="B41" i="7"/>
  <c r="A91" i="16"/>
  <c r="A89" i="16"/>
  <c r="A88" i="16"/>
  <c r="A87" i="16"/>
  <c r="A85" i="16"/>
  <c r="A84" i="16"/>
  <c r="A83" i="16"/>
  <c r="A81" i="16"/>
  <c r="A80" i="16"/>
  <c r="H13" i="16"/>
  <c r="L13" i="16" s="1"/>
  <c r="A79" i="16"/>
  <c r="A78" i="16"/>
  <c r="A77" i="16"/>
  <c r="A76" i="16"/>
  <c r="A75" i="16"/>
  <c r="A73" i="16"/>
  <c r="A72" i="16"/>
  <c r="D62" i="16"/>
  <c r="A62" i="16"/>
  <c r="A61" i="16"/>
  <c r="D60" i="16"/>
  <c r="A60" i="16"/>
  <c r="D59" i="16"/>
  <c r="A59" i="16"/>
  <c r="L3" i="16"/>
  <c r="D58" i="16"/>
  <c r="A58" i="16"/>
  <c r="D57" i="16"/>
  <c r="A57" i="16"/>
  <c r="A56" i="16"/>
  <c r="A32" i="16"/>
  <c r="A31" i="16"/>
  <c r="A30" i="16"/>
  <c r="A29" i="16"/>
  <c r="D28" i="16"/>
  <c r="A28" i="16"/>
  <c r="D27" i="16"/>
  <c r="A27" i="16"/>
  <c r="A26" i="16"/>
  <c r="A24" i="16"/>
  <c r="A23" i="16"/>
  <c r="A22" i="16"/>
  <c r="C4" i="16"/>
  <c r="B4" i="16"/>
  <c r="J2" i="11"/>
  <c r="K2" i="11"/>
  <c r="C19" i="12"/>
  <c r="B19" i="12"/>
  <c r="C17" i="11"/>
  <c r="B17" i="11"/>
  <c r="A40" i="11"/>
  <c r="D31" i="11"/>
  <c r="D30" i="11"/>
  <c r="D29" i="11"/>
  <c r="D28" i="11"/>
  <c r="D27" i="11"/>
  <c r="D26" i="11"/>
  <c r="D25" i="11"/>
  <c r="D24" i="11"/>
  <c r="D23" i="11"/>
  <c r="D22" i="11"/>
  <c r="L3" i="12"/>
  <c r="A3" i="12"/>
  <c r="A4" i="12"/>
  <c r="B4" i="12"/>
  <c r="A5" i="12"/>
  <c r="A6" i="12"/>
  <c r="A7" i="12"/>
  <c r="A8" i="12"/>
  <c r="A9" i="12"/>
  <c r="A11" i="12"/>
  <c r="A12" i="12"/>
  <c r="B12" i="12"/>
  <c r="C12" i="12"/>
  <c r="A13" i="12"/>
  <c r="A14" i="12"/>
  <c r="A15" i="12"/>
  <c r="A16" i="12"/>
  <c r="A18" i="12"/>
  <c r="A19" i="12"/>
  <c r="A20" i="12"/>
  <c r="A21" i="12"/>
  <c r="A22" i="12"/>
  <c r="A23" i="12"/>
  <c r="A24" i="12"/>
  <c r="A26" i="12"/>
  <c r="A27" i="12"/>
  <c r="D27" i="12"/>
  <c r="A28" i="12"/>
  <c r="D28" i="12"/>
  <c r="A29" i="12"/>
  <c r="A30" i="12"/>
  <c r="A31" i="12"/>
  <c r="A32" i="12"/>
  <c r="A56" i="12"/>
  <c r="A57" i="12"/>
  <c r="D57" i="12"/>
  <c r="A58" i="12"/>
  <c r="D58" i="12"/>
  <c r="A59" i="12"/>
  <c r="D59" i="12"/>
  <c r="A60" i="12"/>
  <c r="D60" i="12"/>
  <c r="A61" i="12"/>
  <c r="A62" i="12"/>
  <c r="A71" i="12"/>
  <c r="A72" i="12"/>
  <c r="A73" i="12"/>
  <c r="A75" i="12"/>
  <c r="A76" i="12"/>
  <c r="A77" i="12"/>
  <c r="A78" i="12"/>
  <c r="A79" i="12"/>
  <c r="A80" i="12"/>
  <c r="A81" i="12"/>
  <c r="A82" i="12"/>
  <c r="A83" i="12"/>
  <c r="A84" i="12"/>
  <c r="A85" i="12"/>
  <c r="A87" i="12"/>
  <c r="A88" i="12"/>
  <c r="A89" i="12"/>
  <c r="A91" i="12"/>
  <c r="G1" i="7"/>
  <c r="C18" i="7"/>
  <c r="B18" i="7"/>
  <c r="A40" i="1"/>
  <c r="A39" i="1"/>
  <c r="A38" i="1"/>
  <c r="F36" i="1"/>
  <c r="A36" i="1"/>
  <c r="A33" i="1"/>
  <c r="A32" i="1"/>
  <c r="A31" i="1"/>
  <c r="E21" i="1"/>
  <c r="D21" i="1"/>
  <c r="C21" i="1"/>
  <c r="B21" i="1"/>
  <c r="A21" i="1"/>
  <c r="D20" i="1"/>
  <c r="B20" i="1"/>
  <c r="A19" i="1"/>
  <c r="E16" i="1"/>
  <c r="E15" i="1"/>
  <c r="C15" i="1"/>
  <c r="B15" i="1"/>
  <c r="A15" i="1"/>
  <c r="G14" i="1"/>
  <c r="F14" i="1"/>
  <c r="E14" i="1"/>
  <c r="A14" i="1"/>
  <c r="E13" i="1"/>
  <c r="A13" i="1"/>
  <c r="A10" i="1"/>
  <c r="E10" i="1"/>
  <c r="A9" i="1"/>
  <c r="E9" i="1"/>
  <c r="B8" i="1"/>
  <c r="A8" i="1"/>
  <c r="F8" i="1"/>
  <c r="E8" i="1"/>
  <c r="A7" i="1"/>
  <c r="E7" i="1"/>
  <c r="A4" i="1"/>
  <c r="A3" i="1"/>
  <c r="C2" i="1"/>
  <c r="B2" i="1"/>
  <c r="A2" i="1"/>
  <c r="A1" i="11"/>
  <c r="B10" i="1"/>
  <c r="B9" i="1"/>
  <c r="C39" i="11"/>
  <c r="B39" i="11"/>
  <c r="F31" i="11"/>
  <c r="E31" i="11"/>
  <c r="F30" i="11"/>
  <c r="E30" i="11"/>
  <c r="F29" i="11"/>
  <c r="E29" i="11"/>
  <c r="F28" i="11"/>
  <c r="E28" i="11"/>
  <c r="F27" i="11"/>
  <c r="E27" i="11"/>
  <c r="F26" i="11"/>
  <c r="E26" i="11"/>
  <c r="F25" i="11"/>
  <c r="E25" i="11"/>
  <c r="F24" i="11"/>
  <c r="E24" i="11"/>
  <c r="F23" i="11"/>
  <c r="E23" i="11"/>
  <c r="F22" i="11"/>
  <c r="F21" i="11"/>
  <c r="E21" i="11"/>
  <c r="C21" i="11"/>
  <c r="B21" i="11"/>
  <c r="C15" i="11"/>
  <c r="A51" i="11"/>
  <c r="A47" i="11"/>
  <c r="A46" i="11"/>
  <c r="A45" i="11"/>
  <c r="A44" i="11"/>
  <c r="A43" i="11"/>
  <c r="A41" i="11"/>
  <c r="A39" i="11"/>
  <c r="G20" i="11"/>
  <c r="E20" i="11"/>
  <c r="A36" i="11"/>
  <c r="A35" i="11"/>
  <c r="A34" i="11"/>
  <c r="A32" i="11"/>
  <c r="A21" i="11"/>
  <c r="A20" i="11"/>
  <c r="A18" i="11"/>
  <c r="A17" i="11"/>
  <c r="A16" i="11"/>
  <c r="C5" i="11"/>
  <c r="B5" i="11"/>
  <c r="A15" i="11"/>
  <c r="A8" i="11"/>
  <c r="A11" i="11"/>
  <c r="A5" i="11"/>
  <c r="A4" i="11"/>
  <c r="A2" i="11"/>
  <c r="L3" i="7"/>
  <c r="A87" i="7"/>
  <c r="A85" i="7"/>
  <c r="A84" i="7"/>
  <c r="A83" i="7"/>
  <c r="A81" i="7"/>
  <c r="A80" i="7"/>
  <c r="A79" i="7"/>
  <c r="A78" i="7"/>
  <c r="A77" i="7"/>
  <c r="A76" i="7"/>
  <c r="A75" i="7"/>
  <c r="A74" i="7"/>
  <c r="A73" i="7"/>
  <c r="A72" i="7"/>
  <c r="A71" i="7"/>
  <c r="A69" i="7"/>
  <c r="A68" i="7"/>
  <c r="A67" i="7"/>
  <c r="D61" i="7"/>
  <c r="D59" i="7"/>
  <c r="D58" i="7"/>
  <c r="D57" i="7"/>
  <c r="D56" i="7"/>
  <c r="A61" i="7"/>
  <c r="A60" i="7"/>
  <c r="A59" i="7"/>
  <c r="A58" i="7"/>
  <c r="A57" i="7"/>
  <c r="A56" i="7"/>
  <c r="A55" i="7"/>
  <c r="A53" i="7"/>
  <c r="A52" i="7"/>
  <c r="A51" i="7"/>
  <c r="A50" i="7"/>
  <c r="A39" i="7"/>
  <c r="A37" i="7"/>
  <c r="A36" i="7"/>
  <c r="A35" i="7"/>
  <c r="A34" i="7"/>
  <c r="D27" i="7"/>
  <c r="D26" i="7"/>
  <c r="A31" i="7"/>
  <c r="A30" i="7"/>
  <c r="A29" i="7"/>
  <c r="A28" i="7"/>
  <c r="A27" i="7"/>
  <c r="A26" i="7"/>
  <c r="A25" i="7"/>
  <c r="A23" i="7"/>
  <c r="A22" i="7"/>
  <c r="A21" i="7"/>
  <c r="A20" i="7"/>
  <c r="A19" i="7"/>
  <c r="A18" i="7"/>
  <c r="A17" i="7"/>
  <c r="A15" i="7"/>
  <c r="A14" i="7"/>
  <c r="A13" i="7"/>
  <c r="C12" i="7"/>
  <c r="B12" i="7"/>
  <c r="A12" i="7"/>
  <c r="A11" i="7"/>
  <c r="A9" i="7"/>
  <c r="A8" i="7"/>
  <c r="A7" i="7"/>
  <c r="A6" i="7"/>
  <c r="A5" i="7"/>
  <c r="A4" i="7"/>
  <c r="A3" i="7"/>
  <c r="B5" i="7"/>
  <c r="C5" i="7"/>
  <c r="B27" i="7"/>
  <c r="B29" i="7"/>
  <c r="B36" i="7"/>
  <c r="B56" i="7"/>
  <c r="E22" i="11"/>
  <c r="G22" i="11"/>
  <c r="G23" i="11"/>
  <c r="G24" i="11"/>
  <c r="G25" i="11"/>
  <c r="G26" i="11"/>
  <c r="G27" i="11"/>
  <c r="G28" i="11"/>
  <c r="G29" i="11"/>
  <c r="G30" i="11"/>
  <c r="G31" i="11"/>
  <c r="B32" i="11"/>
  <c r="C32" i="11"/>
  <c r="A7" i="15"/>
  <c r="B57" i="7"/>
  <c r="H18" i="7" s="1"/>
  <c r="L8" i="18" l="1"/>
  <c r="G76" i="17"/>
  <c r="G73" i="17" s="1"/>
  <c r="G77" i="17" s="1"/>
  <c r="G84" i="17" s="1"/>
  <c r="G87" i="17" s="1"/>
  <c r="G76" i="16"/>
  <c r="G77" i="16" s="1"/>
  <c r="G84" i="16" s="1"/>
  <c r="G87" i="16" s="1"/>
  <c r="G76" i="18"/>
  <c r="G77" i="18" s="1"/>
  <c r="G84" i="18" s="1"/>
  <c r="G87" i="18" s="1"/>
  <c r="G76" i="12"/>
  <c r="H76" i="18"/>
  <c r="H73" i="18" s="1"/>
  <c r="H77" i="18" s="1"/>
  <c r="H84" i="18" s="1"/>
  <c r="H87" i="18" s="1"/>
  <c r="H76" i="17"/>
  <c r="H73" i="17" s="1"/>
  <c r="H77" i="17" s="1"/>
  <c r="H84" i="17" s="1"/>
  <c r="H87" i="17" s="1"/>
  <c r="H76" i="16"/>
  <c r="H73" i="16" s="1"/>
  <c r="H76" i="12"/>
  <c r="H73" i="12" s="1"/>
  <c r="H77" i="12" s="1"/>
  <c r="H84" i="12" s="1"/>
  <c r="H87" i="12" s="1"/>
  <c r="H4" i="16"/>
  <c r="L4" i="16" s="1"/>
  <c r="H72" i="16"/>
  <c r="L10" i="18"/>
  <c r="L9" i="18"/>
  <c r="H3" i="7"/>
  <c r="H27" i="17"/>
  <c r="H25" i="18"/>
  <c r="H25" i="17"/>
  <c r="I23" i="17"/>
  <c r="I20" i="18"/>
  <c r="I21" i="17"/>
  <c r="I34" i="18"/>
  <c r="I14" i="18"/>
  <c r="H29" i="16"/>
  <c r="I25" i="18"/>
  <c r="I15" i="18"/>
  <c r="E57" i="7"/>
  <c r="B43" i="7" s="1"/>
  <c r="B28" i="7"/>
  <c r="B31" i="7" s="1"/>
  <c r="E32" i="11"/>
  <c r="B13" i="7"/>
  <c r="H13" i="18"/>
  <c r="H13" i="17"/>
  <c r="L13" i="17" s="1"/>
  <c r="C13" i="7"/>
  <c r="C6" i="7"/>
  <c r="C8" i="7" s="1"/>
  <c r="B6" i="7"/>
  <c r="K3" i="7"/>
  <c r="J3" i="7"/>
  <c r="I3" i="7"/>
  <c r="B82" i="7"/>
  <c r="I11" i="18"/>
  <c r="L11" i="18" s="1"/>
  <c r="I36" i="18"/>
  <c r="I35" i="18"/>
  <c r="I31" i="18"/>
  <c r="I16" i="18"/>
  <c r="I33" i="18"/>
  <c r="I37" i="18"/>
  <c r="H14" i="18"/>
  <c r="H23" i="17"/>
  <c r="H14" i="17"/>
  <c r="H30" i="18"/>
  <c r="H30" i="17"/>
  <c r="H16" i="18"/>
  <c r="H16" i="17"/>
  <c r="L16" i="17" s="1"/>
  <c r="H15" i="18"/>
  <c r="H23" i="18"/>
  <c r="F32" i="11"/>
  <c r="D32" i="11"/>
  <c r="G32" i="11"/>
  <c r="L16" i="18" l="1"/>
  <c r="G73" i="12"/>
  <c r="G77" i="12" s="1"/>
  <c r="I76" i="12"/>
  <c r="H4" i="18"/>
  <c r="I34" i="7"/>
  <c r="I4" i="7"/>
  <c r="H34" i="7"/>
  <c r="J13" i="7"/>
  <c r="J4" i="7"/>
  <c r="J34" i="7"/>
  <c r="K19" i="7"/>
  <c r="K34" i="7"/>
  <c r="H77" i="16"/>
  <c r="H84" i="16" s="1"/>
  <c r="H87" i="16" s="1"/>
  <c r="H4" i="17"/>
  <c r="L4" i="17" s="1"/>
  <c r="J22" i="18"/>
  <c r="L35" i="12"/>
  <c r="L36" i="12"/>
  <c r="L11" i="12"/>
  <c r="L37" i="12"/>
  <c r="B47" i="7"/>
  <c r="B77" i="7" s="1"/>
  <c r="H19" i="7"/>
  <c r="H20" i="7"/>
  <c r="H21" i="7" s="1"/>
  <c r="L16" i="12"/>
  <c r="H13" i="7"/>
  <c r="H31" i="7"/>
  <c r="H17" i="7"/>
  <c r="H22" i="7"/>
  <c r="H35" i="7"/>
  <c r="C9" i="7"/>
  <c r="H9" i="7"/>
  <c r="H32" i="7"/>
  <c r="H11" i="7"/>
  <c r="H33" i="7"/>
  <c r="H15" i="7"/>
  <c r="H36" i="7"/>
  <c r="H14" i="7"/>
  <c r="B19" i="7"/>
  <c r="I28" i="18"/>
  <c r="J29" i="18"/>
  <c r="I29" i="17"/>
  <c r="I29" i="18" s="1"/>
  <c r="I6" i="18"/>
  <c r="I27" i="17"/>
  <c r="I27" i="18" s="1"/>
  <c r="I30" i="18"/>
  <c r="H29" i="18"/>
  <c r="H29" i="17"/>
  <c r="I21" i="18"/>
  <c r="J23" i="18"/>
  <c r="I22" i="7"/>
  <c r="B40" i="11"/>
  <c r="B41" i="11" s="1"/>
  <c r="J18" i="7"/>
  <c r="J19" i="7"/>
  <c r="I18" i="7"/>
  <c r="K18" i="7"/>
  <c r="I19" i="7"/>
  <c r="K16" i="7"/>
  <c r="J32" i="7"/>
  <c r="J26" i="7"/>
  <c r="K33" i="7"/>
  <c r="J17" i="7"/>
  <c r="J16" i="7"/>
  <c r="J36" i="7"/>
  <c r="J33" i="7"/>
  <c r="J11" i="7"/>
  <c r="J31" i="7"/>
  <c r="K28" i="7"/>
  <c r="K13" i="7"/>
  <c r="J27" i="7"/>
  <c r="J15" i="7"/>
  <c r="J35" i="7"/>
  <c r="K32" i="7"/>
  <c r="K35" i="7"/>
  <c r="J28" i="7"/>
  <c r="K17" i="7"/>
  <c r="K26" i="7"/>
  <c r="I32" i="7"/>
  <c r="K14" i="7"/>
  <c r="K4" i="7"/>
  <c r="K36" i="7"/>
  <c r="J14" i="7"/>
  <c r="K11" i="7"/>
  <c r="K27" i="7"/>
  <c r="I11" i="7"/>
  <c r="I17" i="7"/>
  <c r="I35" i="7"/>
  <c r="I33" i="7"/>
  <c r="I36" i="7"/>
  <c r="I13" i="7"/>
  <c r="I14" i="7"/>
  <c r="I9" i="7"/>
  <c r="K15" i="7"/>
  <c r="K31" i="7"/>
  <c r="I15" i="7"/>
  <c r="I31" i="7"/>
  <c r="K9" i="7"/>
  <c r="J22" i="7"/>
  <c r="K20" i="7" s="1"/>
  <c r="K21" i="7" s="1"/>
  <c r="K24" i="7" s="1"/>
  <c r="J9" i="7"/>
  <c r="K22" i="7"/>
  <c r="I23" i="18"/>
  <c r="H5" i="16"/>
  <c r="L5" i="16" s="1"/>
  <c r="H28" i="16"/>
  <c r="H28" i="18" s="1"/>
  <c r="B8" i="7"/>
  <c r="I13" i="18"/>
  <c r="L13" i="18" s="1"/>
  <c r="H38" i="16"/>
  <c r="H6" i="16"/>
  <c r="L6" i="16" s="1"/>
  <c r="H27" i="18"/>
  <c r="C22" i="7"/>
  <c r="B22" i="7"/>
  <c r="I20" i="7" l="1"/>
  <c r="I73" i="12"/>
  <c r="G84" i="12"/>
  <c r="I77" i="12"/>
  <c r="H16" i="7"/>
  <c r="L30" i="12"/>
  <c r="J21" i="18"/>
  <c r="L13" i="12"/>
  <c r="B9" i="7"/>
  <c r="I16" i="7"/>
  <c r="L36" i="7"/>
  <c r="L35" i="7"/>
  <c r="I5" i="18"/>
  <c r="I4" i="18"/>
  <c r="L4" i="18" s="1"/>
  <c r="H5" i="17"/>
  <c r="L5" i="17" s="1"/>
  <c r="H5" i="18"/>
  <c r="L5" i="18" s="1"/>
  <c r="B20" i="7"/>
  <c r="H28" i="17"/>
  <c r="L9" i="7"/>
  <c r="H6" i="17"/>
  <c r="L6" i="17" s="1"/>
  <c r="H6" i="18"/>
  <c r="L6" i="18" s="1"/>
  <c r="H38" i="17"/>
  <c r="H38" i="18"/>
  <c r="I21" i="7" l="1"/>
  <c r="I24" i="7" s="1"/>
  <c r="J20" i="7"/>
  <c r="G87" i="12"/>
  <c r="I87" i="12" s="1"/>
  <c r="I84" i="12"/>
  <c r="B68" i="7"/>
  <c r="L16" i="7"/>
  <c r="H12" i="16"/>
  <c r="L12" i="16" s="1"/>
  <c r="B35" i="7"/>
  <c r="L4" i="12"/>
  <c r="J27" i="18"/>
  <c r="B23" i="7"/>
  <c r="H7" i="16"/>
  <c r="J21" i="7" l="1"/>
  <c r="J24" i="7" s="1"/>
  <c r="E26" i="7"/>
  <c r="K23" i="7"/>
  <c r="H7" i="17"/>
  <c r="L7" i="17" s="1"/>
  <c r="L7" i="16"/>
  <c r="H4" i="7"/>
  <c r="L4" i="7" s="1"/>
  <c r="H12" i="17"/>
  <c r="L12" i="17" s="1"/>
  <c r="H12" i="18"/>
  <c r="I23" i="7"/>
  <c r="C40" i="11"/>
  <c r="C41" i="11" s="1"/>
  <c r="I38" i="17"/>
  <c r="I38" i="18" s="1"/>
  <c r="C19" i="7"/>
  <c r="I7" i="18"/>
  <c r="H7" i="18"/>
  <c r="L8" i="12"/>
  <c r="B46" i="7" l="1"/>
  <c r="E27" i="7"/>
  <c r="L7" i="18"/>
  <c r="I12" i="18"/>
  <c r="L12" i="18" s="1"/>
  <c r="L28" i="12"/>
  <c r="C20" i="7"/>
  <c r="B45" i="7" s="1"/>
  <c r="H23" i="7" l="1"/>
  <c r="J23" i="7"/>
  <c r="H24" i="7"/>
  <c r="J38" i="18"/>
  <c r="H26" i="7"/>
  <c r="L5" i="12"/>
  <c r="I26" i="7"/>
  <c r="C23" i="7"/>
  <c r="B58" i="7" s="1"/>
  <c r="B70" i="7" l="1"/>
  <c r="I25" i="7"/>
  <c r="C14" i="7"/>
  <c r="C15" i="7" s="1"/>
  <c r="B14" i="7"/>
  <c r="B48" i="7"/>
  <c r="L24" i="7"/>
  <c r="H27" i="7"/>
  <c r="I27" i="7"/>
  <c r="K25" i="7" l="1"/>
  <c r="J25" i="7"/>
  <c r="B78" i="7"/>
  <c r="H25" i="7"/>
  <c r="I28" i="7"/>
  <c r="B15" i="7"/>
  <c r="B72" i="7" l="1"/>
  <c r="H28" i="7"/>
  <c r="L28" i="7" s="1"/>
  <c r="B59" i="7"/>
  <c r="K29" i="7" s="1"/>
  <c r="J29" i="7"/>
  <c r="B49" i="7"/>
  <c r="J8" i="7"/>
  <c r="K8" i="7"/>
  <c r="L11" i="7"/>
  <c r="B79" i="7" l="1"/>
  <c r="I30" i="7"/>
  <c r="H29" i="7"/>
  <c r="I29" i="7"/>
  <c r="K30" i="7" l="1"/>
  <c r="J30" i="7"/>
  <c r="B74" i="7"/>
  <c r="J6" i="7" s="1"/>
  <c r="H30" i="7"/>
  <c r="L30" i="7" s="1"/>
  <c r="I6" i="7"/>
  <c r="H6" i="7" l="1"/>
  <c r="K6" i="7"/>
  <c r="B34" i="7" l="1"/>
  <c r="L10" i="12" l="1"/>
  <c r="L6" i="12"/>
  <c r="L6" i="7"/>
  <c r="L7" i="12"/>
  <c r="B50" i="7" l="1"/>
  <c r="B52" i="7" s="1"/>
  <c r="L12" i="12"/>
  <c r="B37" i="7" l="1"/>
  <c r="I8" i="7"/>
  <c r="I37" i="7" l="1"/>
  <c r="J37" i="7"/>
  <c r="B39" i="7"/>
  <c r="K37" i="7"/>
  <c r="B71" i="7"/>
  <c r="B69" i="7" l="1"/>
  <c r="I5" i="7"/>
  <c r="K5" i="7" l="1"/>
  <c r="J5" i="7"/>
  <c r="B73" i="7"/>
  <c r="B80" i="7" s="1"/>
  <c r="J7" i="7" s="1"/>
  <c r="H5" i="7"/>
  <c r="L5" i="7" s="1"/>
  <c r="I7" i="7"/>
  <c r="H7" i="7" l="1"/>
  <c r="K7" i="7"/>
  <c r="L7" i="7" s="1"/>
  <c r="B81" i="7" l="1"/>
  <c r="B83" i="7" s="1"/>
  <c r="H8" i="7"/>
  <c r="L8" i="7" s="1"/>
  <c r="B53" i="7" l="1"/>
  <c r="E58" i="7"/>
  <c r="H37" i="7"/>
  <c r="L37" i="7" s="1"/>
  <c r="K38" i="7" l="1"/>
  <c r="J38" i="7"/>
  <c r="H38" i="7"/>
  <c r="I38" i="7"/>
  <c r="B60" i="7"/>
  <c r="B61" i="7" s="1"/>
  <c r="B84" i="7" l="1"/>
  <c r="E59" i="7" l="1"/>
  <c r="B85" i="7"/>
  <c r="B87" i="7" s="1"/>
  <c r="H12" i="7" s="1"/>
  <c r="J10" i="7" l="1"/>
  <c r="H10" i="7"/>
  <c r="I12" i="7"/>
  <c r="J12" i="7"/>
  <c r="K10" i="7"/>
  <c r="I10" i="7"/>
  <c r="E56" i="7"/>
  <c r="E61" i="7" s="1"/>
  <c r="K12" i="7"/>
  <c r="L12" i="7"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Reviewer</author>
  </authors>
  <commentList>
    <comment ref="B70" authorId="0" shapeId="0" xr:uid="{8C358AF8-1DBA-46FC-940D-05068848B1DF}">
      <text>
        <r>
          <rPr>
            <b/>
            <sz val="9"/>
            <color rgb="FF000000"/>
            <rFont val="Tahoma"/>
            <family val="2"/>
            <charset val="238"/>
          </rPr>
          <t xml:space="preserve">Pozor, tento výpočet hodnoty materiálu vychází z fixních cen, což neodpovídá algoritmu simulace - ten je nastaven metodou FIFO. Z tohoto důvodu se zde uvedený výsledek může odlišovat od reality v řádu desetitisíců korun.
</t>
        </r>
        <r>
          <rPr>
            <b/>
            <sz val="9"/>
            <color rgb="FF000000"/>
            <rFont val="Tahoma"/>
            <family val="2"/>
            <charset val="238"/>
          </rPr>
          <t xml:space="preserve">
</t>
        </r>
        <r>
          <rPr>
            <b/>
            <sz val="9"/>
            <color rgb="FFFF0000"/>
            <rFont val="Tahoma"/>
            <family val="2"/>
            <charset val="238"/>
          </rPr>
          <t>Caution, this calculation of the raw materials value comes from the fixed prices, which does not correspond with the simulation algorithm - that is set to FIFO calculation. Therefore the result can differ from reality in the order of ten-thousands Krones.</t>
        </r>
      </text>
    </comment>
  </commentList>
</comments>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<sst xmlns="http://schemas.openxmlformats.org/spreadsheetml/2006/main" count="332" uniqueCount="199">
  <si>
    <t>Choose language, first</t>
  </si>
  <si>
    <t>CZ</t>
  </si>
  <si>
    <t>Nejprve zvolte jazyk</t>
  </si>
  <si>
    <t>Byte Strategists</t>
  </si>
  <si>
    <t>1.</t>
  </si>
  <si>
    <t>2.</t>
  </si>
  <si>
    <t>3.</t>
  </si>
  <si>
    <t>4.</t>
  </si>
  <si>
    <t>5.</t>
  </si>
  <si>
    <t>6.</t>
  </si>
  <si>
    <t>7.</t>
  </si>
  <si>
    <t>8.</t>
  </si>
  <si>
    <t>9.</t>
  </si>
  <si>
    <t>10.</t>
  </si>
  <si>
    <t>11.</t>
  </si>
  <si>
    <t>12.</t>
  </si>
  <si>
    <t>EN</t>
  </si>
  <si>
    <t>PI</t>
  </si>
  <si>
    <t>CASH FLOW</t>
  </si>
  <si>
    <t>SHARE PRICES</t>
  </si>
  <si>
    <t>Competitor 1</t>
  </si>
  <si>
    <t>Competitor 2</t>
  </si>
  <si>
    <t>Competitor 3</t>
  </si>
  <si>
    <t>Competitor 4</t>
  </si>
  <si>
    <t>FINANCE</t>
  </si>
  <si>
    <t>(n)</t>
  </si>
  <si>
    <t>(n+1)</t>
  </si>
  <si>
    <t>&lt; 90</t>
  </si>
  <si>
    <t>&lt;90;100)</t>
  </si>
  <si>
    <t>&lt;100;110)</t>
  </si>
  <si>
    <t>&gt;= 110</t>
  </si>
  <si>
    <t>1</t>
  </si>
  <si>
    <t>2</t>
  </si>
  <si>
    <t>3</t>
  </si>
  <si>
    <t>4</t>
  </si>
  <si>
    <t>1 160</t>
  </si>
  <si>
    <t>2 427</t>
  </si>
  <si>
    <t>1 625</t>
  </si>
  <si>
    <t>4 336</t>
  </si>
  <si>
    <t>1 885 000</t>
  </si>
  <si>
    <t>1 650 360</t>
  </si>
  <si>
    <t>58,44</t>
  </si>
  <si>
    <t>1 190</t>
  </si>
  <si>
    <t>2 507</t>
  </si>
  <si>
    <t>2 150</t>
  </si>
  <si>
    <t>3 531</t>
  </si>
  <si>
    <t>2 558 500</t>
  </si>
  <si>
    <t>1 228 430</t>
  </si>
  <si>
    <t>2 175</t>
  </si>
  <si>
    <t>2 200</t>
  </si>
  <si>
    <t>38 700</t>
  </si>
  <si>
    <t>25 800</t>
  </si>
  <si>
    <t>25,5</t>
  </si>
  <si>
    <t>1 488 000</t>
  </si>
  <si>
    <t>48 000</t>
  </si>
  <si>
    <t>1 147 756</t>
  </si>
  <si>
    <t>3 786 930</t>
  </si>
  <si>
    <t>150 000</t>
  </si>
  <si>
    <t>1 373 850</t>
  </si>
  <si>
    <t>1 938 000</t>
  </si>
  <si>
    <t>47 975</t>
  </si>
  <si>
    <t>30 750</t>
  </si>
  <si>
    <t>3 541 225</t>
  </si>
  <si>
    <t>1 393 461</t>
  </si>
  <si>
    <t>3 000 000</t>
  </si>
  <si>
    <t>10 959 261</t>
  </si>
  <si>
    <t>1 800 000</t>
  </si>
  <si>
    <t>4 740 000</t>
  </si>
  <si>
    <t>10 959 261</t>
  </si>
  <si>
    <t>64,33</t>
  </si>
  <si>
    <t>2 998 735</t>
  </si>
  <si>
    <t>1 174 735</t>
  </si>
  <si>
    <t>788 195</t>
  </si>
  <si>
    <t>229 375</t>
  </si>
  <si>
    <t>558 820</t>
  </si>
  <si>
    <t>PRODUKT</t>
  </si>
  <si>
    <t>Cena [Kč za ks]</t>
  </si>
  <si>
    <t>Nabídka [ks]</t>
  </si>
  <si>
    <t>Potenciální prodej [ks]</t>
  </si>
  <si>
    <t>Skutečný prodej [ks]</t>
  </si>
  <si>
    <t>Tržby [Kč]</t>
  </si>
  <si>
    <t>Quarter 1</t>
  </si>
  <si>
    <t>Marketing and sales</t>
  </si>
  <si>
    <t>quarter</t>
  </si>
  <si>
    <t>čtvrtletí</t>
  </si>
  <si>
    <t>Tržby</t>
  </si>
  <si>
    <t>Náklady prod. výr.</t>
  </si>
  <si>
    <t>Nepřímé náklady</t>
  </si>
  <si>
    <t>Provozní zisk</t>
  </si>
  <si>
    <t>Úroky</t>
  </si>
  <si>
    <t>Mimořádné výdaje</t>
  </si>
  <si>
    <t>Daně</t>
  </si>
  <si>
    <t>Mimořádné příjmy</t>
  </si>
  <si>
    <t>Čistý zisk</t>
  </si>
  <si>
    <t>Průzkum trhu</t>
  </si>
  <si>
    <t>Cena Stůl</t>
  </si>
  <si>
    <t>Cena Skříňka</t>
  </si>
  <si>
    <t>Náklady neuspokojené poptávky</t>
  </si>
  <si>
    <t>Počet strojů</t>
  </si>
  <si>
    <t>Výroba</t>
  </si>
  <si>
    <t>• plán [%]</t>
  </si>
  <si>
    <t>• skutečnost [%]</t>
  </si>
  <si>
    <t>Zaměstnanci</t>
  </si>
  <si>
    <t>• celkem</t>
  </si>
  <si>
    <t>• aktivní</t>
  </si>
  <si>
    <t>• změna</t>
  </si>
  <si>
    <t>• náklady/zam.</t>
  </si>
  <si>
    <t>Nedodržení plánované výroby</t>
  </si>
  <si>
    <t>Suroviny</t>
  </si>
  <si>
    <t>Nákup</t>
  </si>
  <si>
    <t>Sleva</t>
  </si>
  <si>
    <t>Zásoba</t>
  </si>
  <si>
    <t>Skladovací náklady</t>
  </si>
  <si>
    <t>Výrobky</t>
  </si>
  <si>
    <t>Průměrný PI na trhu</t>
  </si>
  <si>
    <t>Mzdový index</t>
  </si>
  <si>
    <t>Vzdělávání</t>
  </si>
  <si>
    <t>Úvěry</t>
  </si>
  <si>
    <t>Splátky</t>
  </si>
  <si>
    <t>Překlenovací úvěr</t>
  </si>
  <si>
    <t>Hotovost</t>
  </si>
  <si>
    <t>Cena akcie</t>
  </si>
  <si>
    <t>CELKEM</t>
  </si>
  <si>
    <t>Marketing a prodej</t>
  </si>
  <si>
    <t>Stůl</t>
  </si>
  <si>
    <t>Skříňka</t>
  </si>
  <si>
    <t>VÝROBEK</t>
  </si>
  <si>
    <t>Počáteční zásoba [ks]</t>
  </si>
  <si>
    <t>Plánovaná výroba [ks]</t>
  </si>
  <si>
    <t>Skutečná výroba [ks]</t>
  </si>
  <si>
    <t>Konečná zásoba [ks]</t>
  </si>
  <si>
    <t>Zásobování</t>
  </si>
  <si>
    <t>SUROVINA</t>
  </si>
  <si>
    <t>Počáteční zásoba [kg]</t>
  </si>
  <si>
    <t>Nákup [kg]</t>
  </si>
  <si>
    <t>Cena [Kč za kg]</t>
  </si>
  <si>
    <t>Spotřeba [kg]</t>
  </si>
  <si>
    <t>Konečná zásoba [kg]</t>
  </si>
  <si>
    <t>Dřevo</t>
  </si>
  <si>
    <t>Kov</t>
  </si>
  <si>
    <t>Lidské zdroje</t>
  </si>
  <si>
    <t>Základní index</t>
  </si>
  <si>
    <t>Změna mzdového indexu</t>
  </si>
  <si>
    <t>Vliv konkurence</t>
  </si>
  <si>
    <t>Nový index</t>
  </si>
  <si>
    <t>Pracovní náklady</t>
  </si>
  <si>
    <t>Prům. náklady na pracovníka</t>
  </si>
  <si>
    <t>ne</t>
  </si>
  <si>
    <t>Cash flow</t>
  </si>
  <si>
    <t>VÝCHOZÍ STAV HOTOVOSTI</t>
  </si>
  <si>
    <t>Investiční úvěry</t>
  </si>
  <si>
    <t>PŘÍJMY CELKEM</t>
  </si>
  <si>
    <t>Investice</t>
  </si>
  <si>
    <t>Marketingové oddělení</t>
  </si>
  <si>
    <t>Průzkumy</t>
  </si>
  <si>
    <t>Materiál</t>
  </si>
  <si>
    <t>Neuspokojená poptávka</t>
  </si>
  <si>
    <t>Skladování materiálu</t>
  </si>
  <si>
    <t>Skladování výrobků</t>
  </si>
  <si>
    <t>VÝDAJE CELKEM</t>
  </si>
  <si>
    <t>KONEČNÝ STAV HOTOVOSTI</t>
  </si>
  <si>
    <t>Rozvaha</t>
  </si>
  <si>
    <t>Budovy</t>
  </si>
  <si>
    <t>Stroje</t>
  </si>
  <si>
    <t>Hotové výrobky</t>
  </si>
  <si>
    <t>Vlastní kapitál</t>
  </si>
  <si>
    <t>Hodnota firmy</t>
  </si>
  <si>
    <t>Cena akcie [Kč za ks]</t>
  </si>
  <si>
    <t>Hodnoty firem na trhu</t>
  </si>
  <si>
    <t>Firma 2 [Kč za ks]</t>
  </si>
  <si>
    <t>Firma 3 [Kč za ks]</t>
  </si>
  <si>
    <t>Firma 4 [Kč za ks]</t>
  </si>
  <si>
    <t>Firma 5 [Kč za ks]</t>
  </si>
  <si>
    <t>Výkaz zisků a ztrát</t>
  </si>
  <si>
    <t>Náklady prodaných výrobků</t>
  </si>
  <si>
    <t>- Změna stavu zásob výrobků (+/-)</t>
  </si>
  <si>
    <t>Hrubý zisk</t>
  </si>
  <si>
    <t>Zaplacené úroky</t>
  </si>
  <si>
    <t>Zisk z provozní činnosti před zdaněním</t>
  </si>
  <si>
    <t>Daň</t>
  </si>
  <si>
    <t>Zisk z provozní činnosti po zdanění</t>
  </si>
  <si>
    <t>Celkový čistý zisk</t>
  </si>
  <si>
    <t>Q1 2024</t>
  </si>
  <si>
    <t>Q2 2024</t>
  </si>
  <si>
    <t>Q3 2024</t>
  </si>
  <si>
    <t>Q4 2024</t>
  </si>
  <si>
    <t>Tržní průzkum produktu Stůl</t>
  </si>
  <si>
    <t>Čtvrtletí</t>
  </si>
  <si>
    <t>Cena</t>
  </si>
  <si>
    <t>Tržní potenciál</t>
  </si>
  <si>
    <t>Dřevo - průzkumy ceny</t>
  </si>
  <si>
    <t>Kov - průzkumy ceny</t>
  </si>
  <si>
    <t>Tržní průzkum produktu Skříňka</t>
  </si>
  <si>
    <t>2 599</t>
  </si>
  <si>
    <t>6 231</t>
  </si>
  <si>
    <t>5 962</t>
  </si>
  <si>
    <t>5 665</t>
  </si>
  <si>
    <t>5 939</t>
  </si>
  <si>
    <t>NAKOPÍROVANÉ</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</si>
</sst>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 #,##0.00\ _K_č_-;\-* #,##0.00\ _K_č_-;_-* &quot;-&quot;??\ _K_č_-;_-@_-"/>
    <numFmt numFmtId="165" formatCode="_-* #,##0.0\ _K_č_-;\-* #,##0.0\ _K_č_-;_-* &quot;-&quot;??\ _K_č_-;_-@_-"/>
    <numFmt numFmtId="166" formatCode="_-* #,##0\ _K_č_-;\-* #,##0\ _K_č_-;_-* &quot;-&quot;??\ _K_č_-;_-@_-"/>
    <numFmt numFmtId="167" formatCode="0.0000"/>
  </numFmts>
  <fonts count="20" x14ac:knownFonts="1">
    <font>
      <sz val="12"/>
      <name val="Times New Roman CE"/>
      <charset val="238"/>
    </font>
    <font>
      <sz val="11"/>
      <color theme="1"/>
      <name val="Calibri"/>
      <family val="2"/>
      <charset val="238"/>
      <scheme val="minor"/>
    </font>
    <font>
      <sz val="11"/>
      <color theme="1"/>
      <name val="Calibri"/>
      <family val="2"/>
      <charset val="238"/>
      <scheme val="minor"/>
    </font>
    <font>
      <sz val="12"/>
      <name val="Times New Roman CE"/>
      <charset val="238"/>
    </font>
    <font>
      <b/>
      <sz val="12"/>
      <name val="Times New Roman CE"/>
      <family val="1"/>
      <charset val="238"/>
    </font>
    <font>
      <sz val="12"/>
      <name val="Times New Roman CE"/>
      <family val="1"/>
      <charset val="238"/>
    </font>
    <font>
      <b/>
      <sz val="14"/>
      <name val="Times New Roman CE"/>
      <family val="1"/>
      <charset val="238"/>
    </font>
    <font>
      <sz val="12"/>
      <name val="Times New Roman CE"/>
      <charset val="238"/>
    </font>
    <font>
      <sz val="12"/>
      <name val="Times New Roman"/>
      <family val="1"/>
      <charset val="238"/>
    </font>
    <font>
      <b/>
      <sz val="12"/>
      <name val="Times New Roman CE"/>
      <charset val="238"/>
    </font>
    <font>
      <b/>
      <sz val="12"/>
      <name val="Times New Roman"/>
      <family val="1"/>
      <charset val="238"/>
    </font>
    <font>
      <b/>
      <sz val="12"/>
      <color rgb="FFFF0000"/>
      <name val="Times New Roman CE"/>
      <charset val="238"/>
    </font>
    <font>
      <b/>
      <sz val="16"/>
      <color theme="0"/>
      <name val="Times New Roman CE"/>
      <charset val="238"/>
    </font>
    <font>
      <b/>
      <sz val="9"/>
      <color rgb="FF000000"/>
      <name val="Tahoma"/>
      <family val="2"/>
      <charset val="238"/>
    </font>
    <font>
      <b/>
      <sz val="9"/>
      <color rgb="FFFF0000"/>
      <name val="Tahoma"/>
      <family val="2"/>
      <charset val="238"/>
    </font>
    <font>
      <b/>
      <sz val="9"/>
      <color rgb="FFFF0000"/>
      <name val="Tahoma"/>
      <family val="2"/>
    </font>
    <font>
      <sz val="12"/>
      <color theme="0" tint="-0.499984740745262"/>
      <name val="Times New Roman CE"/>
      <charset val="238"/>
    </font>
    <font>
      <b/>
      <sz val="14"/>
      <color rgb="FF000000"/>
      <name val="Arial"/>
      <family val="2"/>
      <charset val="238"/>
    </font>
    <font>
      <sz val="14"/>
      <color rgb="FF000000"/>
      <name val="Arial"/>
      <family val="2"/>
      <charset val="238"/>
    </font>
    <font>
      <sz val="12"/>
      <color rgb="FF00B050"/>
      <name val="Times New Roman CE"/>
      <charset val="238"/>
    </font>
  </fonts>
  <fills count="7">
    <fill>
      <patternFill patternType="none"/>
    </fill>
    <fill>
      <patternFill patternType="gray125"/>
    </fill>
    <fill>
      <patternFill patternType="solid">
        <fgColor theme="0" tint="-0.249977111117893"/>
        <bgColor indexed="64"/>
      </patternFill>
    </fill>
    <fill>
      <patternFill patternType="solid">
        <fgColor theme="0" tint="-0.14999847407452621"/>
        <bgColor indexed="64"/>
      </patternFill>
    </fill>
    <fill>
      <patternFill patternType="solid">
        <fgColor theme="0"/>
        <bgColor indexed="64"/>
      </patternFill>
    </fill>
    <fill>
      <patternFill patternType="solid">
        <fgColor rgb="FFFF0000"/>
        <bgColor indexed="64"/>
      </patternFill>
    </fill>
    <fill>
      <patternFill patternType="solid">
        <fgColor rgb="FFFFFF00"/>
        <bgColor indexed="64"/>
      </patternFill>
    </fill>
  </fills>
  <borders count="57">
    <border>
      <left/>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style="medium">
        <color indexed="64"/>
      </right>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medium">
        <color indexed="64"/>
      </left>
      <right style="medium">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bottom style="thin">
        <color indexed="64"/>
      </bottom>
      <diagonal/>
    </border>
    <border>
      <left style="thin">
        <color indexed="64"/>
      </left>
      <right/>
      <top style="thin">
        <color indexed="64"/>
      </top>
      <bottom style="medium">
        <color indexed="64"/>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thin">
        <color indexed="64"/>
      </left>
      <right style="medium">
        <color indexed="64"/>
      </right>
      <top style="thin">
        <color indexed="64"/>
      </top>
      <bottom/>
      <diagonal/>
    </border>
    <border>
      <left/>
      <right style="medium">
        <color indexed="64"/>
      </right>
      <top style="thin">
        <color indexed="64"/>
      </top>
      <bottom/>
      <diagonal/>
    </border>
    <border>
      <left style="thin">
        <color indexed="64"/>
      </left>
      <right style="thin">
        <color indexed="64"/>
      </right>
      <top style="medium">
        <color indexed="64"/>
      </top>
      <bottom style="medium">
        <color indexed="64"/>
      </bottom>
      <diagonal/>
    </border>
    <border>
      <left/>
      <right/>
      <top style="medium">
        <color indexed="64"/>
      </top>
      <bottom style="thin">
        <color indexed="64"/>
      </bottom>
      <diagonal/>
    </border>
    <border>
      <left/>
      <right/>
      <top style="medium">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top style="medium">
        <color indexed="64"/>
      </top>
      <bottom style="medium">
        <color indexed="64"/>
      </bottom>
      <diagonal/>
    </border>
    <border>
      <left style="medium">
        <color indexed="64"/>
      </left>
      <right style="thin">
        <color indexed="64"/>
      </right>
      <top/>
      <bottom style="medium">
        <color indexed="64"/>
      </bottom>
      <diagonal/>
    </border>
    <border>
      <left style="medium">
        <color indexed="64"/>
      </left>
      <right style="thin">
        <color indexed="64"/>
      </right>
      <top/>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s>
  <cellStyleXfs count="5">
    <xf numFmtId="0" fontId="0" fillId="0" borderId="0"/>
    <xf numFmtId="164" fontId="3" fillId="0" borderId="0" applyFont="0" applyFill="0" applyBorder="0" applyAlignment="0" applyProtection="0"/>
    <xf numFmtId="164" fontId="7" fillId="0" borderId="0" applyFont="0" applyFill="0" applyBorder="0" applyAlignment="0" applyProtection="0"/>
    <xf numFmtId="9" fontId="3" fillId="0" borderId="0" applyFont="0" applyFill="0" applyBorder="0" applyAlignment="0" applyProtection="0"/>
    <xf numFmtId="0" fontId="2" fillId="0" borderId="0"/>
  </cellStyleXfs>
  <cellXfs count="389">
    <xf numFmtId="0" fontId="0" fillId="0" borderId="0" xfId="0"/>
    <xf numFmtId="3" fontId="0" fillId="0" borderId="0" xfId="0" applyNumberFormat="1"/>
    <xf numFmtId="0" fontId="0" fillId="0" borderId="0" xfId="0" applyAlignment="1">
      <alignment horizontal="center"/>
    </xf>
    <xf numFmtId="0" fontId="0" fillId="0" borderId="1" xfId="0" applyBorder="1"/>
    <xf numFmtId="0" fontId="0" fillId="0" borderId="3" xfId="0" applyBorder="1"/>
    <xf numFmtId="0" fontId="0" fillId="0" borderId="2" xfId="0" applyBorder="1" applyAlignment="1">
      <alignment horizontal="center"/>
    </xf>
    <xf numFmtId="0" fontId="0" fillId="0" borderId="1" xfId="0" applyBorder="1" applyAlignment="1">
      <alignment horizontal="center"/>
    </xf>
    <xf numFmtId="0" fontId="0" fillId="0" borderId="26" xfId="0" applyBorder="1" applyAlignment="1">
      <alignment horizontal="center"/>
    </xf>
    <xf numFmtId="0" fontId="0" fillId="2" borderId="0" xfId="0" applyFill="1"/>
    <xf numFmtId="3" fontId="0" fillId="2" borderId="0" xfId="0" applyNumberFormat="1" applyFill="1"/>
    <xf numFmtId="3" fontId="8" fillId="0" borderId="5" xfId="0" applyNumberFormat="1" applyFont="1" applyBorder="1" applyAlignment="1">
      <alignment horizontal="right" vertical="top" wrapText="1"/>
    </xf>
    <xf numFmtId="3" fontId="8" fillId="0" borderId="6" xfId="0" applyNumberFormat="1" applyFont="1" applyBorder="1" applyAlignment="1">
      <alignment horizontal="right" vertical="top" wrapText="1"/>
    </xf>
    <xf numFmtId="0" fontId="9" fillId="3" borderId="0" xfId="0" applyFont="1" applyFill="1"/>
    <xf numFmtId="0" fontId="0" fillId="3" borderId="0" xfId="0" applyFill="1"/>
    <xf numFmtId="0" fontId="9" fillId="3" borderId="0" xfId="0" applyFont="1" applyFill="1" applyAlignment="1">
      <alignment horizontal="right"/>
    </xf>
    <xf numFmtId="0" fontId="0" fillId="3" borderId="0" xfId="0" applyFill="1" applyAlignment="1">
      <alignment horizontal="right"/>
    </xf>
    <xf numFmtId="0" fontId="0" fillId="3" borderId="0" xfId="0" applyFill="1" applyProtection="1">
      <protection hidden="1"/>
    </xf>
    <xf numFmtId="0" fontId="0" fillId="3" borderId="1" xfId="0" applyFill="1" applyBorder="1" applyAlignment="1">
      <alignment horizontal="center"/>
    </xf>
    <xf numFmtId="0" fontId="0" fillId="3" borderId="26" xfId="0" applyFill="1" applyBorder="1" applyAlignment="1">
      <alignment horizontal="center"/>
    </xf>
    <xf numFmtId="0" fontId="0" fillId="3" borderId="2" xfId="0" applyFill="1" applyBorder="1" applyAlignment="1">
      <alignment horizontal="center"/>
    </xf>
    <xf numFmtId="0" fontId="0" fillId="3" borderId="1" xfId="0" applyFill="1" applyBorder="1"/>
    <xf numFmtId="3" fontId="0" fillId="3" borderId="26" xfId="0" applyNumberFormat="1" applyFill="1" applyBorder="1"/>
    <xf numFmtId="3" fontId="0" fillId="3" borderId="2" xfId="0" applyNumberFormat="1" applyFill="1" applyBorder="1"/>
    <xf numFmtId="0" fontId="0" fillId="3" borderId="23" xfId="0" applyFill="1" applyBorder="1"/>
    <xf numFmtId="0" fontId="0" fillId="3" borderId="3" xfId="0" applyFill="1" applyBorder="1"/>
    <xf numFmtId="3" fontId="0" fillId="3" borderId="5" xfId="0" applyNumberFormat="1" applyFill="1" applyBorder="1"/>
    <xf numFmtId="3" fontId="0" fillId="3" borderId="6" xfId="0" applyNumberFormat="1" applyFill="1" applyBorder="1"/>
    <xf numFmtId="3" fontId="5" fillId="3" borderId="26" xfId="0" applyNumberFormat="1" applyFont="1" applyFill="1" applyBorder="1"/>
    <xf numFmtId="3" fontId="5" fillId="3" borderId="2" xfId="0" applyNumberFormat="1" applyFont="1" applyFill="1" applyBorder="1"/>
    <xf numFmtId="0" fontId="0" fillId="3" borderId="16" xfId="0" applyFill="1" applyBorder="1"/>
    <xf numFmtId="3" fontId="0" fillId="3" borderId="17" xfId="0" applyNumberFormat="1" applyFill="1" applyBorder="1"/>
    <xf numFmtId="3" fontId="0" fillId="3" borderId="0" xfId="0" applyNumberFormat="1" applyFill="1"/>
    <xf numFmtId="0" fontId="0" fillId="3" borderId="17" xfId="0" applyFill="1" applyBorder="1"/>
    <xf numFmtId="0" fontId="0" fillId="3" borderId="18" xfId="0" applyFill="1" applyBorder="1"/>
    <xf numFmtId="3" fontId="0" fillId="3" borderId="19" xfId="0" applyNumberFormat="1" applyFill="1" applyBorder="1"/>
    <xf numFmtId="0" fontId="0" fillId="3" borderId="19" xfId="0" applyFill="1" applyBorder="1"/>
    <xf numFmtId="0" fontId="0" fillId="3" borderId="20" xfId="0" applyFill="1" applyBorder="1"/>
    <xf numFmtId="0" fontId="6" fillId="3" borderId="0" xfId="0" applyFont="1" applyFill="1" applyAlignment="1">
      <alignment horizontal="center"/>
    </xf>
    <xf numFmtId="3" fontId="0" fillId="3" borderId="17" xfId="0" applyNumberFormat="1" applyFill="1" applyBorder="1" applyAlignment="1">
      <alignment horizontal="right"/>
    </xf>
    <xf numFmtId="0" fontId="0" fillId="3" borderId="21" xfId="0" applyFill="1" applyBorder="1"/>
    <xf numFmtId="3" fontId="0" fillId="3" borderId="20" xfId="0" applyNumberFormat="1" applyFill="1" applyBorder="1"/>
    <xf numFmtId="3" fontId="0" fillId="3" borderId="22" xfId="0" applyNumberFormat="1" applyFill="1" applyBorder="1"/>
    <xf numFmtId="0" fontId="10" fillId="3" borderId="15" xfId="0" applyFont="1" applyFill="1" applyBorder="1" applyAlignment="1">
      <alignment horizontal="center" vertical="top" wrapText="1"/>
    </xf>
    <xf numFmtId="3" fontId="5" fillId="3" borderId="37" xfId="0" applyNumberFormat="1" applyFont="1" applyFill="1" applyBorder="1" applyAlignment="1">
      <alignment horizontal="right" vertical="top" wrapText="1"/>
    </xf>
    <xf numFmtId="3" fontId="5" fillId="3" borderId="25" xfId="0" applyNumberFormat="1" applyFont="1" applyFill="1" applyBorder="1" applyAlignment="1">
      <alignment horizontal="right" vertical="top" wrapText="1"/>
    </xf>
    <xf numFmtId="3" fontId="5" fillId="3" borderId="41" xfId="0" applyNumberFormat="1" applyFont="1" applyFill="1" applyBorder="1" applyAlignment="1">
      <alignment horizontal="right" vertical="top" wrapText="1"/>
    </xf>
    <xf numFmtId="3" fontId="5" fillId="3" borderId="26" xfId="0" applyNumberFormat="1" applyFont="1" applyFill="1" applyBorder="1" applyAlignment="1">
      <alignment horizontal="right" vertical="top" wrapText="1"/>
    </xf>
    <xf numFmtId="3" fontId="5" fillId="3" borderId="8" xfId="0" applyNumberFormat="1" applyFont="1" applyFill="1" applyBorder="1" applyAlignment="1">
      <alignment horizontal="right" vertical="top" wrapText="1"/>
    </xf>
    <xf numFmtId="3" fontId="5" fillId="3" borderId="2" xfId="0" applyNumberFormat="1" applyFont="1" applyFill="1" applyBorder="1" applyAlignment="1">
      <alignment horizontal="right" vertical="top" wrapText="1"/>
    </xf>
    <xf numFmtId="3" fontId="5" fillId="3" borderId="42" xfId="0" applyNumberFormat="1" applyFont="1" applyFill="1" applyBorder="1" applyAlignment="1">
      <alignment horizontal="right" vertical="top" wrapText="1"/>
    </xf>
    <xf numFmtId="1" fontId="0" fillId="3" borderId="0" xfId="0" applyNumberFormat="1" applyFill="1"/>
    <xf numFmtId="3" fontId="5" fillId="3" borderId="5" xfId="0" applyNumberFormat="1" applyFont="1" applyFill="1" applyBorder="1" applyAlignment="1">
      <alignment horizontal="right" vertical="top" wrapText="1"/>
    </xf>
    <xf numFmtId="3" fontId="5" fillId="3" borderId="6" xfId="0" applyNumberFormat="1" applyFont="1" applyFill="1" applyBorder="1" applyAlignment="1">
      <alignment horizontal="right" vertical="top" wrapText="1"/>
    </xf>
    <xf numFmtId="3" fontId="5" fillId="3" borderId="43" xfId="0" applyNumberFormat="1" applyFont="1" applyFill="1" applyBorder="1" applyAlignment="1">
      <alignment horizontal="right" vertical="top" wrapText="1"/>
    </xf>
    <xf numFmtId="3" fontId="0" fillId="3" borderId="24" xfId="0" applyNumberFormat="1" applyFill="1" applyBorder="1"/>
    <xf numFmtId="0" fontId="0" fillId="3" borderId="41" xfId="0" applyFill="1" applyBorder="1"/>
    <xf numFmtId="3" fontId="5" fillId="3" borderId="33" xfId="0" applyNumberFormat="1" applyFont="1" applyFill="1" applyBorder="1" applyAlignment="1">
      <alignment horizontal="right" vertical="top" wrapText="1"/>
    </xf>
    <xf numFmtId="3" fontId="5" fillId="3" borderId="44" xfId="0" applyNumberFormat="1" applyFont="1" applyFill="1" applyBorder="1" applyAlignment="1">
      <alignment horizontal="right" vertical="top" wrapText="1"/>
    </xf>
    <xf numFmtId="3" fontId="5" fillId="3" borderId="45" xfId="0" applyNumberFormat="1" applyFont="1" applyFill="1" applyBorder="1" applyAlignment="1">
      <alignment horizontal="right" vertical="top" wrapText="1"/>
    </xf>
    <xf numFmtId="2" fontId="0" fillId="3" borderId="0" xfId="0" applyNumberFormat="1" applyFill="1"/>
    <xf numFmtId="3" fontId="5" fillId="3" borderId="46" xfId="0" applyNumberFormat="1" applyFont="1" applyFill="1" applyBorder="1" applyAlignment="1">
      <alignment horizontal="right" vertical="top" wrapText="1"/>
    </xf>
    <xf numFmtId="0" fontId="11" fillId="3" borderId="0" xfId="0" applyFont="1" applyFill="1"/>
    <xf numFmtId="3" fontId="0" fillId="0" borderId="26" xfId="0" applyNumberFormat="1" applyBorder="1"/>
    <xf numFmtId="0" fontId="10" fillId="3" borderId="28" xfId="0" applyFont="1" applyFill="1" applyBorder="1" applyAlignment="1">
      <alignment horizontal="center" vertical="top" wrapText="1"/>
    </xf>
    <xf numFmtId="0" fontId="10" fillId="3" borderId="29" xfId="0" applyFont="1" applyFill="1" applyBorder="1" applyAlignment="1">
      <alignment horizontal="center" vertical="top" wrapText="1"/>
    </xf>
    <xf numFmtId="0" fontId="10" fillId="3" borderId="30" xfId="0" applyFont="1" applyFill="1" applyBorder="1" applyAlignment="1">
      <alignment horizontal="center" vertical="top" wrapText="1"/>
    </xf>
    <xf numFmtId="0" fontId="5" fillId="3" borderId="37" xfId="0" applyFont="1" applyFill="1" applyBorder="1" applyAlignment="1">
      <alignment horizontal="right" vertical="top" wrapText="1"/>
    </xf>
    <xf numFmtId="0" fontId="11" fillId="3" borderId="0" xfId="0" applyFont="1" applyFill="1" applyProtection="1">
      <protection hidden="1"/>
    </xf>
    <xf numFmtId="0" fontId="4" fillId="3" borderId="36" xfId="0" applyFont="1" applyFill="1" applyBorder="1" applyAlignment="1">
      <alignment horizontal="center"/>
    </xf>
    <xf numFmtId="0" fontId="4" fillId="3" borderId="37" xfId="0" applyFont="1" applyFill="1" applyBorder="1" applyAlignment="1">
      <alignment horizontal="center"/>
    </xf>
    <xf numFmtId="0" fontId="4" fillId="3" borderId="25" xfId="0" applyFont="1" applyFill="1" applyBorder="1" applyAlignment="1">
      <alignment horizontal="center"/>
    </xf>
    <xf numFmtId="3" fontId="0" fillId="0" borderId="17" xfId="0" applyNumberFormat="1" applyBorder="1"/>
    <xf numFmtId="2" fontId="0" fillId="3" borderId="26" xfId="0" applyNumberFormat="1" applyFill="1" applyBorder="1"/>
    <xf numFmtId="2" fontId="0" fillId="3" borderId="2" xfId="0" applyNumberFormat="1" applyFill="1" applyBorder="1"/>
    <xf numFmtId="3" fontId="5" fillId="3" borderId="9" xfId="0" applyNumberFormat="1" applyFont="1" applyFill="1" applyBorder="1" applyAlignment="1">
      <alignment horizontal="right" vertical="top" wrapText="1"/>
    </xf>
    <xf numFmtId="3" fontId="0" fillId="3" borderId="36" xfId="0" applyNumberFormat="1" applyFill="1" applyBorder="1"/>
    <xf numFmtId="3" fontId="0" fillId="3" borderId="7" xfId="0" applyNumberFormat="1" applyFill="1" applyBorder="1"/>
    <xf numFmtId="3" fontId="0" fillId="3" borderId="53" xfId="0" applyNumberFormat="1" applyFill="1" applyBorder="1"/>
    <xf numFmtId="3" fontId="0" fillId="3" borderId="54" xfId="0" applyNumberFormat="1" applyFill="1" applyBorder="1"/>
    <xf numFmtId="3" fontId="0" fillId="3" borderId="36" xfId="0" applyNumberFormat="1" applyFill="1" applyBorder="1" applyAlignment="1">
      <alignment horizontal="right"/>
    </xf>
    <xf numFmtId="0" fontId="5" fillId="3" borderId="25" xfId="0" applyFont="1" applyFill="1" applyBorder="1" applyAlignment="1">
      <alignment horizontal="right" vertical="top" wrapText="1"/>
    </xf>
    <xf numFmtId="3" fontId="0" fillId="3" borderId="10" xfId="0" applyNumberFormat="1" applyFill="1" applyBorder="1"/>
    <xf numFmtId="3" fontId="0" fillId="3" borderId="41" xfId="0" applyNumberFormat="1" applyFill="1" applyBorder="1"/>
    <xf numFmtId="3" fontId="0" fillId="3" borderId="26" xfId="0" applyNumberFormat="1" applyFill="1" applyBorder="1" applyAlignment="1">
      <alignment horizontal="right"/>
    </xf>
    <xf numFmtId="3" fontId="0" fillId="3" borderId="2" xfId="0" applyNumberFormat="1" applyFill="1" applyBorder="1" applyAlignment="1">
      <alignment horizontal="right"/>
    </xf>
    <xf numFmtId="3" fontId="0" fillId="3" borderId="42" xfId="0" applyNumberFormat="1" applyFill="1" applyBorder="1"/>
    <xf numFmtId="3" fontId="0" fillId="3" borderId="33" xfId="0" applyNumberFormat="1" applyFill="1" applyBorder="1" applyAlignment="1">
      <alignment horizontal="right"/>
    </xf>
    <xf numFmtId="3" fontId="0" fillId="3" borderId="44" xfId="0" applyNumberFormat="1" applyFill="1" applyBorder="1" applyAlignment="1">
      <alignment horizontal="right"/>
    </xf>
    <xf numFmtId="3" fontId="0" fillId="3" borderId="45" xfId="0" applyNumberFormat="1" applyFill="1" applyBorder="1"/>
    <xf numFmtId="3" fontId="0" fillId="3" borderId="43" xfId="0" applyNumberFormat="1" applyFill="1" applyBorder="1"/>
    <xf numFmtId="3" fontId="0" fillId="3" borderId="46" xfId="0" applyNumberFormat="1" applyFill="1" applyBorder="1" applyAlignment="1">
      <alignment horizontal="right"/>
    </xf>
    <xf numFmtId="3" fontId="0" fillId="3" borderId="4" xfId="0" applyNumberFormat="1" applyFill="1" applyBorder="1" applyAlignment="1">
      <alignment horizontal="right"/>
    </xf>
    <xf numFmtId="3" fontId="0" fillId="3" borderId="50" xfId="0" applyNumberFormat="1" applyFill="1" applyBorder="1"/>
    <xf numFmtId="3" fontId="0" fillId="3" borderId="37" xfId="0" applyNumberFormat="1" applyFill="1" applyBorder="1" applyAlignment="1">
      <alignment horizontal="right"/>
    </xf>
    <xf numFmtId="3" fontId="0" fillId="3" borderId="25" xfId="0" applyNumberFormat="1" applyFill="1" applyBorder="1" applyAlignment="1">
      <alignment horizontal="right"/>
    </xf>
    <xf numFmtId="3" fontId="0" fillId="3" borderId="5" xfId="0" applyNumberFormat="1" applyFill="1" applyBorder="1" applyAlignment="1">
      <alignment horizontal="right"/>
    </xf>
    <xf numFmtId="3" fontId="0" fillId="3" borderId="6" xfId="0" applyNumberFormat="1" applyFill="1" applyBorder="1" applyAlignment="1">
      <alignment horizontal="right"/>
    </xf>
    <xf numFmtId="3" fontId="0" fillId="3" borderId="8" xfId="0" applyNumberFormat="1" applyFill="1" applyBorder="1" applyAlignment="1">
      <alignment horizontal="right"/>
    </xf>
    <xf numFmtId="3" fontId="0" fillId="3" borderId="9" xfId="0" applyNumberFormat="1" applyFill="1" applyBorder="1" applyAlignment="1">
      <alignment horizontal="right"/>
    </xf>
    <xf numFmtId="3" fontId="0" fillId="3" borderId="4" xfId="0" applyNumberFormat="1" applyFill="1" applyBorder="1"/>
    <xf numFmtId="3" fontId="0" fillId="3" borderId="7" xfId="3" applyNumberFormat="1" applyFont="1" applyFill="1" applyBorder="1" applyAlignment="1">
      <alignment horizontal="right"/>
    </xf>
    <xf numFmtId="3" fontId="5" fillId="3" borderId="26" xfId="3" applyNumberFormat="1" applyFont="1" applyFill="1" applyBorder="1" applyAlignment="1">
      <alignment horizontal="right" vertical="top" wrapText="1"/>
    </xf>
    <xf numFmtId="3" fontId="5" fillId="3" borderId="2" xfId="3" applyNumberFormat="1" applyFont="1" applyFill="1" applyBorder="1" applyAlignment="1">
      <alignment horizontal="right" vertical="top" wrapText="1"/>
    </xf>
    <xf numFmtId="0" fontId="12" fillId="5" borderId="0" xfId="0" applyFont="1" applyFill="1" applyAlignment="1">
      <alignment horizontal="center"/>
    </xf>
    <xf numFmtId="0" fontId="0" fillId="0" borderId="0" xfId="0" applyAlignment="1">
      <alignment horizontal="right"/>
    </xf>
    <xf numFmtId="0" fontId="8" fillId="3" borderId="14" xfId="0" applyFont="1" applyFill="1" applyBorder="1" applyAlignment="1">
      <alignment vertical="top" wrapText="1"/>
    </xf>
    <xf numFmtId="0" fontId="8" fillId="3" borderId="12" xfId="0" applyFont="1" applyFill="1" applyBorder="1" applyAlignment="1">
      <alignment vertical="top" wrapText="1"/>
    </xf>
    <xf numFmtId="0" fontId="8" fillId="3" borderId="35" xfId="0" applyFont="1" applyFill="1" applyBorder="1" applyAlignment="1">
      <alignment vertical="top" wrapText="1"/>
    </xf>
    <xf numFmtId="0" fontId="8" fillId="3" borderId="11" xfId="0" applyFont="1" applyFill="1" applyBorder="1" applyAlignment="1">
      <alignment vertical="top" wrapText="1"/>
    </xf>
    <xf numFmtId="0" fontId="8" fillId="3" borderId="13" xfId="0" applyFont="1" applyFill="1" applyBorder="1" applyAlignment="1">
      <alignment vertical="top" wrapText="1"/>
    </xf>
    <xf numFmtId="0" fontId="8" fillId="3" borderId="14" xfId="0" applyFont="1" applyFill="1" applyBorder="1" applyAlignment="1">
      <alignment wrapText="1"/>
    </xf>
    <xf numFmtId="0" fontId="8" fillId="3" borderId="11" xfId="0" applyFont="1" applyFill="1" applyBorder="1"/>
    <xf numFmtId="0" fontId="8" fillId="3" borderId="12" xfId="0" quotePrefix="1" applyFont="1" applyFill="1" applyBorder="1" applyAlignment="1">
      <alignment horizontal="left"/>
    </xf>
    <xf numFmtId="0" fontId="8" fillId="3" borderId="13" xfId="0" quotePrefix="1" applyFont="1" applyFill="1" applyBorder="1"/>
    <xf numFmtId="0" fontId="8" fillId="3" borderId="15" xfId="0" applyFont="1" applyFill="1" applyBorder="1"/>
    <xf numFmtId="0" fontId="8" fillId="3" borderId="14" xfId="0" applyFont="1" applyFill="1" applyBorder="1"/>
    <xf numFmtId="0" fontId="8" fillId="3" borderId="12" xfId="0" quotePrefix="1" applyFont="1" applyFill="1" applyBorder="1" applyAlignment="1">
      <alignment wrapText="1"/>
    </xf>
    <xf numFmtId="0" fontId="8" fillId="3" borderId="12" xfId="0" applyFont="1" applyFill="1" applyBorder="1" applyAlignment="1">
      <alignment horizontal="left"/>
    </xf>
    <xf numFmtId="0" fontId="8" fillId="3" borderId="12" xfId="0" applyFont="1" applyFill="1" applyBorder="1"/>
    <xf numFmtId="0" fontId="8" fillId="3" borderId="13" xfId="0" applyFont="1" applyFill="1" applyBorder="1"/>
    <xf numFmtId="0" fontId="8" fillId="3" borderId="35" xfId="0" applyFont="1" applyFill="1" applyBorder="1"/>
    <xf numFmtId="4" fontId="0" fillId="0" borderId="0" xfId="0" applyNumberFormat="1"/>
    <xf numFmtId="3" fontId="8" fillId="0" borderId="26" xfId="0" applyNumberFormat="1" applyFont="1" applyBorder="1" applyAlignment="1">
      <alignment horizontal="right" vertical="top" wrapText="1"/>
    </xf>
    <xf numFmtId="3" fontId="8" fillId="0" borderId="2" xfId="0" applyNumberFormat="1" applyFont="1" applyBorder="1" applyAlignment="1">
      <alignment horizontal="right" vertical="top" wrapText="1"/>
    </xf>
    <xf numFmtId="0" fontId="8" fillId="0" borderId="2" xfId="0" applyFont="1" applyBorder="1" applyAlignment="1">
      <alignment horizontal="right" vertical="top" wrapText="1"/>
    </xf>
    <xf numFmtId="3" fontId="8" fillId="0" borderId="26" xfId="0" applyNumberFormat="1" applyFont="1" applyBorder="1" applyAlignment="1">
      <alignment horizontal="right" wrapText="1"/>
    </xf>
    <xf numFmtId="3" fontId="8" fillId="0" borderId="5" xfId="0" applyNumberFormat="1" applyFont="1" applyBorder="1" applyAlignment="1">
      <alignment horizontal="right" wrapText="1"/>
    </xf>
    <xf numFmtId="3" fontId="8" fillId="0" borderId="6" xfId="0" applyNumberFormat="1" applyFont="1" applyBorder="1" applyAlignment="1">
      <alignment horizontal="right" wrapText="1"/>
    </xf>
    <xf numFmtId="0" fontId="0" fillId="0" borderId="16" xfId="0" applyBorder="1"/>
    <xf numFmtId="0" fontId="0" fillId="0" borderId="17" xfId="0" applyBorder="1"/>
    <xf numFmtId="0" fontId="0" fillId="0" borderId="18" xfId="0" applyBorder="1"/>
    <xf numFmtId="3" fontId="0" fillId="0" borderId="19" xfId="0" applyNumberFormat="1" applyBorder="1"/>
    <xf numFmtId="0" fontId="0" fillId="0" borderId="19" xfId="0" applyBorder="1"/>
    <xf numFmtId="0" fontId="0" fillId="0" borderId="20" xfId="0" applyBorder="1"/>
    <xf numFmtId="0" fontId="6" fillId="0" borderId="0" xfId="0" applyFont="1" applyAlignment="1">
      <alignment horizontal="center"/>
    </xf>
    <xf numFmtId="0" fontId="10" fillId="0" borderId="15" xfId="0" applyFont="1" applyBorder="1" applyAlignment="1">
      <alignment horizontal="center" vertical="top" wrapText="1"/>
    </xf>
    <xf numFmtId="49" fontId="10" fillId="0" borderId="28" xfId="0" applyNumberFormat="1" applyFont="1" applyBorder="1" applyAlignment="1">
      <alignment horizontal="center" vertical="top" wrapText="1"/>
    </xf>
    <xf numFmtId="49" fontId="10" fillId="0" borderId="29" xfId="0" applyNumberFormat="1" applyFont="1" applyBorder="1" applyAlignment="1">
      <alignment horizontal="center" vertical="top" wrapText="1"/>
    </xf>
    <xf numFmtId="49" fontId="10" fillId="0" borderId="30" xfId="0" applyNumberFormat="1" applyFont="1" applyBorder="1" applyAlignment="1">
      <alignment horizontal="center" vertical="top" wrapText="1"/>
    </xf>
    <xf numFmtId="3" fontId="8" fillId="0" borderId="36" xfId="0" applyNumberFormat="1" applyFont="1" applyBorder="1" applyAlignment="1">
      <alignment horizontal="right"/>
    </xf>
    <xf numFmtId="3" fontId="8" fillId="0" borderId="37" xfId="0" applyNumberFormat="1" applyFont="1" applyBorder="1" applyAlignment="1">
      <alignment horizontal="right"/>
    </xf>
    <xf numFmtId="3" fontId="8" fillId="0" borderId="40" xfId="0" applyNumberFormat="1" applyFont="1" applyBorder="1" applyAlignment="1">
      <alignment horizontal="right"/>
    </xf>
    <xf numFmtId="3" fontId="8" fillId="0" borderId="11" xfId="0" applyNumberFormat="1" applyFont="1" applyBorder="1" applyAlignment="1">
      <alignment horizontal="right" vertical="top" wrapText="1"/>
    </xf>
    <xf numFmtId="3" fontId="8" fillId="0" borderId="1" xfId="0" applyNumberFormat="1" applyFont="1" applyBorder="1" applyAlignment="1">
      <alignment horizontal="right"/>
    </xf>
    <xf numFmtId="3" fontId="8" fillId="0" borderId="26" xfId="0" applyNumberFormat="1" applyFont="1" applyBorder="1" applyAlignment="1">
      <alignment horizontal="right"/>
    </xf>
    <xf numFmtId="3" fontId="8" fillId="0" borderId="27" xfId="0" applyNumberFormat="1" applyFont="1" applyBorder="1" applyAlignment="1">
      <alignment horizontal="right"/>
    </xf>
    <xf numFmtId="3" fontId="8" fillId="0" borderId="12" xfId="0" applyNumberFormat="1" applyFont="1" applyBorder="1" applyAlignment="1">
      <alignment horizontal="right" vertical="top" wrapText="1"/>
    </xf>
    <xf numFmtId="3" fontId="8" fillId="0" borderId="1" xfId="0" applyNumberFormat="1" applyFont="1" applyBorder="1" applyAlignment="1">
      <alignment horizontal="right" vertical="top" wrapText="1"/>
    </xf>
    <xf numFmtId="3" fontId="8" fillId="0" borderId="27" xfId="0" applyNumberFormat="1" applyFont="1" applyBorder="1" applyAlignment="1">
      <alignment horizontal="right" vertical="top" wrapText="1"/>
    </xf>
    <xf numFmtId="3" fontId="0" fillId="0" borderId="20" xfId="0" applyNumberFormat="1" applyBorder="1"/>
    <xf numFmtId="0" fontId="8" fillId="0" borderId="26" xfId="0" applyFont="1" applyBorder="1" applyAlignment="1">
      <alignment horizontal="right" vertical="top" wrapText="1"/>
    </xf>
    <xf numFmtId="3" fontId="8" fillId="0" borderId="32" xfId="0" applyNumberFormat="1" applyFont="1" applyBorder="1" applyAlignment="1">
      <alignment horizontal="right" vertical="top" wrapText="1"/>
    </xf>
    <xf numFmtId="3" fontId="8" fillId="0" borderId="34" xfId="0" applyNumberFormat="1" applyFont="1" applyBorder="1" applyAlignment="1">
      <alignment horizontal="right" vertical="top" wrapText="1"/>
    </xf>
    <xf numFmtId="3" fontId="8" fillId="0" borderId="35" xfId="0" applyNumberFormat="1" applyFont="1" applyBorder="1" applyAlignment="1">
      <alignment horizontal="right" vertical="top" wrapText="1"/>
    </xf>
    <xf numFmtId="3" fontId="8" fillId="0" borderId="33" xfId="0" applyNumberFormat="1" applyFont="1" applyBorder="1" applyAlignment="1">
      <alignment horizontal="right" vertical="top" wrapText="1"/>
    </xf>
    <xf numFmtId="3" fontId="8" fillId="0" borderId="36" xfId="0" applyNumberFormat="1" applyFont="1" applyBorder="1" applyAlignment="1">
      <alignment horizontal="right" vertical="top" wrapText="1"/>
    </xf>
    <xf numFmtId="3" fontId="8" fillId="0" borderId="40" xfId="0" applyNumberFormat="1" applyFont="1" applyBorder="1" applyAlignment="1">
      <alignment horizontal="right" vertical="top" wrapText="1"/>
    </xf>
    <xf numFmtId="0" fontId="0" fillId="0" borderId="23" xfId="0" applyBorder="1"/>
    <xf numFmtId="0" fontId="8" fillId="0" borderId="12" xfId="0" applyFont="1" applyBorder="1" applyAlignment="1">
      <alignment horizontal="right"/>
    </xf>
    <xf numFmtId="3" fontId="8" fillId="0" borderId="17" xfId="0" applyNumberFormat="1" applyFont="1" applyBorder="1" applyAlignment="1">
      <alignment horizontal="right" wrapText="1"/>
    </xf>
    <xf numFmtId="3" fontId="8" fillId="0" borderId="3" xfId="0" applyNumberFormat="1" applyFont="1" applyBorder="1" applyAlignment="1">
      <alignment horizontal="right" vertical="top" wrapText="1"/>
    </xf>
    <xf numFmtId="3" fontId="8" fillId="0" borderId="39" xfId="0" applyNumberFormat="1" applyFont="1" applyBorder="1" applyAlignment="1">
      <alignment horizontal="right" vertical="top" wrapText="1"/>
    </xf>
    <xf numFmtId="0" fontId="8" fillId="0" borderId="13" xfId="0" applyFont="1" applyBorder="1" applyAlignment="1">
      <alignment horizontal="right"/>
    </xf>
    <xf numFmtId="3" fontId="8" fillId="0" borderId="7" xfId="0" applyNumberFormat="1" applyFont="1" applyBorder="1" applyAlignment="1">
      <alignment horizontal="right" vertical="top" wrapText="1"/>
    </xf>
    <xf numFmtId="3" fontId="8" fillId="0" borderId="8" xfId="0" applyNumberFormat="1" applyFont="1" applyBorder="1" applyAlignment="1">
      <alignment horizontal="right" vertical="top" wrapText="1"/>
    </xf>
    <xf numFmtId="3" fontId="8" fillId="0" borderId="38" xfId="0" applyNumberFormat="1" applyFont="1" applyBorder="1" applyAlignment="1">
      <alignment horizontal="right" vertical="top" wrapText="1"/>
    </xf>
    <xf numFmtId="0" fontId="8" fillId="0" borderId="14" xfId="0" applyFont="1" applyBorder="1" applyAlignment="1">
      <alignment horizontal="right"/>
    </xf>
    <xf numFmtId="3" fontId="8" fillId="0" borderId="24" xfId="0" applyNumberFormat="1" applyFont="1" applyBorder="1" applyAlignment="1">
      <alignment horizontal="right" wrapText="1"/>
    </xf>
    <xf numFmtId="9" fontId="8" fillId="0" borderId="7" xfId="3" applyFont="1" applyFill="1" applyBorder="1" applyAlignment="1">
      <alignment horizontal="right" vertical="top" wrapText="1"/>
    </xf>
    <xf numFmtId="9" fontId="8" fillId="0" borderId="32" xfId="3" applyFont="1" applyFill="1" applyBorder="1" applyAlignment="1">
      <alignment horizontal="right" vertical="top" wrapText="1"/>
    </xf>
    <xf numFmtId="0" fontId="8" fillId="0" borderId="33" xfId="0" applyFont="1" applyBorder="1" applyAlignment="1">
      <alignment horizontal="right" vertical="top" wrapText="1"/>
    </xf>
    <xf numFmtId="0" fontId="8" fillId="0" borderId="34" xfId="0" applyFont="1" applyBorder="1" applyAlignment="1">
      <alignment horizontal="right" vertical="top" wrapText="1"/>
    </xf>
    <xf numFmtId="0" fontId="8" fillId="0" borderId="35" xfId="0" applyFont="1" applyBorder="1" applyAlignment="1">
      <alignment horizontal="right"/>
    </xf>
    <xf numFmtId="0" fontId="8" fillId="0" borderId="37" xfId="0" applyFont="1" applyBorder="1" applyAlignment="1">
      <alignment horizontal="right" vertical="top" wrapText="1"/>
    </xf>
    <xf numFmtId="0" fontId="8" fillId="0" borderId="40" xfId="0" applyFont="1" applyBorder="1" applyAlignment="1">
      <alignment horizontal="right" vertical="top" wrapText="1"/>
    </xf>
    <xf numFmtId="0" fontId="8" fillId="0" borderId="11" xfId="0" applyFont="1" applyBorder="1" applyAlignment="1">
      <alignment horizontal="right"/>
    </xf>
    <xf numFmtId="0" fontId="8" fillId="0" borderId="26" xfId="0" applyFont="1" applyBorder="1" applyAlignment="1">
      <alignment horizontal="right"/>
    </xf>
    <xf numFmtId="0" fontId="8" fillId="0" borderId="27" xfId="0" applyFont="1" applyBorder="1" applyAlignment="1">
      <alignment horizontal="right"/>
    </xf>
    <xf numFmtId="0" fontId="8" fillId="0" borderId="27" xfId="0" applyFont="1" applyBorder="1" applyAlignment="1">
      <alignment horizontal="right" vertical="top" wrapText="1"/>
    </xf>
    <xf numFmtId="3" fontId="8" fillId="0" borderId="3" xfId="0" applyNumberFormat="1" applyFont="1" applyBorder="1" applyAlignment="1">
      <alignment horizontal="right"/>
    </xf>
    <xf numFmtId="3" fontId="8" fillId="0" borderId="5" xfId="0" applyNumberFormat="1" applyFont="1" applyBorder="1" applyAlignment="1">
      <alignment horizontal="right"/>
    </xf>
    <xf numFmtId="3" fontId="8" fillId="0" borderId="39" xfId="0" applyNumberFormat="1" applyFont="1" applyBorder="1" applyAlignment="1">
      <alignment horizontal="right"/>
    </xf>
    <xf numFmtId="0" fontId="8" fillId="0" borderId="10" xfId="0" applyFont="1" applyBorder="1" applyAlignment="1">
      <alignment horizontal="right"/>
    </xf>
    <xf numFmtId="0" fontId="8" fillId="0" borderId="46" xfId="0" applyFont="1" applyBorder="1" applyAlignment="1">
      <alignment horizontal="right"/>
    </xf>
    <xf numFmtId="0" fontId="8" fillId="0" borderId="52" xfId="0" applyFont="1" applyBorder="1" applyAlignment="1">
      <alignment horizontal="right"/>
    </xf>
    <xf numFmtId="3" fontId="8" fillId="0" borderId="15" xfId="0" applyNumberFormat="1" applyFont="1" applyBorder="1" applyAlignment="1">
      <alignment horizontal="right" vertical="top" wrapText="1"/>
    </xf>
    <xf numFmtId="3" fontId="8" fillId="0" borderId="37" xfId="0" applyNumberFormat="1" applyFont="1" applyBorder="1" applyAlignment="1">
      <alignment horizontal="right" vertical="top" wrapText="1"/>
    </xf>
    <xf numFmtId="3" fontId="8" fillId="0" borderId="25" xfId="0" applyNumberFormat="1" applyFont="1" applyBorder="1" applyAlignment="1">
      <alignment horizontal="right" vertical="top" wrapText="1"/>
    </xf>
    <xf numFmtId="0" fontId="8" fillId="0" borderId="41" xfId="0" applyFont="1" applyBorder="1" applyAlignment="1">
      <alignment horizontal="right"/>
    </xf>
    <xf numFmtId="0" fontId="8" fillId="0" borderId="42" xfId="0" applyFont="1" applyBorder="1" applyAlignment="1">
      <alignment horizontal="right"/>
    </xf>
    <xf numFmtId="0" fontId="0" fillId="0" borderId="21" xfId="0" applyBorder="1"/>
    <xf numFmtId="3" fontId="8" fillId="0" borderId="2" xfId="0" applyNumberFormat="1" applyFont="1" applyBorder="1" applyAlignment="1">
      <alignment horizontal="right"/>
    </xf>
    <xf numFmtId="3" fontId="8" fillId="0" borderId="3" xfId="0" applyNumberFormat="1" applyFont="1" applyBorder="1" applyAlignment="1">
      <alignment horizontal="right" wrapText="1"/>
    </xf>
    <xf numFmtId="3" fontId="8" fillId="0" borderId="43" xfId="0" applyNumberFormat="1" applyFont="1" applyBorder="1" applyAlignment="1">
      <alignment horizontal="right" vertical="top" wrapText="1"/>
    </xf>
    <xf numFmtId="2" fontId="0" fillId="0" borderId="0" xfId="0" applyNumberFormat="1"/>
    <xf numFmtId="3" fontId="8" fillId="0" borderId="39" xfId="0" applyNumberFormat="1" applyFont="1" applyBorder="1" applyAlignment="1">
      <alignment horizontal="right" wrapText="1"/>
    </xf>
    <xf numFmtId="3" fontId="8" fillId="0" borderId="13" xfId="0" applyNumberFormat="1" applyFont="1" applyBorder="1" applyAlignment="1">
      <alignment horizontal="right"/>
    </xf>
    <xf numFmtId="3" fontId="8" fillId="0" borderId="36" xfId="0" applyNumberFormat="1" applyFont="1" applyBorder="1" applyAlignment="1">
      <alignment horizontal="right" wrapText="1"/>
    </xf>
    <xf numFmtId="3" fontId="8" fillId="0" borderId="37" xfId="0" applyNumberFormat="1" applyFont="1" applyBorder="1" applyAlignment="1">
      <alignment horizontal="right" wrapText="1"/>
    </xf>
    <xf numFmtId="3" fontId="8" fillId="0" borderId="40" xfId="0" applyNumberFormat="1" applyFont="1" applyBorder="1" applyAlignment="1">
      <alignment horizontal="right" wrapText="1"/>
    </xf>
    <xf numFmtId="3" fontId="8" fillId="0" borderId="12" xfId="0" applyNumberFormat="1" applyFont="1" applyBorder="1" applyAlignment="1">
      <alignment horizontal="right"/>
    </xf>
    <xf numFmtId="3" fontId="8" fillId="0" borderId="13" xfId="0" applyNumberFormat="1" applyFont="1" applyBorder="1" applyAlignment="1">
      <alignment horizontal="right" vertical="top" wrapText="1"/>
    </xf>
    <xf numFmtId="0" fontId="8" fillId="0" borderId="10" xfId="0" applyFont="1" applyBorder="1" applyAlignment="1">
      <alignment horizontal="right" vertical="top" wrapText="1"/>
    </xf>
    <xf numFmtId="0" fontId="8" fillId="0" borderId="46" xfId="0" applyFont="1" applyBorder="1" applyAlignment="1">
      <alignment horizontal="right" vertical="top" wrapText="1"/>
    </xf>
    <xf numFmtId="0" fontId="8" fillId="0" borderId="52" xfId="0" applyFont="1" applyBorder="1" applyAlignment="1">
      <alignment horizontal="right" vertical="top" wrapText="1"/>
    </xf>
    <xf numFmtId="9" fontId="8" fillId="0" borderId="1" xfId="3" applyFont="1" applyFill="1" applyBorder="1" applyAlignment="1">
      <alignment horizontal="right" vertical="top" wrapText="1"/>
    </xf>
    <xf numFmtId="9" fontId="8" fillId="0" borderId="8" xfId="3" applyFont="1" applyFill="1" applyBorder="1" applyAlignment="1">
      <alignment horizontal="right" vertical="top" wrapText="1"/>
    </xf>
    <xf numFmtId="9" fontId="8" fillId="0" borderId="33" xfId="3" applyFont="1" applyFill="1" applyBorder="1" applyAlignment="1">
      <alignment horizontal="right" vertical="top" wrapText="1"/>
    </xf>
    <xf numFmtId="3" fontId="8" fillId="0" borderId="9" xfId="0" applyNumberFormat="1" applyFont="1" applyBorder="1" applyAlignment="1">
      <alignment horizontal="right" vertical="top" wrapText="1"/>
    </xf>
    <xf numFmtId="9" fontId="8" fillId="0" borderId="26" xfId="3" applyFont="1" applyFill="1" applyBorder="1" applyAlignment="1">
      <alignment horizontal="right" vertical="top" wrapText="1"/>
    </xf>
    <xf numFmtId="0" fontId="0" fillId="3" borderId="0" xfId="0" applyFill="1" applyAlignment="1">
      <alignment horizontal="center"/>
    </xf>
    <xf numFmtId="166" fontId="0" fillId="3" borderId="0" xfId="1" applyNumberFormat="1" applyFont="1" applyFill="1"/>
    <xf numFmtId="166" fontId="0" fillId="3" borderId="0" xfId="0" applyNumberFormat="1" applyFill="1"/>
    <xf numFmtId="0" fontId="15" fillId="0" borderId="0" xfId="0" applyFont="1" applyAlignment="1">
      <alignment horizontal="left" vertical="center" readingOrder="1"/>
    </xf>
    <xf numFmtId="3" fontId="8" fillId="0" borderId="0" xfId="0" applyNumberFormat="1" applyFont="1" applyAlignment="1">
      <alignment horizontal="right" wrapText="1"/>
    </xf>
    <xf numFmtId="0" fontId="8" fillId="0" borderId="0" xfId="0" applyFont="1" applyAlignment="1">
      <alignment horizontal="right" wrapText="1"/>
    </xf>
    <xf numFmtId="4" fontId="8" fillId="0" borderId="2" xfId="0" applyNumberFormat="1" applyFont="1" applyBorder="1" applyAlignment="1">
      <alignment horizontal="right" vertical="top" wrapText="1"/>
    </xf>
    <xf numFmtId="4" fontId="8" fillId="0" borderId="26" xfId="0" applyNumberFormat="1" applyFont="1" applyBorder="1" applyAlignment="1">
      <alignment horizontal="right" vertical="top" wrapText="1"/>
    </xf>
    <xf numFmtId="3" fontId="0" fillId="0" borderId="16" xfId="0" applyNumberFormat="1" applyBorder="1"/>
    <xf numFmtId="0" fontId="10" fillId="0" borderId="26" xfId="0" applyFont="1" applyBorder="1" applyAlignment="1">
      <alignment horizontal="center" vertical="top" wrapText="1"/>
    </xf>
    <xf numFmtId="1" fontId="10" fillId="0" borderId="26" xfId="0" applyNumberFormat="1" applyFont="1" applyBorder="1" applyAlignment="1">
      <alignment horizontal="center" vertical="top" wrapText="1"/>
    </xf>
    <xf numFmtId="2" fontId="8" fillId="0" borderId="26" xfId="0" applyNumberFormat="1" applyFont="1" applyBorder="1" applyAlignment="1">
      <alignment horizontal="right"/>
    </xf>
    <xf numFmtId="3" fontId="3" fillId="3" borderId="54" xfId="3" applyNumberFormat="1" applyFont="1" applyFill="1" applyBorder="1"/>
    <xf numFmtId="0" fontId="16" fillId="3" borderId="0" xfId="0" applyFont="1" applyFill="1" applyProtection="1">
      <protection hidden="1"/>
    </xf>
    <xf numFmtId="0" fontId="0" fillId="0" borderId="26" xfId="0" applyBorder="1"/>
    <xf numFmtId="0" fontId="8" fillId="0" borderId="14" xfId="0" applyFont="1" applyBorder="1" applyAlignment="1">
      <alignment vertical="top" wrapText="1"/>
    </xf>
    <xf numFmtId="0" fontId="8" fillId="0" borderId="12" xfId="0" applyFont="1" applyBorder="1" applyAlignment="1">
      <alignment vertical="top" wrapText="1"/>
    </xf>
    <xf numFmtId="0" fontId="8" fillId="0" borderId="35" xfId="0" applyFont="1" applyBorder="1" applyAlignment="1">
      <alignment vertical="top" wrapText="1"/>
    </xf>
    <xf numFmtId="0" fontId="8" fillId="0" borderId="11" xfId="0" applyFont="1" applyBorder="1" applyAlignment="1">
      <alignment vertical="top" wrapText="1"/>
    </xf>
    <xf numFmtId="0" fontId="8" fillId="0" borderId="13" xfId="0" applyFont="1" applyBorder="1" applyAlignment="1">
      <alignment vertical="top" wrapText="1"/>
    </xf>
    <xf numFmtId="0" fontId="8" fillId="0" borderId="14" xfId="0" applyFont="1" applyBorder="1" applyAlignment="1">
      <alignment wrapText="1"/>
    </xf>
    <xf numFmtId="0" fontId="8" fillId="0" borderId="12" xfId="0" applyFont="1" applyBorder="1" applyAlignment="1">
      <alignment horizontal="left"/>
    </xf>
    <xf numFmtId="0" fontId="8" fillId="0" borderId="12" xfId="0" applyFont="1" applyBorder="1"/>
    <xf numFmtId="0" fontId="8" fillId="0" borderId="15" xfId="0" applyFont="1" applyBorder="1"/>
    <xf numFmtId="0" fontId="8" fillId="0" borderId="14" xfId="0" applyFont="1" applyBorder="1"/>
    <xf numFmtId="0" fontId="8" fillId="0" borderId="12" xfId="0" quotePrefix="1" applyFont="1" applyBorder="1" applyAlignment="1">
      <alignment wrapText="1"/>
    </xf>
    <xf numFmtId="0" fontId="8" fillId="0" borderId="12" xfId="0" quotePrefix="1" applyFont="1" applyBorder="1" applyAlignment="1">
      <alignment horizontal="left"/>
    </xf>
    <xf numFmtId="0" fontId="8" fillId="0" borderId="13" xfId="0" quotePrefix="1" applyFont="1" applyBorder="1"/>
    <xf numFmtId="0" fontId="8" fillId="0" borderId="11" xfId="0" applyFont="1" applyBorder="1"/>
    <xf numFmtId="0" fontId="8" fillId="0" borderId="13" xfId="0" applyFont="1" applyBorder="1"/>
    <xf numFmtId="0" fontId="8" fillId="0" borderId="35" xfId="0" applyFont="1" applyBorder="1"/>
    <xf numFmtId="0" fontId="8" fillId="0" borderId="26" xfId="0" applyFont="1" applyBorder="1" applyAlignment="1">
      <alignment vertical="top" wrapText="1"/>
    </xf>
    <xf numFmtId="0" fontId="8" fillId="0" borderId="26" xfId="0" applyFont="1" applyBorder="1" applyAlignment="1">
      <alignment wrapText="1"/>
    </xf>
    <xf numFmtId="0" fontId="8" fillId="0" borderId="26" xfId="0" applyFont="1" applyBorder="1" applyAlignment="1">
      <alignment horizontal="left"/>
    </xf>
    <xf numFmtId="0" fontId="8" fillId="0" borderId="26" xfId="0" applyFont="1" applyBorder="1"/>
    <xf numFmtId="0" fontId="8" fillId="0" borderId="26" xfId="0" quotePrefix="1" applyFont="1" applyBorder="1" applyAlignment="1">
      <alignment wrapText="1"/>
    </xf>
    <xf numFmtId="0" fontId="8" fillId="0" borderId="26" xfId="0" quotePrefix="1" applyFont="1" applyBorder="1" applyAlignment="1">
      <alignment horizontal="left"/>
    </xf>
    <xf numFmtId="0" fontId="8" fillId="0" borderId="26" xfId="0" quotePrefix="1" applyFont="1" applyBorder="1"/>
    <xf numFmtId="0" fontId="0" fillId="3" borderId="0" xfId="0" applyFill="1" applyAlignment="1">
      <alignment horizontal="left"/>
    </xf>
    <xf numFmtId="0" fontId="0" fillId="0" borderId="0" xfId="0" applyAlignment="1">
      <alignment horizontal="left"/>
    </xf>
    <xf numFmtId="0" fontId="0" fillId="2" borderId="0" xfId="0" applyFill="1" applyAlignment="1">
      <alignment horizontal="center"/>
    </xf>
    <xf numFmtId="0" fontId="0" fillId="3" borderId="3" xfId="0" applyFill="1" applyBorder="1" applyAlignment="1">
      <alignment horizontal="center"/>
    </xf>
    <xf numFmtId="0" fontId="0" fillId="3" borderId="5" xfId="0" applyFill="1" applyBorder="1" applyAlignment="1">
      <alignment horizontal="center"/>
    </xf>
    <xf numFmtId="0" fontId="0" fillId="3" borderId="6" xfId="0" applyFill="1" applyBorder="1" applyAlignment="1">
      <alignment horizontal="center"/>
    </xf>
    <xf numFmtId="0" fontId="0" fillId="3" borderId="7" xfId="0" applyFill="1" applyBorder="1"/>
    <xf numFmtId="0" fontId="0" fillId="3" borderId="8" xfId="0" applyFill="1" applyBorder="1"/>
    <xf numFmtId="0" fontId="0" fillId="3" borderId="9" xfId="0" applyFill="1" applyBorder="1"/>
    <xf numFmtId="0" fontId="0" fillId="3" borderId="5" xfId="0" applyFill="1" applyBorder="1"/>
    <xf numFmtId="0" fontId="0" fillId="3" borderId="6" xfId="0" applyFill="1" applyBorder="1"/>
    <xf numFmtId="0" fontId="4" fillId="3" borderId="0" xfId="0" applyFont="1" applyFill="1" applyAlignment="1">
      <alignment horizontal="center"/>
    </xf>
    <xf numFmtId="0" fontId="0" fillId="3" borderId="10" xfId="0" applyFill="1" applyBorder="1" applyAlignment="1">
      <alignment horizontal="center"/>
    </xf>
    <xf numFmtId="0" fontId="0" fillId="3" borderId="4" xfId="0" applyFill="1" applyBorder="1" applyAlignment="1">
      <alignment horizontal="center"/>
    </xf>
    <xf numFmtId="0" fontId="0" fillId="3" borderId="32" xfId="0" applyFill="1" applyBorder="1" applyAlignment="1">
      <alignment horizontal="center"/>
    </xf>
    <xf numFmtId="0" fontId="0" fillId="3" borderId="44" xfId="0" applyFill="1" applyBorder="1" applyAlignment="1">
      <alignment horizontal="center"/>
    </xf>
    <xf numFmtId="0" fontId="0" fillId="3" borderId="36" xfId="0" applyFill="1" applyBorder="1"/>
    <xf numFmtId="0" fontId="0" fillId="3" borderId="25" xfId="0" applyFill="1" applyBorder="1"/>
    <xf numFmtId="0" fontId="0" fillId="3" borderId="33" xfId="0" applyFill="1" applyBorder="1" applyAlignment="1">
      <alignment horizontal="center"/>
    </xf>
    <xf numFmtId="0" fontId="0" fillId="3" borderId="37" xfId="0" applyFill="1" applyBorder="1"/>
    <xf numFmtId="0" fontId="0" fillId="3" borderId="0" xfId="0" applyFill="1" applyAlignment="1">
      <alignment vertical="center"/>
    </xf>
    <xf numFmtId="0" fontId="0" fillId="3" borderId="0" xfId="0" applyFill="1" applyAlignment="1">
      <alignment horizontal="center" wrapText="1"/>
    </xf>
    <xf numFmtId="0" fontId="0" fillId="3" borderId="0" xfId="0" applyFill="1" applyAlignment="1">
      <alignment horizontal="center" vertical="center"/>
    </xf>
    <xf numFmtId="0" fontId="0" fillId="3" borderId="11" xfId="0" applyFill="1" applyBorder="1"/>
    <xf numFmtId="0" fontId="0" fillId="3" borderId="13" xfId="0" applyFill="1" applyBorder="1" applyAlignment="1">
      <alignment horizontal="center"/>
    </xf>
    <xf numFmtId="0" fontId="0" fillId="3" borderId="3" xfId="0" applyFill="1" applyBorder="1" applyAlignment="1">
      <alignment horizontal="center" wrapText="1"/>
    </xf>
    <xf numFmtId="0" fontId="0" fillId="3" borderId="6" xfId="0" applyFill="1" applyBorder="1" applyAlignment="1">
      <alignment horizontal="center" wrapText="1"/>
    </xf>
    <xf numFmtId="0" fontId="0" fillId="3" borderId="14" xfId="0" applyFill="1" applyBorder="1"/>
    <xf numFmtId="0" fontId="0" fillId="3" borderId="12" xfId="0" applyFill="1" applyBorder="1"/>
    <xf numFmtId="0" fontId="0" fillId="3" borderId="2" xfId="0" applyFill="1" applyBorder="1"/>
    <xf numFmtId="0" fontId="0" fillId="3" borderId="13" xfId="0" applyFill="1" applyBorder="1"/>
    <xf numFmtId="0" fontId="4" fillId="3" borderId="4" xfId="0" applyFont="1" applyFill="1" applyBorder="1" applyAlignment="1">
      <alignment horizontal="center"/>
    </xf>
    <xf numFmtId="3" fontId="0" fillId="3" borderId="9" xfId="0" applyNumberFormat="1" applyFill="1" applyBorder="1"/>
    <xf numFmtId="0" fontId="2" fillId="0" borderId="0" xfId="4"/>
    <xf numFmtId="3" fontId="2" fillId="0" borderId="0" xfId="4" applyNumberFormat="1"/>
    <xf numFmtId="0" fontId="0" fillId="0" borderId="2" xfId="0" applyBorder="1"/>
    <xf numFmtId="0" fontId="0" fillId="0" borderId="6" xfId="0" applyBorder="1"/>
    <xf numFmtId="167" fontId="0" fillId="0" borderId="0" xfId="0" applyNumberFormat="1"/>
    <xf numFmtId="3" fontId="8" fillId="0" borderId="26" xfId="0" applyNumberFormat="1" applyFont="1" applyBorder="1" applyAlignment="1">
      <alignment horizontal="left"/>
    </xf>
    <xf numFmtId="0" fontId="9" fillId="0" borderId="0" xfId="0" applyFont="1" applyAlignment="1">
      <alignment horizontal="center" vertical="center" wrapText="1"/>
    </xf>
    <xf numFmtId="0" fontId="0" fillId="0" borderId="0" xfId="0" applyAlignment="1">
      <alignment horizontal="left" vertical="center" wrapText="1"/>
    </xf>
    <xf numFmtId="0" fontId="0" fillId="0" borderId="0" xfId="0" applyAlignment="1">
      <alignment horizontal="right" vertical="center" wrapText="1"/>
    </xf>
    <xf numFmtId="0" fontId="17" fillId="0" borderId="0" xfId="0" applyFont="1" applyAlignment="1">
      <alignment horizontal="center" vertical="center" wrapText="1"/>
    </xf>
    <xf numFmtId="0" fontId="18" fillId="0" borderId="0" xfId="0" applyFont="1" applyAlignment="1">
      <alignment horizontal="right" vertical="center" wrapText="1"/>
    </xf>
    <xf numFmtId="17" fontId="2" fillId="0" borderId="0" xfId="4" applyNumberFormat="1"/>
    <xf numFmtId="3" fontId="0" fillId="0" borderId="24" xfId="0" applyNumberFormat="1" applyBorder="1" applyAlignment="1">
      <alignment horizontal="right"/>
    </xf>
    <xf numFmtId="3" fontId="0" fillId="0" borderId="17" xfId="0" applyNumberFormat="1" applyBorder="1" applyAlignment="1">
      <alignment horizontal="right"/>
    </xf>
    <xf numFmtId="3" fontId="0" fillId="0" borderId="20" xfId="0" applyNumberFormat="1" applyBorder="1" applyAlignment="1">
      <alignment horizontal="right"/>
    </xf>
    <xf numFmtId="3" fontId="0" fillId="0" borderId="22" xfId="0" applyNumberFormat="1" applyBorder="1" applyAlignment="1">
      <alignment horizontal="right"/>
    </xf>
    <xf numFmtId="3" fontId="0" fillId="0" borderId="0" xfId="0" applyNumberFormat="1" applyAlignment="1">
      <alignment horizontal="right"/>
    </xf>
    <xf numFmtId="3" fontId="0" fillId="0" borderId="19" xfId="0" applyNumberFormat="1" applyBorder="1" applyAlignment="1">
      <alignment horizontal="right"/>
    </xf>
    <xf numFmtId="3" fontId="8" fillId="0" borderId="17" xfId="0" applyNumberFormat="1" applyFont="1" applyBorder="1" applyAlignment="1">
      <alignment horizontal="right"/>
    </xf>
    <xf numFmtId="3" fontId="8" fillId="0" borderId="14" xfId="0" applyNumberFormat="1" applyFont="1" applyBorder="1" applyAlignment="1">
      <alignment horizontal="right"/>
    </xf>
    <xf numFmtId="3" fontId="8" fillId="0" borderId="41" xfId="0" applyNumberFormat="1" applyFont="1" applyBorder="1" applyAlignment="1">
      <alignment horizontal="right"/>
    </xf>
    <xf numFmtId="3" fontId="8" fillId="0" borderId="24" xfId="0" applyNumberFormat="1" applyFont="1" applyBorder="1" applyAlignment="1">
      <alignment horizontal="right"/>
    </xf>
    <xf numFmtId="3" fontId="8" fillId="0" borderId="42" xfId="0" applyNumberFormat="1" applyFont="1" applyBorder="1" applyAlignment="1">
      <alignment horizontal="right"/>
    </xf>
    <xf numFmtId="3" fontId="8" fillId="0" borderId="35" xfId="0" applyNumberFormat="1" applyFont="1" applyBorder="1" applyAlignment="1">
      <alignment horizontal="right"/>
    </xf>
    <xf numFmtId="3" fontId="8" fillId="0" borderId="11" xfId="0" applyNumberFormat="1" applyFont="1" applyBorder="1" applyAlignment="1">
      <alignment horizontal="right"/>
    </xf>
    <xf numFmtId="0" fontId="8" fillId="0" borderId="35" xfId="0" applyFont="1" applyBorder="1" applyAlignment="1">
      <alignment horizontal="left"/>
    </xf>
    <xf numFmtId="3" fontId="0" fillId="0" borderId="0" xfId="0" applyNumberFormat="1" applyAlignment="1">
      <alignment horizontal="right" vertical="center" wrapText="1"/>
    </xf>
    <xf numFmtId="3" fontId="9" fillId="0" borderId="0" xfId="0" applyNumberFormat="1" applyFont="1" applyAlignment="1">
      <alignment horizontal="center" vertical="center" wrapText="1"/>
    </xf>
    <xf numFmtId="3" fontId="11" fillId="3" borderId="17" xfId="0" applyNumberFormat="1" applyFont="1" applyFill="1" applyBorder="1" applyAlignment="1">
      <alignment horizontal="right"/>
    </xf>
    <xf numFmtId="3" fontId="0" fillId="3" borderId="20" xfId="0" applyNumberFormat="1" applyFill="1" applyBorder="1" applyAlignment="1">
      <alignment horizontal="right"/>
    </xf>
    <xf numFmtId="3" fontId="0" fillId="3" borderId="22" xfId="0" applyNumberFormat="1" applyFill="1" applyBorder="1" applyAlignment="1">
      <alignment horizontal="right"/>
    </xf>
    <xf numFmtId="3" fontId="11" fillId="3" borderId="20" xfId="0" applyNumberFormat="1" applyFont="1" applyFill="1" applyBorder="1" applyAlignment="1">
      <alignment horizontal="right"/>
    </xf>
    <xf numFmtId="3" fontId="0" fillId="3" borderId="0" xfId="0" applyNumberFormat="1" applyFill="1" applyAlignment="1">
      <alignment horizontal="right"/>
    </xf>
    <xf numFmtId="3" fontId="0" fillId="3" borderId="19" xfId="0" applyNumberFormat="1" applyFill="1" applyBorder="1" applyAlignment="1">
      <alignment horizontal="right"/>
    </xf>
    <xf numFmtId="3" fontId="8" fillId="3" borderId="17" xfId="0" applyNumberFormat="1" applyFont="1" applyFill="1" applyBorder="1" applyAlignment="1">
      <alignment horizontal="right"/>
    </xf>
    <xf numFmtId="0" fontId="0" fillId="3" borderId="17" xfId="0" applyFill="1" applyBorder="1" applyAlignment="1">
      <alignment horizontal="right"/>
    </xf>
    <xf numFmtId="0" fontId="0" fillId="0" borderId="0" xfId="0" applyAlignment="1">
      <alignment horizontal="center" vertical="center" wrapText="1"/>
    </xf>
    <xf numFmtId="0" fontId="0" fillId="3" borderId="0" xfId="0" quotePrefix="1" applyFill="1" applyAlignment="1">
      <alignment horizontal="right"/>
    </xf>
    <xf numFmtId="0" fontId="11" fillId="0" borderId="0" xfId="0" applyFont="1"/>
    <xf numFmtId="3" fontId="0" fillId="0" borderId="0" xfId="0" applyNumberFormat="1" applyAlignment="1">
      <alignment horizontal="center"/>
    </xf>
    <xf numFmtId="0" fontId="1" fillId="0" borderId="0" xfId="4" applyFont="1"/>
    <xf numFmtId="16" fontId="2" fillId="0" borderId="0" xfId="4" applyNumberFormat="1"/>
    <xf numFmtId="3" fontId="11" fillId="0" borderId="26" xfId="0" applyNumberFormat="1" applyFont="1" applyBorder="1"/>
    <xf numFmtId="3" fontId="11" fillId="0" borderId="2" xfId="0" applyNumberFormat="1" applyFont="1" applyBorder="1"/>
    <xf numFmtId="0" fontId="11" fillId="6" borderId="0" xfId="0" applyFont="1" applyFill="1"/>
    <xf numFmtId="165" fontId="3" fillId="0" borderId="26" xfId="1" applyNumberFormat="1" applyFont="1" applyFill="1" applyBorder="1"/>
    <xf numFmtId="0" fontId="0" fillId="0" borderId="55" xfId="0" applyBorder="1"/>
    <xf numFmtId="0" fontId="0" fillId="0" borderId="56" xfId="0" applyBorder="1"/>
    <xf numFmtId="0" fontId="0" fillId="0" borderId="33" xfId="0" applyBorder="1" applyAlignment="1">
      <alignment horizontal="center"/>
    </xf>
    <xf numFmtId="0" fontId="0" fillId="0" borderId="44" xfId="0" applyBorder="1" applyAlignment="1">
      <alignment horizontal="center"/>
    </xf>
    <xf numFmtId="0" fontId="0" fillId="4" borderId="0" xfId="0" applyFill="1" applyAlignment="1">
      <alignment horizontal="center" vertical="center"/>
    </xf>
    <xf numFmtId="0" fontId="6" fillId="0" borderId="21" xfId="0" applyFont="1" applyBorder="1" applyAlignment="1">
      <alignment horizontal="center"/>
    </xf>
    <xf numFmtId="0" fontId="6" fillId="0" borderId="48" xfId="0" applyFont="1" applyBorder="1" applyAlignment="1">
      <alignment horizontal="center"/>
    </xf>
    <xf numFmtId="0" fontId="6" fillId="0" borderId="22" xfId="0" applyFont="1" applyBorder="1" applyAlignment="1">
      <alignment horizontal="center"/>
    </xf>
    <xf numFmtId="0" fontId="6" fillId="0" borderId="0" xfId="0" applyFont="1" applyAlignment="1">
      <alignment horizontal="center"/>
    </xf>
    <xf numFmtId="0" fontId="6" fillId="0" borderId="49" xfId="0" applyFont="1" applyBorder="1" applyAlignment="1">
      <alignment horizontal="center"/>
    </xf>
    <xf numFmtId="0" fontId="6" fillId="0" borderId="50" xfId="0" applyFont="1" applyBorder="1" applyAlignment="1">
      <alignment horizontal="center"/>
    </xf>
    <xf numFmtId="0" fontId="6" fillId="0" borderId="31" xfId="0" applyFont="1" applyBorder="1" applyAlignment="1">
      <alignment horizontal="center"/>
    </xf>
    <xf numFmtId="0" fontId="6" fillId="0" borderId="47" xfId="0" applyFont="1" applyBorder="1" applyAlignment="1">
      <alignment horizontal="center"/>
    </xf>
    <xf numFmtId="0" fontId="6" fillId="0" borderId="41" xfId="0" applyFont="1" applyBorder="1" applyAlignment="1">
      <alignment horizontal="center"/>
    </xf>
    <xf numFmtId="0" fontId="6" fillId="0" borderId="26" xfId="0" applyFont="1" applyBorder="1" applyAlignment="1">
      <alignment horizontal="center"/>
    </xf>
    <xf numFmtId="0" fontId="0" fillId="0" borderId="16" xfId="0" applyBorder="1" applyAlignment="1">
      <alignment horizontal="center"/>
    </xf>
    <xf numFmtId="0" fontId="0" fillId="0" borderId="0" xfId="0" applyAlignment="1">
      <alignment horizontal="center"/>
    </xf>
    <xf numFmtId="0" fontId="0" fillId="2" borderId="0" xfId="0" applyFill="1" applyAlignment="1">
      <alignment horizontal="center"/>
    </xf>
    <xf numFmtId="0" fontId="15" fillId="0" borderId="0" xfId="0" applyFont="1" applyAlignment="1">
      <alignment horizontal="left" vertical="center" wrapText="1" readingOrder="1"/>
    </xf>
    <xf numFmtId="0" fontId="6" fillId="3" borderId="0" xfId="0" applyFont="1" applyFill="1" applyAlignment="1">
      <alignment horizontal="center"/>
    </xf>
    <xf numFmtId="0" fontId="6" fillId="3" borderId="21" xfId="0" applyFont="1" applyFill="1" applyBorder="1" applyAlignment="1">
      <alignment horizontal="center"/>
    </xf>
    <xf numFmtId="0" fontId="6" fillId="3" borderId="48" xfId="0" applyFont="1" applyFill="1" applyBorder="1" applyAlignment="1">
      <alignment horizontal="center"/>
    </xf>
    <xf numFmtId="0" fontId="6" fillId="3" borderId="22" xfId="0" applyFont="1" applyFill="1" applyBorder="1" applyAlignment="1">
      <alignment horizontal="center"/>
    </xf>
    <xf numFmtId="0" fontId="6" fillId="3" borderId="49" xfId="0" applyFont="1" applyFill="1" applyBorder="1" applyAlignment="1">
      <alignment horizontal="center"/>
    </xf>
    <xf numFmtId="0" fontId="6" fillId="3" borderId="50" xfId="0" applyFont="1" applyFill="1" applyBorder="1" applyAlignment="1">
      <alignment horizontal="center"/>
    </xf>
    <xf numFmtId="0" fontId="6" fillId="3" borderId="36" xfId="0" applyFont="1" applyFill="1" applyBorder="1" applyAlignment="1">
      <alignment horizontal="center"/>
    </xf>
    <xf numFmtId="0" fontId="6" fillId="3" borderId="37" xfId="0" applyFont="1" applyFill="1" applyBorder="1" applyAlignment="1">
      <alignment horizontal="center"/>
    </xf>
    <xf numFmtId="0" fontId="6" fillId="3" borderId="25" xfId="0" applyFont="1" applyFill="1" applyBorder="1" applyAlignment="1">
      <alignment horizontal="center"/>
    </xf>
    <xf numFmtId="0" fontId="0" fillId="3" borderId="16" xfId="0" applyFill="1" applyBorder="1" applyAlignment="1">
      <alignment horizontal="center"/>
    </xf>
    <xf numFmtId="0" fontId="0" fillId="3" borderId="0" xfId="0" applyFill="1" applyAlignment="1">
      <alignment horizontal="center"/>
    </xf>
    <xf numFmtId="0" fontId="11" fillId="3" borderId="16" xfId="0" applyFont="1" applyFill="1" applyBorder="1" applyAlignment="1">
      <alignment horizontal="center"/>
    </xf>
    <xf numFmtId="0" fontId="11" fillId="3" borderId="0" xfId="0" applyFont="1" applyFill="1" applyAlignment="1">
      <alignment horizontal="center"/>
    </xf>
    <xf numFmtId="0" fontId="4" fillId="3" borderId="10" xfId="0" applyFont="1" applyFill="1" applyBorder="1" applyAlignment="1">
      <alignment horizontal="center"/>
    </xf>
    <xf numFmtId="0" fontId="4" fillId="3" borderId="46" xfId="0" applyFont="1" applyFill="1" applyBorder="1" applyAlignment="1">
      <alignment horizontal="center"/>
    </xf>
    <xf numFmtId="0" fontId="0" fillId="3" borderId="7" xfId="0" applyFill="1" applyBorder="1" applyAlignment="1">
      <alignment vertical="center"/>
    </xf>
    <xf numFmtId="0" fontId="0" fillId="3" borderId="3" xfId="0" applyFill="1" applyBorder="1" applyAlignment="1">
      <alignment vertical="center"/>
    </xf>
    <xf numFmtId="0" fontId="4" fillId="3" borderId="51" xfId="0" applyFont="1" applyFill="1" applyBorder="1" applyAlignment="1">
      <alignment horizontal="center"/>
    </xf>
    <xf numFmtId="0" fontId="4" fillId="3" borderId="29" xfId="0" applyFont="1" applyFill="1" applyBorder="1" applyAlignment="1">
      <alignment horizontal="center"/>
    </xf>
    <xf numFmtId="0" fontId="4" fillId="3" borderId="30" xfId="0" applyFont="1" applyFill="1" applyBorder="1" applyAlignment="1">
      <alignment horizontal="center"/>
    </xf>
    <xf numFmtId="0" fontId="0" fillId="3" borderId="3" xfId="0" applyFill="1" applyBorder="1"/>
    <xf numFmtId="0" fontId="0" fillId="3" borderId="5" xfId="0" applyFill="1" applyBorder="1"/>
    <xf numFmtId="0" fontId="0" fillId="3" borderId="1" xfId="0" applyFill="1" applyBorder="1"/>
    <xf numFmtId="0" fontId="0" fillId="3" borderId="26" xfId="0" applyFill="1" applyBorder="1"/>
    <xf numFmtId="0" fontId="0" fillId="3" borderId="7" xfId="0" applyFill="1" applyBorder="1"/>
    <xf numFmtId="0" fontId="0" fillId="3" borderId="8" xfId="0" applyFill="1" applyBorder="1"/>
    <xf numFmtId="0" fontId="4" fillId="3" borderId="31" xfId="0" applyFont="1" applyFill="1" applyBorder="1" applyAlignment="1">
      <alignment horizontal="center"/>
    </xf>
    <xf numFmtId="0" fontId="4" fillId="3" borderId="47" xfId="0" applyFont="1" applyFill="1" applyBorder="1" applyAlignment="1">
      <alignment horizontal="center"/>
    </xf>
    <xf numFmtId="0" fontId="4" fillId="3" borderId="41" xfId="0" applyFont="1" applyFill="1" applyBorder="1" applyAlignment="1">
      <alignment horizontal="center"/>
    </xf>
    <xf numFmtId="0" fontId="4" fillId="3" borderId="36" xfId="0" applyFont="1" applyFill="1" applyBorder="1" applyAlignment="1">
      <alignment horizontal="center"/>
    </xf>
    <xf numFmtId="0" fontId="4" fillId="3" borderId="37" xfId="0" applyFont="1" applyFill="1" applyBorder="1" applyAlignment="1">
      <alignment horizontal="center"/>
    </xf>
    <xf numFmtId="0" fontId="4" fillId="3" borderId="25" xfId="0" applyFont="1" applyFill="1" applyBorder="1" applyAlignment="1">
      <alignment horizontal="center"/>
    </xf>
    <xf numFmtId="0" fontId="4" fillId="3" borderId="4" xfId="0" applyFont="1" applyFill="1" applyBorder="1" applyAlignment="1">
      <alignment horizontal="center"/>
    </xf>
    <xf numFmtId="0" fontId="0" fillId="3" borderId="36" xfId="0" applyFill="1" applyBorder="1" applyAlignment="1">
      <alignment horizontal="center"/>
    </xf>
    <xf numFmtId="0" fontId="0" fillId="3" borderId="25" xfId="0" applyFill="1" applyBorder="1" applyAlignment="1">
      <alignment horizontal="center"/>
    </xf>
    <xf numFmtId="0" fontId="0" fillId="3" borderId="8" xfId="0" applyFill="1" applyBorder="1" applyAlignment="1">
      <alignment horizontal="center" wrapText="1"/>
    </xf>
    <xf numFmtId="0" fontId="0" fillId="3" borderId="5" xfId="0" applyFill="1" applyBorder="1" applyAlignment="1">
      <alignment horizontal="center" wrapText="1"/>
    </xf>
    <xf numFmtId="0" fontId="0" fillId="3" borderId="9" xfId="0" applyFill="1" applyBorder="1" applyAlignment="1">
      <alignment horizontal="center" vertical="center"/>
    </xf>
    <xf numFmtId="0" fontId="0" fillId="3" borderId="6" xfId="0" applyFill="1" applyBorder="1" applyAlignment="1">
      <alignment horizontal="center" vertical="center"/>
    </xf>
    <xf numFmtId="0" fontId="4" fillId="3" borderId="49" xfId="0" applyFont="1" applyFill="1" applyBorder="1" applyAlignment="1">
      <alignment horizontal="center"/>
    </xf>
    <xf numFmtId="0" fontId="4" fillId="3" borderId="50" xfId="0" applyFont="1" applyFill="1" applyBorder="1" applyAlignment="1">
      <alignment horizontal="center"/>
    </xf>
    <xf numFmtId="0" fontId="19" fillId="0" borderId="0" xfId="0" applyFont="1"/>
    <xf numFmtId="3" fontId="19" fillId="0" borderId="0" xfId="0" applyNumberFormat="1" applyFont="1"/>
  </cellXfs>
  <cellStyles count="5">
    <cellStyle name="Čárka" xfId="1" builtinId="3"/>
    <cellStyle name="čárky 2" xfId="2" xr:uid="{00000000-0005-0000-0000-000001000000}"/>
    <cellStyle name="Normální" xfId="0" builtinId="0"/>
    <cellStyle name="Normální 2" xfId="4" xr:uid="{7F85417C-95AE-4923-976A-645B846F1A55}"/>
    <cellStyle name="Procenta" xfId="3" builtinId="5"/>
  </cellStyles>
  <dxfs count="1">
    <dxf>
      <font>
        <condense val="0"/>
        <extend val="0"/>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eetMetadata" Target="metadata.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48"/>
  <sheetViews>
    <sheetView workbookViewId="0">
      <selection activeCell="B9" sqref="B9:I9"/>
    </sheetView>
  </sheetViews>
  <sheetFormatPr defaultColWidth="9" defaultRowHeight="15.6" x14ac:dyDescent="0.3"/>
  <cols>
    <col min="1" max="1" width="23" style="13" bestFit="1" customWidth="1"/>
    <col min="2" max="16384" width="9" style="13"/>
  </cols>
  <sheetData>
    <row r="1" spans="1:2" x14ac:dyDescent="0.3">
      <c r="A1" s="61" t="s">
        <v>0</v>
      </c>
      <c r="B1" s="331" t="s">
        <v>1</v>
      </c>
    </row>
    <row r="2" spans="1:2" x14ac:dyDescent="0.3">
      <c r="A2" s="12" t="s">
        <v>2</v>
      </c>
      <c r="B2" s="331"/>
    </row>
    <row r="5" spans="1:2" x14ac:dyDescent="0.3">
      <c r="A5" s="14" t="str">
        <f>IF(B1="CZ","Vložte název vaší firmy:","Enter your company name:")</f>
        <v>Vložte název vaší firmy:</v>
      </c>
      <c r="B5" s="325" t="s">
        <v>3</v>
      </c>
    </row>
    <row r="7" spans="1:2" x14ac:dyDescent="0.3">
      <c r="A7" s="12" t="str">
        <f>IF(B1="CZ","Stručný návod k použití","Brief instructions")</f>
        <v>Stručný návod k použití</v>
      </c>
      <c r="B7" s="67" t="str">
        <f>IF(B1="CZ","POZOR, BEZ ZÁRUKY SPRÁVNOSTI! V souboru se mohou vyskytovat chyby, takže budeme rádi, pokud nás na ně případně upozorníte.","NOTE, NO GURANTEE OF CORRECTNESS! There might be mistakes in the file, so in case you find any, please, let us know.")</f>
        <v>POZOR, BEZ ZÁRUKY SPRÁVNOSTI! V souboru se mohou vyskytovat chyby, takže budeme rádi, pokud nás na ně případně upozorníte.</v>
      </c>
    </row>
    <row r="8" spans="1:2" x14ac:dyDescent="0.3">
      <c r="A8" s="15" t="s">
        <v>4</v>
      </c>
      <c r="B8" s="16" t="str">
        <f>IF($B$1="CZ","Webový portál v české verzi používá jako oddělovače tisíců mezery a jako oddělovače desetinných míst čárky - zkontrolujte nastavení Vašeno software v nabídce Soubor-Možnosti-Upřesnit-Používat oddělovače ze systému.","The web portal in the English version uses commas as the thousands separator and dots as decimal separators - check the setting of your software going to File-Options-Advanced-Use system separators.")</f>
        <v>Webový portál v české verzi používá jako oddělovače tisíců mezery a jako oddělovače desetinných míst čárky - zkontrolujte nastavení Vašeno software v nabídce Soubor-Možnosti-Upřesnit-Používat oddělovače ze systému.</v>
      </c>
    </row>
    <row r="9" spans="1:2" x14ac:dyDescent="0.3">
      <c r="A9" s="15" t="s">
        <v>5</v>
      </c>
      <c r="B9" s="16" t="str">
        <f>IF($B$1="CZ","Soubor můžete používat dvojím způsobem - jen pro aktuální rozhodnutí nebo též jako 'archiv vývoje' hry.","You can use the file in two ways - just for the recent decision or also as an 'archive' of the game development.")</f>
        <v>Soubor můžete používat dvojím způsobem - jen pro aktuální rozhodnutí nebo též jako 'archiv vývoje' hry.</v>
      </c>
    </row>
    <row r="10" spans="1:2" x14ac:dyDescent="0.3">
      <c r="A10" s="15" t="s">
        <v>6</v>
      </c>
      <c r="B10" s="16" t="str">
        <f>IF($B$1="CZ","Zkopírujte výsledky posledního proběhlého čtvrtletí do listu [RawData], sloupec D (kopírování začněte v poli 'Marketing a prodej' a kliknutím na totéž pole ve sloupci D vložte Vaše hodnoty).","Copy the results of the last finished quarter into the sheet [RawData], column D (start copying from the title 'Marketing and sales', and clicking at the same cell in the D column, paste-special the recent values as Unicode).")</f>
        <v>Zkopírujte výsledky posledního proběhlého čtvrtletí do listu [RawData], sloupec D (kopírování začněte v poli 'Marketing a prodej' a kliknutím na totéž pole ve sloupci D vložte Vaše hodnoty).</v>
      </c>
    </row>
    <row r="11" spans="1:2" x14ac:dyDescent="0.3">
      <c r="A11" s="15" t="s">
        <v>7</v>
      </c>
      <c r="B11" s="16" t="str">
        <f>IF($B$1="CZ","Zkopírujte poslední 'výroční' výsledky do listu [RawData], sloupec N (kopírování začněte v poli 'čtvrtletí' a kliknutím na totéž pole ve sloupci N vložte Vaše hodnoty).","Copy the annual results into the sheet [RawData], column N (start copying from the title 'quarter', and clicking at the same cell in the N column, paste the recent values).")</f>
        <v>Zkopírujte poslední 'výroční' výsledky do listu [RawData], sloupec N (kopírování začněte v poli 'čtvrtletí' a kliknutím na totéž pole ve sloupci N vložte Vaše hodnoty).</v>
      </c>
    </row>
    <row r="12" spans="1:2" x14ac:dyDescent="0.3">
      <c r="A12" s="15" t="s">
        <v>8</v>
      </c>
      <c r="B12" s="223" t="str">
        <f>IF($B$1="CZ","(Chcete-li tento soubor používat jako 'archiv', zkopírujte si vývoj kol 1-3 do příslušných sloupců listu [RawData] stejně jak je popsáno v bodě 3.)","(If you want to use this file as an 'archive', copy the development in quarters 1-3 to the relevant columns in the [RawData] sheet the same way as described in the third point here.)")</f>
        <v>(Chcete-li tento soubor používat jako 'archiv', zkopírujte si vývoj kol 1-3 do příslušných sloupců listu [RawData] stejně jak je popsáno v bodě 3.)</v>
      </c>
    </row>
    <row r="13" spans="1:2" x14ac:dyDescent="0.3">
      <c r="A13" s="15" t="s">
        <v>9</v>
      </c>
      <c r="B13" s="16" t="str">
        <f>IF(B1="CZ","Pokud máte informace, aktualizujte v listu [Decision] ceny surovin (vpravo nahoře), doplňte zjištěné potenciály apod.","If you have the information, update the materials prices in the [Decision] sheet (top right of the page), add information on potentials etc.")</f>
        <v>Pokud máte informace, aktualizujte v listu [Decision] ceny surovin (vpravo nahoře), doplňte zjištěné potenciály apod.</v>
      </c>
    </row>
    <row r="14" spans="1:2" x14ac:dyDescent="0.3">
      <c r="A14" s="15" t="s">
        <v>10</v>
      </c>
      <c r="B14" s="16" t="str">
        <f>IF(B1="CZ","Zadejte své rozhodnutí do listu [Decision] - již je nastaven tak, aby ukazoval pouze aktuální počet strojů, který lze využít k výrobě apod. Nezasahujte do šedých buněk.","Enter your decision into the sheet [Decision] - it is set to show just updated number of available machines to be used for production etc. Do not change the grey cells.")</f>
        <v>Zadejte své rozhodnutí do listu [Decision] - již je nastaven tak, aby ukazoval pouze aktuální počet strojů, který lze využít k výrobě apod. Nezasahujte do šedých buněk.</v>
      </c>
    </row>
    <row r="15" spans="1:2" x14ac:dyDescent="0.3">
      <c r="A15" s="15" t="s">
        <v>11</v>
      </c>
      <c r="B15" s="16" t="str">
        <f>IF(B1="CZ","V listu [ExpectedResults] můžete pracovat s odhady aktuálích potenciálů, a přes úpravu rozhodnutí zkoušet dopady různých variant rozhodnutí.","In the [ExpectedResults] sheet you can try different potentials for the particular run, and test the impact of different scenarios of your decisions.")</f>
        <v>V listu [ExpectedResults] můžete pracovat s odhady aktuálích potenciálů, a přes úpravu rozhodnutí zkoušet dopady různých variant rozhodnutí.</v>
      </c>
    </row>
    <row r="16" spans="1:2" x14ac:dyDescent="0.3">
      <c r="A16" s="318" t="s">
        <v>12</v>
      </c>
      <c r="B16" s="223" t="str">
        <f>IF($B$1="CZ","(V dalším čtvrtletí můžete (ale nemusíte) zkopírovat list [ActualResults] a KOPII přejmenovat např. na 'Q4' (a v dalších čtvrtletích Q5 apod.).)","(In the next quarter, you can (but do not have to)  COPY the sheet [ActualResults] and rename the COPY e.g. to 'Q4' (and in the next quarter Q5 etc.).)")</f>
        <v>(V dalším čtvrtletí můžete (ale nemusíte) zkopírovat list [ActualResults] a KOPII přejmenovat např. na 'Q4' (a v dalších čtvrtletích Q5 apod.).)</v>
      </c>
    </row>
    <row r="17" spans="1:2" x14ac:dyDescent="0.3">
      <c r="A17" s="318" t="s">
        <v>13</v>
      </c>
      <c r="B17" s="13" t="str">
        <f>IF($B$1="CZ","V dalším čtvrtletí vložte aktuální data do dalších sloupců listu [RawData] a nahraďte odkazy z listu [ActualResults] na 'RawData!D' odkazy na 'RawData!E', a odkazy na 'RawData!G' odkazy na 'RawData!H' apod.","In the next quarter, enter the recent data to subsequent columns of the [RawData] sheet and replace the references from the [ActualResults] sheet to 'RawData!D' with 'RawData!E' etc., and references to 'RawData!G' with 'RawData!H' etc.")</f>
        <v>V dalším čtvrtletí vložte aktuální data do dalších sloupců listu [RawData] a nahraďte odkazy z listu [ActualResults] na 'RawData!D' odkazy na 'RawData!E', a odkazy na 'RawData!G' odkazy na 'RawData!H' apod.</v>
      </c>
    </row>
    <row r="18" spans="1:2" x14ac:dyDescent="0.3">
      <c r="A18" s="318" t="s">
        <v>14</v>
      </c>
      <c r="B18" s="16" t="str">
        <f>IF($B$1="CZ","K provedení výše uvedeného nahrazení můžete využít možnost 'Nahradit' v nabídce 'Najít a vybrat' vpravo nahoře.","For the replacement of the references you can use the option 'Replace' in the upper right menu link 'Find and select'.")</f>
        <v>K provedení výše uvedeného nahrazení můžete využít možnost 'Nahradit' v nabídce 'Najít a vybrat' vpravo nahoře.</v>
      </c>
    </row>
    <row r="19" spans="1:2" x14ac:dyDescent="0.3">
      <c r="A19" s="318" t="s">
        <v>15</v>
      </c>
      <c r="B19" s="16" t="str">
        <f>IF($B$1="CZ","Veškeré úpravy souboru provádějte obezřetně, abyste si 'nepokazili' nastavené vzorce a odkazy.","Consider any changes in the file carefully not to 'spoil'  the pre-set formulas and references.")</f>
        <v>Veškeré úpravy souboru provádějte obezřetně, abyste si 'nepokazili' nastavené vzorce a odkazy.</v>
      </c>
    </row>
    <row r="20" spans="1:2" x14ac:dyDescent="0.3">
      <c r="B20" s="16" t="str">
        <f>IF($B$1="CZ","Jakékoliv náměty na vylepšení tohoto souboru uvítáme!","Any proposals for improvements of this file are welcome!")</f>
        <v>Jakékoliv náměty na vylepšení tohoto souboru uvítáme!</v>
      </c>
    </row>
    <row r="47" spans="2:2" x14ac:dyDescent="0.3">
      <c r="B47" s="13" t="s">
        <v>1</v>
      </c>
    </row>
    <row r="48" spans="2:2" x14ac:dyDescent="0.3">
      <c r="B48" s="13" t="s">
        <v>16</v>
      </c>
    </row>
  </sheetData>
  <mergeCells count="1">
    <mergeCell ref="B1:B2"/>
  </mergeCells>
  <dataValidations count="1">
    <dataValidation type="list" allowBlank="1" showInputMessage="1" showErrorMessage="1" sqref="B1:B2" xr:uid="{00000000-0002-0000-0000-000000000000}">
      <formula1>Jazyk</formula1>
    </dataValidation>
  </dataValidations>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91"/>
  <sheetViews>
    <sheetView tabSelected="1" workbookViewId="0">
      <selection activeCell="F13" sqref="F13"/>
    </sheetView>
  </sheetViews>
  <sheetFormatPr defaultColWidth="8.8984375" defaultRowHeight="15.6" x14ac:dyDescent="0.3"/>
  <cols>
    <col min="1" max="1" width="37.09765625" bestFit="1" customWidth="1"/>
    <col min="2" max="2" width="10.09765625" customWidth="1"/>
    <col min="3" max="3" width="12.59765625" bestFit="1" customWidth="1"/>
    <col min="4" max="4" width="25" bestFit="1" customWidth="1"/>
    <col min="5" max="5" width="10.09765625" customWidth="1"/>
    <col min="7" max="7" width="38.09765625" bestFit="1" customWidth="1"/>
    <col min="8" max="8" width="10.59765625" customWidth="1"/>
    <col min="9" max="9" width="13.3984375" bestFit="1" customWidth="1"/>
    <col min="10" max="12" width="10.59765625" customWidth="1"/>
  </cols>
  <sheetData>
    <row r="1" spans="1:12" ht="17.399999999999999" x14ac:dyDescent="0.3">
      <c r="A1" s="335" t="str">
        <f>IF(Instructions!$B$1="CZ",CONCATENATE("FINANČNÍ VÝSLEDKY FIRMY ",Instructions!$B$5),CONCATENATE("FINANCIAL RESULTS FOR COMPANY ",Instructions!$B$5))</f>
        <v>FINANČNÍ VÝSLEDKY FIRMY Byte Strategists</v>
      </c>
      <c r="B1" s="335"/>
      <c r="C1" s="335"/>
      <c r="D1" s="335"/>
      <c r="E1" s="335"/>
      <c r="G1" s="335" t="str">
        <f>IF(Instructions!$B$1="CZ",CONCATENATE("ROČNÍ SOUHRN FIRMY ",Instructions!$B$5),CONCATENATE("FOUR-QUARTER SURVEY FOR COMPANY ",Instructions!$B$5))</f>
        <v>ROČNÍ SOUHRN FIRMY Byte Strategists</v>
      </c>
      <c r="H1" s="335"/>
      <c r="I1" s="335"/>
      <c r="J1" s="335"/>
      <c r="K1" s="335"/>
      <c r="L1" s="335"/>
    </row>
    <row r="2" spans="1:12" ht="16.2" thickBot="1" x14ac:dyDescent="0.35">
      <c r="E2" s="319" t="str">
        <f>IF(Instructions!$B$1="CZ","AKTUALIZOVAT podle pořadí simulačního kola!","UPDATE according to the # of the run in simulation!")</f>
        <v>AKTUALIZOVAT podle pořadí simulačního kola!</v>
      </c>
    </row>
    <row r="3" spans="1:12" ht="20.399999999999999" x14ac:dyDescent="0.35">
      <c r="A3" s="338" t="str">
        <f>IF(Instructions!$B$1="CZ","MARKETING A PRODEJ","MARKETING AND SALES")</f>
        <v>MARKETING A PRODEJ</v>
      </c>
      <c r="B3" s="339"/>
      <c r="C3" s="340"/>
      <c r="D3" s="104" t="str">
        <f>IF(Instructions!$B$1="CZ","Čtvrtletí","Quarter")</f>
        <v>Čtvrtletí</v>
      </c>
      <c r="E3" s="103">
        <v>4</v>
      </c>
      <c r="G3" s="219" t="str">
        <f>IF(Instructions!$B$1="CZ","ČTVRTLETÍ","QUARTER")</f>
        <v>ČTVRTLETÍ</v>
      </c>
      <c r="H3" s="220">
        <f>INT((E3-1)/4)*4+1</f>
        <v>1</v>
      </c>
      <c r="I3" s="220">
        <f>H3+1</f>
        <v>2</v>
      </c>
      <c r="J3" s="220">
        <f>I3+1</f>
        <v>3</v>
      </c>
      <c r="K3" s="220">
        <f>J3+1</f>
        <v>4</v>
      </c>
      <c r="L3" s="219" t="str">
        <f>IF(Instructions!$B$1="CZ","CELKEM","TOTAL")</f>
        <v>CELKEM</v>
      </c>
    </row>
    <row r="4" spans="1:12" x14ac:dyDescent="0.3">
      <c r="A4" s="6" t="str">
        <f>IF(Instructions!$B$1="CZ","PRODUKT","PRODUCT")</f>
        <v>PRODUKT</v>
      </c>
      <c r="B4" s="7" t="str">
        <f>IF(Instructions!$B$1="CZ","STOLY","DESKS")</f>
        <v>STOLY</v>
      </c>
      <c r="C4" s="5" t="str">
        <f>IF(Instructions!$B$1="CZ","SKŘÍŇKY","CABINETS")</f>
        <v>SKŘÍŇKY</v>
      </c>
      <c r="G4" s="241" t="str">
        <f>IF(Instructions!$B$1="CZ","Tržby","Sales")</f>
        <v>Tržby</v>
      </c>
      <c r="H4" s="144">
        <f>RawData!N44</f>
        <v>3557130</v>
      </c>
      <c r="I4" s="144">
        <f>RawData!N81</f>
        <v>3786930</v>
      </c>
      <c r="J4" s="144">
        <f>RawData!N118</f>
        <v>3535360</v>
      </c>
      <c r="K4" s="144">
        <f>RawData!N155</f>
        <v>3903353</v>
      </c>
      <c r="L4" s="122">
        <f>SUM(H4:K4)</f>
        <v>14782773</v>
      </c>
    </row>
    <row r="5" spans="1:12" x14ac:dyDescent="0.3">
      <c r="A5" s="3" t="str">
        <f>IF(Instructions!$B$1="CZ","Cena [Kč za ks]","Price [CZK per piece]")</f>
        <v>Cena [Kč za ks]</v>
      </c>
      <c r="B5" s="122">
        <f>RawData!D10</f>
        <v>1250</v>
      </c>
      <c r="C5" s="123">
        <f>RawData!D16</f>
        <v>2667</v>
      </c>
      <c r="G5" s="241" t="str">
        <f>IF(Instructions!$B$1="CZ","Náklady prodaných výrobků","Costs of goods sold")</f>
        <v>Náklady prodaných výrobků</v>
      </c>
      <c r="H5" s="144">
        <f>RawData!N45</f>
        <v>3128160</v>
      </c>
      <c r="I5" s="144">
        <f>RawData!N82</f>
        <v>2998735</v>
      </c>
      <c r="J5" s="144">
        <f>RawData!N119</f>
        <v>3220639</v>
      </c>
      <c r="K5" s="144">
        <f>RawData!N156</f>
        <v>3134844</v>
      </c>
      <c r="L5" s="122">
        <f t="shared" ref="L5:L13" si="0">SUM(H5:K5)</f>
        <v>12482378</v>
      </c>
    </row>
    <row r="6" spans="1:12" x14ac:dyDescent="0.3">
      <c r="A6" s="3" t="str">
        <f>IF(Instructions!$B$1="CZ","Nabídka [ks]","Offer [pcs]")</f>
        <v>Nabídka [ks]</v>
      </c>
      <c r="B6" s="122">
        <f>RawData!D11</f>
        <v>1930</v>
      </c>
      <c r="C6" s="123">
        <f>RawData!D17</f>
        <v>570</v>
      </c>
      <c r="D6" s="342"/>
      <c r="E6" s="343"/>
      <c r="G6" s="241" t="str">
        <f>IF(Instructions!$B$1="CZ","Nepřímé náklady","Indirect costs")</f>
        <v>Nepřímé náklady</v>
      </c>
      <c r="H6" s="144">
        <f>RawData!N46</f>
        <v>240900</v>
      </c>
      <c r="I6" s="144">
        <f>RawData!N83</f>
        <v>229375</v>
      </c>
      <c r="J6" s="144">
        <f>RawData!N120</f>
        <v>256325</v>
      </c>
      <c r="K6" s="144">
        <f>RawData!N157</f>
        <v>366535</v>
      </c>
      <c r="L6" s="122">
        <f t="shared" si="0"/>
        <v>1093135</v>
      </c>
    </row>
    <row r="7" spans="1:12" x14ac:dyDescent="0.3">
      <c r="A7" s="3" t="str">
        <f>IF(Instructions!$B$1="CZ","Potenciální prodej [ks]","Potential sales [pcs]")</f>
        <v>Potenciální prodej [ks]</v>
      </c>
      <c r="B7" s="122">
        <f>RawData!D12</f>
        <v>2773</v>
      </c>
      <c r="C7" s="123">
        <f>RawData!D18</f>
        <v>559</v>
      </c>
      <c r="D7" s="2"/>
      <c r="E7" s="2"/>
      <c r="G7" s="241" t="str">
        <f>IF(Instructions!$B$1="CZ","Provozní zisk","Operating result")</f>
        <v>Provozní zisk</v>
      </c>
      <c r="H7" s="144">
        <f>RawData!N47</f>
        <v>188070</v>
      </c>
      <c r="I7" s="144">
        <f>RawData!N84</f>
        <v>558820</v>
      </c>
      <c r="J7" s="144">
        <f>RawData!N121</f>
        <v>58396</v>
      </c>
      <c r="K7" s="144">
        <f>RawData!N158</f>
        <v>401973</v>
      </c>
      <c r="L7" s="122">
        <f t="shared" si="0"/>
        <v>1207259</v>
      </c>
    </row>
    <row r="8" spans="1:12" x14ac:dyDescent="0.3">
      <c r="A8" s="3" t="str">
        <f>IF(Instructions!$B$1="CZ","Skutečný prodej [ks]","Actual sales [pcs]")</f>
        <v>Skutečný prodej [ks]</v>
      </c>
      <c r="B8" s="122">
        <f>RawData!D13</f>
        <v>1930</v>
      </c>
      <c r="C8" s="123">
        <f>RawData!D19</f>
        <v>559</v>
      </c>
      <c r="D8" s="1"/>
      <c r="E8" s="1"/>
      <c r="G8" s="241" t="str">
        <f>IF(Instructions!$B$1="CZ","Úroky","Capital costs")</f>
        <v>Úroky</v>
      </c>
      <c r="H8" s="144">
        <f>RawData!N48</f>
        <v>0</v>
      </c>
      <c r="I8" s="144">
        <f>RawData!N85</f>
        <v>0</v>
      </c>
      <c r="J8" s="144">
        <f>RawData!N122</f>
        <v>0</v>
      </c>
      <c r="K8" s="144">
        <f>RawData!N159</f>
        <v>0</v>
      </c>
      <c r="L8" s="122">
        <f t="shared" si="0"/>
        <v>0</v>
      </c>
    </row>
    <row r="9" spans="1:12" ht="16.2" thickBot="1" x14ac:dyDescent="0.35">
      <c r="A9" s="4" t="str">
        <f>IF(Instructions!$B$1="CZ","Tržby [Kč]","Sales [CZK]")</f>
        <v>Tržby [Kč]</v>
      </c>
      <c r="B9" s="10">
        <f>B8*B5</f>
        <v>2412500</v>
      </c>
      <c r="C9" s="11">
        <f>C8*C5</f>
        <v>1490853</v>
      </c>
      <c r="G9" s="241" t="str">
        <f>IF(Instructions!$B$1="CZ","Mimořádné výdaje","Extraordinary expenses")</f>
        <v>Mimořádné výdaje</v>
      </c>
      <c r="H9" s="144">
        <f>RawData!N49</f>
        <v>0</v>
      </c>
      <c r="I9" s="144">
        <f>RawData!N86</f>
        <v>0</v>
      </c>
      <c r="J9" s="144">
        <f>RawData!N123</f>
        <v>0</v>
      </c>
      <c r="K9" s="144">
        <f>RawData!N160</f>
        <v>0</v>
      </c>
      <c r="L9" s="122"/>
    </row>
    <row r="10" spans="1:12" ht="16.2" thickBot="1" x14ac:dyDescent="0.35">
      <c r="G10" s="241" t="str">
        <f>IF(Instructions!$B$1="CZ","Daně","Taxes")</f>
        <v>Daně</v>
      </c>
      <c r="H10" s="144">
        <f>RawData!N50</f>
        <v>0</v>
      </c>
      <c r="I10" s="144">
        <f>RawData!N87</f>
        <v>0</v>
      </c>
      <c r="J10" s="144">
        <f>RawData!N124</f>
        <v>0</v>
      </c>
      <c r="K10" s="144">
        <f>RawData!N161</f>
        <v>482903</v>
      </c>
      <c r="L10" s="122">
        <f t="shared" si="0"/>
        <v>482903</v>
      </c>
    </row>
    <row r="11" spans="1:12" ht="17.399999999999999" x14ac:dyDescent="0.3">
      <c r="A11" s="338" t="str">
        <f>IF(Instructions!$B$1="CZ","VÝROBA","PRODUCTION")</f>
        <v>VÝROBA</v>
      </c>
      <c r="B11" s="339"/>
      <c r="C11" s="340"/>
      <c r="D11" s="342"/>
      <c r="E11" s="343"/>
      <c r="G11" s="241" t="str">
        <f>IF(Instructions!$B$1="CZ","Mimořádné příjmy","Extraordinary revenues")</f>
        <v>Mimořádné příjmy</v>
      </c>
      <c r="H11" s="144">
        <f>RawData!N51</f>
        <v>0</v>
      </c>
      <c r="I11" s="144">
        <f>RawData!N88</f>
        <v>0</v>
      </c>
      <c r="J11" s="144">
        <f>RawData!N125</f>
        <v>0</v>
      </c>
      <c r="K11" s="144">
        <f>RawData!N162</f>
        <v>0</v>
      </c>
      <c r="L11" s="122">
        <f t="shared" si="0"/>
        <v>0</v>
      </c>
    </row>
    <row r="12" spans="1:12" x14ac:dyDescent="0.3">
      <c r="A12" s="6" t="str">
        <f>IF(Instructions!$B$1="CZ","VÝROBEK","PRODUCT")</f>
        <v>VÝROBEK</v>
      </c>
      <c r="B12" s="7" t="str">
        <f>IF(Instructions!$B$1="CZ","STOLY","DESKS")</f>
        <v>STOLY</v>
      </c>
      <c r="C12" s="5" t="str">
        <f>IF(Instructions!$B$1="CZ","SKŘÍŇKY","CABINETS")</f>
        <v>SKŘÍŇKY</v>
      </c>
      <c r="D12" s="2"/>
      <c r="E12" s="2"/>
      <c r="F12" s="2"/>
      <c r="G12" s="241" t="str">
        <f>IF(Instructions!$B$1="CZ","Čistý zisk","Net results")</f>
        <v>Čistý zisk</v>
      </c>
      <c r="H12" s="144">
        <f>RawData!N52</f>
        <v>188070</v>
      </c>
      <c r="I12" s="144">
        <f>RawData!N89</f>
        <v>558820</v>
      </c>
      <c r="J12" s="144">
        <f>RawData!N126</f>
        <v>58396</v>
      </c>
      <c r="K12" s="144">
        <f>RawData!N163</f>
        <v>-80930</v>
      </c>
      <c r="L12" s="122">
        <f t="shared" si="0"/>
        <v>724356</v>
      </c>
    </row>
    <row r="13" spans="1:12" x14ac:dyDescent="0.3">
      <c r="A13" s="3" t="str">
        <f>IF(Instructions!$B$1="CZ","Počáteční zásoba [ks]","Opening stock [pcs]")</f>
        <v>Počáteční zásoba [ks]</v>
      </c>
      <c r="B13" s="122">
        <f>RawData!D28</f>
        <v>2200</v>
      </c>
      <c r="C13" s="123">
        <f>RawData!D33</f>
        <v>870</v>
      </c>
      <c r="D13" s="1"/>
      <c r="E13" s="1"/>
      <c r="F13" s="1"/>
      <c r="G13" s="241" t="str">
        <f>IF(Instructions!$B$1="CZ","Průzkum trhu","Market survey")</f>
        <v>Průzkum trhu</v>
      </c>
      <c r="H13" s="144">
        <f>RawData!N53</f>
        <v>0</v>
      </c>
      <c r="I13" s="144">
        <f>RawData!N90</f>
        <v>0</v>
      </c>
      <c r="J13" s="144">
        <f>RawData!N127</f>
        <v>0</v>
      </c>
      <c r="K13" s="144">
        <f>RawData!N164</f>
        <v>164000</v>
      </c>
      <c r="L13" s="122">
        <f t="shared" si="0"/>
        <v>164000</v>
      </c>
    </row>
    <row r="14" spans="1:12" x14ac:dyDescent="0.3">
      <c r="A14" s="3" t="str">
        <f>IF(Instructions!$B$1="CZ","Plánovaná výroba [ks]","Planned production [pcs]")</f>
        <v>Plánovaná výroba [ks]</v>
      </c>
      <c r="B14" s="122">
        <f>RawData!D29</f>
        <v>1900</v>
      </c>
      <c r="C14" s="123">
        <f>RawData!D34</f>
        <v>600</v>
      </c>
      <c r="D14" s="121"/>
      <c r="E14" s="121"/>
      <c r="F14" s="1"/>
      <c r="G14" s="241" t="str">
        <f>IF(Instructions!$B$1="CZ","Cena stolu","Price of Desks")</f>
        <v>Cena stolu</v>
      </c>
      <c r="H14" s="144">
        <f>RawData!N54</f>
        <v>1170</v>
      </c>
      <c r="I14" s="144">
        <f>RawData!N91</f>
        <v>1190</v>
      </c>
      <c r="J14" s="144">
        <f>RawData!N128</f>
        <v>1160</v>
      </c>
      <c r="K14" s="144">
        <f>RawData!N165</f>
        <v>1250</v>
      </c>
      <c r="L14" s="221"/>
    </row>
    <row r="15" spans="1:12" x14ac:dyDescent="0.3">
      <c r="A15" s="3" t="str">
        <f>IF(Instructions!$B$1="CZ","Skutečná výroba [ks]","Actual production [pcs]")</f>
        <v>Skutečná výroba [ks]</v>
      </c>
      <c r="B15" s="122">
        <f>RawData!D30</f>
        <v>1900</v>
      </c>
      <c r="C15" s="123">
        <f>RawData!D35</f>
        <v>600</v>
      </c>
      <c r="D15" s="1"/>
      <c r="E15" s="1"/>
      <c r="F15" s="1"/>
      <c r="G15" s="241" t="str">
        <f>IF(Instructions!$B$1="CZ","Cena skříňky","Price of Cabinets")</f>
        <v>Cena skříňky</v>
      </c>
      <c r="H15" s="144">
        <f>RawData!N55</f>
        <v>2453</v>
      </c>
      <c r="I15" s="144">
        <f>RawData!N92</f>
        <v>2507</v>
      </c>
      <c r="J15" s="144">
        <f>RawData!N129</f>
        <v>2427</v>
      </c>
      <c r="K15" s="144">
        <f>RawData!N166</f>
        <v>2667</v>
      </c>
      <c r="L15" s="176"/>
    </row>
    <row r="16" spans="1:12" ht="16.2" thickBot="1" x14ac:dyDescent="0.35">
      <c r="A16" s="4" t="str">
        <f>IF(Instructions!$B$1="CZ","Konečná zásoba [ks]","Inventory [pcs]")</f>
        <v>Konečná zásoba [ks]</v>
      </c>
      <c r="B16" s="122">
        <f>B13+B15-B8</f>
        <v>2170</v>
      </c>
      <c r="C16" s="123">
        <f>C13+C15-C8</f>
        <v>911</v>
      </c>
      <c r="D16" s="1"/>
      <c r="E16" s="1"/>
      <c r="F16" s="1"/>
      <c r="G16" s="241" t="str">
        <f>IF(Instructions!$B$1="CZ","Náklady neuspokojené poptávky","Out-of-stock costs")</f>
        <v>Náklady neuspokojené poptávky</v>
      </c>
      <c r="H16" s="144">
        <f>RawData!N56</f>
        <v>60100</v>
      </c>
      <c r="I16" s="144">
        <f>RawData!N93</f>
        <v>47975</v>
      </c>
      <c r="J16" s="144">
        <f>RawData!N130</f>
        <v>74975</v>
      </c>
      <c r="K16" s="144">
        <f>RawData!N167</f>
        <v>21075</v>
      </c>
      <c r="L16" s="122">
        <f>SUM(H16:K16)</f>
        <v>204125</v>
      </c>
    </row>
    <row r="17" spans="1:12" ht="16.2" thickBot="1" x14ac:dyDescent="0.35">
      <c r="G17" s="242" t="str">
        <f>IF(Instructions!$B$1="CZ","Počet strojů","Capacity")</f>
        <v>Počet strojů</v>
      </c>
      <c r="H17" s="144">
        <f>RawData!N57</f>
        <v>3</v>
      </c>
      <c r="I17" s="144">
        <f>RawData!N94</f>
        <v>3</v>
      </c>
      <c r="J17" s="144">
        <f>RawData!N131</f>
        <v>3</v>
      </c>
      <c r="K17" s="144">
        <f>RawData!N168</f>
        <v>3</v>
      </c>
      <c r="L17" s="176"/>
    </row>
    <row r="18" spans="1:12" ht="17.399999999999999" x14ac:dyDescent="0.3">
      <c r="A18" s="338" t="str">
        <f>IF(Instructions!$B$1="CZ","ZÁSOBOVÁNÍ","PROCUREMENT")</f>
        <v>ZÁSOBOVÁNÍ</v>
      </c>
      <c r="B18" s="339"/>
      <c r="C18" s="340"/>
      <c r="G18" s="243" t="str">
        <f>IF(Instructions!$B$1="CZ","Výroba - plán [%]","Production - plan [%]")</f>
        <v>Výroba - plán [%]</v>
      </c>
      <c r="H18" s="144">
        <f>RawData!N58</f>
        <v>83</v>
      </c>
      <c r="I18" s="144">
        <f>RawData!N95</f>
        <v>100</v>
      </c>
      <c r="J18" s="144">
        <f>RawData!N132</f>
        <v>100</v>
      </c>
      <c r="K18" s="144">
        <f>RawData!N169</f>
        <v>100</v>
      </c>
      <c r="L18" s="176"/>
    </row>
    <row r="19" spans="1:12" x14ac:dyDescent="0.3">
      <c r="A19" s="6" t="str">
        <f>IF(Instructions!$B$1="CZ","SUROVINA","RAW MATERIAL")</f>
        <v>SUROVINA</v>
      </c>
      <c r="B19" s="7" t="str">
        <f>IF(Instructions!$B$1="CZ","DŘEVO","WOOD")</f>
        <v>DŘEVO</v>
      </c>
      <c r="C19" s="5" t="str">
        <f>IF(Instructions!$B$1="CZ","KOV","METAL")</f>
        <v>KOV</v>
      </c>
      <c r="G19" s="243" t="str">
        <f>IF(Instructions!$B$1="CZ","Výroba - stutečnost [%]","Production - reality [%]")</f>
        <v>Výroba - stutečnost [%]</v>
      </c>
      <c r="H19" s="144">
        <f>RawData!N59</f>
        <v>100</v>
      </c>
      <c r="I19" s="144">
        <f>RawData!N96</f>
        <v>100</v>
      </c>
      <c r="J19" s="144">
        <f>RawData!N133</f>
        <v>100</v>
      </c>
      <c r="K19" s="144">
        <f>RawData!N170</f>
        <v>100</v>
      </c>
      <c r="L19" s="176"/>
    </row>
    <row r="20" spans="1:12" x14ac:dyDescent="0.3">
      <c r="A20" s="3" t="str">
        <f>IF(Instructions!$B$1="CZ","Počáteční zásoba [kg]","Opening stock [kg]")</f>
        <v>Počáteční zásoba [kg]</v>
      </c>
      <c r="B20" s="122">
        <f>RawData!D45</f>
        <v>600</v>
      </c>
      <c r="C20" s="123">
        <f>RawData!D51</f>
        <v>700</v>
      </c>
      <c r="G20" s="244" t="str">
        <f>IF(Instructions!$B$1="CZ","Zaměstnanci - celkem","Employees - total")</f>
        <v>Zaměstnanci - celkem</v>
      </c>
      <c r="H20" s="144">
        <f>RawData!N60</f>
        <v>29</v>
      </c>
      <c r="I20" s="144">
        <f>RawData!N97</f>
        <v>29</v>
      </c>
      <c r="J20" s="144">
        <f>RawData!N134</f>
        <v>31</v>
      </c>
      <c r="K20" s="144">
        <f>RawData!N171</f>
        <v>30</v>
      </c>
      <c r="L20" s="176"/>
    </row>
    <row r="21" spans="1:12" x14ac:dyDescent="0.3">
      <c r="A21" s="3" t="str">
        <f>IF(Instructions!$B$1="CZ","Nákup [kg]","Purchase [kg]")</f>
        <v>Nákup [kg]</v>
      </c>
      <c r="B21" s="122">
        <f>RawData!D46</f>
        <v>37200</v>
      </c>
      <c r="C21" s="123">
        <f>RawData!D52</f>
        <v>24800</v>
      </c>
      <c r="G21" s="244" t="str">
        <f>IF(Instructions!$B$1="CZ","Zaměstnanci - aktivní","Employees - active")</f>
        <v>Zaměstnanci - aktivní</v>
      </c>
      <c r="H21" s="144">
        <f>RawData!N61</f>
        <v>27</v>
      </c>
      <c r="I21" s="144">
        <f>RawData!N98</f>
        <v>27</v>
      </c>
      <c r="J21" s="144">
        <f>RawData!N135</f>
        <v>29</v>
      </c>
      <c r="K21" s="144">
        <f>RawData!N172</f>
        <v>28</v>
      </c>
      <c r="L21" s="176"/>
    </row>
    <row r="22" spans="1:12" x14ac:dyDescent="0.3">
      <c r="A22" s="3" t="str">
        <f>IF(Instructions!$B$1="CZ","Cena [Kč za kg]","Price [CZK per kg]")</f>
        <v>Cena [Kč za kg]</v>
      </c>
      <c r="B22" s="217">
        <f>RawData!D47</f>
        <v>24</v>
      </c>
      <c r="C22" s="216">
        <f>RawData!D53</f>
        <v>12.38</v>
      </c>
      <c r="G22" s="244" t="str">
        <f>IF(Instructions!$B$1="CZ","Zaměstnanci - změna","Employees - change")</f>
        <v>Zaměstnanci - změna</v>
      </c>
      <c r="H22" s="144">
        <f>RawData!N62</f>
        <v>0</v>
      </c>
      <c r="I22" s="144">
        <f>RawData!N99</f>
        <v>2</v>
      </c>
      <c r="J22" s="144">
        <f>RawData!N136</f>
        <v>-1</v>
      </c>
      <c r="K22" s="144">
        <f>RawData!N173</f>
        <v>0</v>
      </c>
      <c r="L22" s="176"/>
    </row>
    <row r="23" spans="1:12" x14ac:dyDescent="0.3">
      <c r="A23" s="3" t="str">
        <f>IF(Instructions!$B$1="CZ","Spotřeba [kg]","Consumption [kg]")</f>
        <v>Spotřeba [kg]</v>
      </c>
      <c r="B23" s="122">
        <f>RawData!D48</f>
        <v>37200</v>
      </c>
      <c r="C23" s="123">
        <f>RawData!D54</f>
        <v>24800</v>
      </c>
      <c r="G23" s="244" t="str">
        <f>IF(Instructions!$B$1="CZ","Zaměstnanci - přům. náklady na pracovníka","Employees - average per employee")</f>
        <v>Zaměstnanci - přům. náklady na pracovníka</v>
      </c>
      <c r="H23" s="144">
        <f>RawData!N63</f>
        <v>48000</v>
      </c>
      <c r="I23" s="144">
        <f>RawData!N100</f>
        <v>48000</v>
      </c>
      <c r="J23" s="144">
        <f>RawData!N137</f>
        <v>49548</v>
      </c>
      <c r="K23" s="144">
        <f>RawData!N174</f>
        <v>46451</v>
      </c>
      <c r="L23" s="176"/>
    </row>
    <row r="24" spans="1:12" ht="16.2" thickBot="1" x14ac:dyDescent="0.35">
      <c r="A24" s="4" t="str">
        <f>IF(Instructions!$B$1="CZ","Konečná zásoba [kg]","Inventory [kg]")</f>
        <v>Konečná zásoba [kg]</v>
      </c>
      <c r="B24" s="122">
        <f>RawData!D49</f>
        <v>600</v>
      </c>
      <c r="C24" s="123">
        <f>RawData!D55</f>
        <v>700</v>
      </c>
      <c r="G24" s="244" t="str">
        <f>IF(Instructions!$B$1="CZ","Nedodržení plánované výroby","Production cut-backs")</f>
        <v>Nedodržení plánované výroby</v>
      </c>
      <c r="H24" s="144">
        <f>RawData!N64</f>
        <v>0</v>
      </c>
      <c r="I24" s="144">
        <f>RawData!N101</f>
        <v>0</v>
      </c>
      <c r="J24" s="144">
        <f>RawData!N138</f>
        <v>0</v>
      </c>
      <c r="K24" s="144">
        <f>RawData!N175</f>
        <v>0</v>
      </c>
      <c r="L24" s="122"/>
    </row>
    <row r="25" spans="1:12" ht="16.2" thickBot="1" x14ac:dyDescent="0.35">
      <c r="G25" s="244" t="str">
        <f>IF(Instructions!$B$1="CZ","Suroviny - nákup","Raw materials - purchase")</f>
        <v>Suroviny - nákup</v>
      </c>
      <c r="H25" s="144">
        <f>RawData!N65</f>
        <v>1076474</v>
      </c>
      <c r="I25" s="144">
        <f>RawData!N102</f>
        <v>1373850</v>
      </c>
      <c r="J25" s="144">
        <f>RawData!N139</f>
        <v>1278774</v>
      </c>
      <c r="K25" s="144">
        <f>RawData!N176</f>
        <v>1199824</v>
      </c>
      <c r="L25" s="176"/>
    </row>
    <row r="26" spans="1:12" ht="17.399999999999999" x14ac:dyDescent="0.3">
      <c r="A26" s="332" t="str">
        <f>IF(Instructions!$B$1="CZ","LIDSKÉ ZDROJE","HUMAN RESOURCES")</f>
        <v>LIDSKÉ ZDROJE</v>
      </c>
      <c r="B26" s="333"/>
      <c r="C26" s="333"/>
      <c r="D26" s="333"/>
      <c r="E26" s="334"/>
      <c r="G26" s="245" t="str">
        <f>IF(Instructions!$B$1="CZ","Suroviny - sleva","Raw materials - discount")</f>
        <v>Suroviny - sleva</v>
      </c>
      <c r="H26" s="144">
        <f>RawData!N66</f>
        <v>0</v>
      </c>
      <c r="I26" s="144">
        <f>RawData!N103</f>
        <v>0</v>
      </c>
      <c r="J26" s="144">
        <f>RawData!N140</f>
        <v>0</v>
      </c>
      <c r="K26" s="144">
        <f>RawData!N177</f>
        <v>0</v>
      </c>
      <c r="L26" s="176"/>
    </row>
    <row r="27" spans="1:12" x14ac:dyDescent="0.3">
      <c r="A27" s="128" t="str">
        <f>IF(Instructions!$B$1="CZ","Základní index","Base index")</f>
        <v>Základní index</v>
      </c>
      <c r="B27" s="1">
        <f>RawData!D65</f>
        <v>100</v>
      </c>
      <c r="D27" t="str">
        <f>IF(Instructions!$B$1="CZ","Pracovní náklady","Labour costs")</f>
        <v>Pracovní náklady</v>
      </c>
      <c r="E27" s="294">
        <f>RawData!D71</f>
        <v>1440000</v>
      </c>
      <c r="F27" s="1"/>
      <c r="G27" s="246" t="str">
        <f>IF(Instructions!$B$1="CZ","Suroviny - zásoba","Raw materials - stock")</f>
        <v>Suroviny - zásoba</v>
      </c>
      <c r="H27" s="144">
        <f>RawData!N67</f>
        <v>23345</v>
      </c>
      <c r="I27" s="144">
        <f>RawData!N104</f>
        <v>25800</v>
      </c>
      <c r="J27" s="144">
        <f>RawData!N141</f>
        <v>25002</v>
      </c>
      <c r="K27" s="144">
        <f>RawData!N178</f>
        <v>23066</v>
      </c>
      <c r="L27" s="176"/>
    </row>
    <row r="28" spans="1:12" x14ac:dyDescent="0.3">
      <c r="A28" s="128" t="str">
        <f>IF(Instructions!$B$1="CZ","Mzdový index","Wage index")</f>
        <v>Mzdový index</v>
      </c>
      <c r="B28" s="1">
        <f>RawData!D66</f>
        <v>100</v>
      </c>
      <c r="D28" t="str">
        <f>IF(Instructions!$B$1="CZ","Prům. náklady na pracovníka","Average per employee")</f>
        <v>Prům. náklady na pracovníka</v>
      </c>
      <c r="E28" s="294">
        <f>RawData!D72</f>
        <v>46452</v>
      </c>
      <c r="G28" s="247" t="str">
        <f>IF(Instructions!$B$1="CZ","Suroviny - skladovací náklady","Raw materials - storage costs")</f>
        <v>Suroviny - skladovací náklady</v>
      </c>
      <c r="H28" s="144">
        <f>RawData!N68</f>
        <v>650</v>
      </c>
      <c r="I28" s="144">
        <f>RawData!N105</f>
        <v>650</v>
      </c>
      <c r="J28" s="144">
        <f>RawData!N142</f>
        <v>650</v>
      </c>
      <c r="K28" s="144">
        <f>RawData!N179</f>
        <v>650</v>
      </c>
      <c r="L28" s="122">
        <f>SUM(H28:K28)</f>
        <v>2600</v>
      </c>
    </row>
    <row r="29" spans="1:12" x14ac:dyDescent="0.3">
      <c r="A29" s="128" t="str">
        <f>IF(Instructions!$B$1="CZ","Změna mzdového indexu","Change in wage level")</f>
        <v>Změna mzdového indexu</v>
      </c>
      <c r="B29" s="1">
        <f>RawData!D67</f>
        <v>0</v>
      </c>
      <c r="E29" s="129"/>
      <c r="G29" s="244" t="str">
        <f>IF(Instructions!$B$1="CZ","Výrobky - zásoba","Products - stock")</f>
        <v>Výrobky - zásoba</v>
      </c>
      <c r="H29" s="144">
        <f>RawData!N69</f>
        <v>4626000</v>
      </c>
      <c r="I29" s="144">
        <f>RawData!N106</f>
        <v>4740000</v>
      </c>
      <c r="J29" s="144">
        <f>RawData!N143</f>
        <v>4728000</v>
      </c>
      <c r="K29" s="144">
        <f>RawData!N180</f>
        <v>4790400</v>
      </c>
      <c r="L29" s="122"/>
    </row>
    <row r="30" spans="1:12" x14ac:dyDescent="0.3">
      <c r="A30" s="128" t="str">
        <f>IF(Instructions!$B$1="CZ","Vzdělávání","Training")</f>
        <v>Vzdělávání</v>
      </c>
      <c r="B30" s="1">
        <f>B32-B28-B29-B31</f>
        <v>0</v>
      </c>
      <c r="E30" s="129"/>
      <c r="G30" s="247" t="str">
        <f>IF(Instructions!$B$1="CZ","Výrobky - skladovací náklady","Products - storage costs")</f>
        <v>Výrobky - skladovací náklady</v>
      </c>
      <c r="H30" s="144">
        <f>RawData!N70</f>
        <v>30150</v>
      </c>
      <c r="I30" s="144">
        <f>RawData!N107</f>
        <v>30750</v>
      </c>
      <c r="J30" s="144">
        <f>RawData!N144</f>
        <v>30700</v>
      </c>
      <c r="K30" s="144">
        <f>RawData!N181</f>
        <v>30810</v>
      </c>
      <c r="L30" s="122">
        <f>SUM(H30:K30)</f>
        <v>122410</v>
      </c>
    </row>
    <row r="31" spans="1:12" x14ac:dyDescent="0.3">
      <c r="A31" s="128" t="str">
        <f>IF(Instructions!$B$1="CZ","Vliv kokurence","Influence of competition")</f>
        <v>Vliv kokurence</v>
      </c>
      <c r="B31" s="1">
        <f>RawData!D69</f>
        <v>0</v>
      </c>
      <c r="E31" s="129"/>
      <c r="G31" s="244" t="s">
        <v>17</v>
      </c>
      <c r="H31" s="144">
        <f>RawData!N71</f>
        <v>100</v>
      </c>
      <c r="I31" s="144">
        <f>RawData!N108</f>
        <v>100</v>
      </c>
      <c r="J31" s="144">
        <f>RawData!N145</f>
        <v>100</v>
      </c>
      <c r="K31" s="144">
        <f>RawData!N182</f>
        <v>100</v>
      </c>
      <c r="L31" s="122"/>
    </row>
    <row r="32" spans="1:12" ht="16.2" thickBot="1" x14ac:dyDescent="0.35">
      <c r="A32" s="130" t="str">
        <f>IF(Instructions!$B$1="CZ","Nový index","New index")</f>
        <v>Nový index</v>
      </c>
      <c r="B32" s="131">
        <f>RawData!D70</f>
        <v>100</v>
      </c>
      <c r="C32" s="132"/>
      <c r="D32" s="132"/>
      <c r="E32" s="133"/>
      <c r="G32" s="243" t="str">
        <f>IF(Instructions!$B$1="CZ","Průměrný PI na trhu","PI - market average")</f>
        <v>Průměrný PI na trhu</v>
      </c>
      <c r="H32" s="144">
        <f>RawData!N72</f>
        <v>100</v>
      </c>
      <c r="I32" s="144">
        <f>RawData!N109</f>
        <v>100</v>
      </c>
      <c r="J32" s="144">
        <f>RawData!N146</f>
        <v>100</v>
      </c>
      <c r="K32" s="144">
        <f>RawData!N183</f>
        <v>100</v>
      </c>
      <c r="L32" s="144"/>
    </row>
    <row r="33" spans="1:12" x14ac:dyDescent="0.3">
      <c r="G33" s="286" t="str">
        <f>IF(Instructions!$B$1="CZ","Mzdový index","Wage index")</f>
        <v>Mzdový index</v>
      </c>
      <c r="H33" s="144">
        <f>RawData!N73</f>
        <v>100</v>
      </c>
      <c r="I33" s="144">
        <f>RawData!N110</f>
        <v>100</v>
      </c>
      <c r="J33" s="144">
        <f>RawData!N147</f>
        <v>100</v>
      </c>
      <c r="K33" s="144">
        <f>RawData!N184</f>
        <v>100</v>
      </c>
      <c r="L33" s="144"/>
    </row>
    <row r="34" spans="1:12" ht="17.399999999999999" x14ac:dyDescent="0.3">
      <c r="A34" s="341" t="s">
        <v>18</v>
      </c>
      <c r="B34" s="341"/>
      <c r="C34" s="134"/>
      <c r="D34" s="134"/>
      <c r="E34" s="134"/>
      <c r="G34" s="244" t="str">
        <f>IF(Instructions!$B$1="CZ","Vzdělávání","Training")</f>
        <v>Vzdělávání</v>
      </c>
      <c r="H34" s="144">
        <f>RawData!N74</f>
        <v>0</v>
      </c>
      <c r="I34" s="144">
        <f>RawData!N111</f>
        <v>0</v>
      </c>
      <c r="J34" s="144">
        <f>RawData!N148</f>
        <v>0</v>
      </c>
      <c r="K34" s="144">
        <f>RawData!N185</f>
        <v>0</v>
      </c>
      <c r="L34" s="122"/>
    </row>
    <row r="35" spans="1:12" x14ac:dyDescent="0.3">
      <c r="A35" s="224" t="str">
        <f>IF(Instructions!$B$1="CZ","VÝCHOZÍ STAV HOTOVOSTI","OPENING BALANCE")</f>
        <v>VÝCHOZÍ STAV HOTOVOSTI</v>
      </c>
      <c r="B35" s="125">
        <f>RawData!D94</f>
        <v>1407722</v>
      </c>
      <c r="G35" s="244" t="str">
        <f>IF(Instructions!$B$1="CZ","Úvěry","Credits")</f>
        <v>Úvěry</v>
      </c>
      <c r="H35" s="144">
        <f>RawData!N75</f>
        <v>0</v>
      </c>
      <c r="I35" s="144">
        <f>RawData!N112</f>
        <v>0</v>
      </c>
      <c r="J35" s="144">
        <f>RawData!N149</f>
        <v>0</v>
      </c>
      <c r="K35" s="144">
        <f>RawData!N186</f>
        <v>0</v>
      </c>
      <c r="L35" s="122">
        <f>SUM(H35:K35)</f>
        <v>0</v>
      </c>
    </row>
    <row r="36" spans="1:12" x14ac:dyDescent="0.3">
      <c r="A36" s="224" t="str">
        <f>IF(Instructions!$B$1="CZ","Tržby","Sales revenues")</f>
        <v>Tržby</v>
      </c>
      <c r="B36" s="125">
        <f>RawData!D95</f>
        <v>3903353</v>
      </c>
      <c r="G36" s="244" t="str">
        <f>IF(Instructions!$B$1="CZ","Splátky","Repayments")</f>
        <v>Splátky</v>
      </c>
      <c r="H36" s="144">
        <f>RawData!N76</f>
        <v>0</v>
      </c>
      <c r="I36" s="144">
        <f>RawData!N113</f>
        <v>0</v>
      </c>
      <c r="J36" s="144">
        <f>RawData!N150</f>
        <v>0</v>
      </c>
      <c r="K36" s="144">
        <f>RawData!N187</f>
        <v>0</v>
      </c>
      <c r="L36" s="122">
        <f>SUM(H36:K36)</f>
        <v>0</v>
      </c>
    </row>
    <row r="37" spans="1:12" x14ac:dyDescent="0.3">
      <c r="A37" s="224" t="str">
        <f>IF(Instructions!$B$1="CZ","Investiční úvěry","Investment credits")</f>
        <v>Investiční úvěry</v>
      </c>
      <c r="B37" s="125">
        <f>RawData!D96</f>
        <v>0</v>
      </c>
      <c r="G37" s="244" t="str">
        <f>IF(Instructions!$B$1="CZ","Překlenovací úvěr","Extended credit")</f>
        <v>Překlenovací úvěr</v>
      </c>
      <c r="H37" s="144">
        <f>RawData!N77</f>
        <v>0</v>
      </c>
      <c r="I37" s="144">
        <f>RawData!N114</f>
        <v>0</v>
      </c>
      <c r="J37" s="144">
        <f>RawData!N151</f>
        <v>0</v>
      </c>
      <c r="K37" s="144">
        <f>RawData!N188</f>
        <v>0</v>
      </c>
      <c r="L37" s="122">
        <f>SUM(H37:K37)</f>
        <v>0</v>
      </c>
    </row>
    <row r="38" spans="1:12" x14ac:dyDescent="0.3">
      <c r="A38" s="224" t="str">
        <f>IF(Instructions!$B$1="CZ","Překlenovací úvěr","Extended credit")</f>
        <v>Překlenovací úvěr</v>
      </c>
      <c r="B38" s="125">
        <f>RawData!D97</f>
        <v>0</v>
      </c>
      <c r="G38" s="244" t="str">
        <f>IF(Instructions!$B$1="CZ","Hotovost","Cash")</f>
        <v>Hotovost</v>
      </c>
      <c r="H38" s="144">
        <f>RawData!N78</f>
        <v>1147756</v>
      </c>
      <c r="I38" s="144">
        <f>RawData!N115</f>
        <v>1393461</v>
      </c>
      <c r="J38" s="144">
        <f>RawData!N152</f>
        <v>1407722</v>
      </c>
      <c r="K38" s="144">
        <f>RawData!N189</f>
        <v>1854716</v>
      </c>
      <c r="L38" s="176"/>
    </row>
    <row r="39" spans="1:12" x14ac:dyDescent="0.3">
      <c r="A39" s="224" t="str">
        <f>IF(Instructions!$B$1="CZ","Mimořádné příjmy","Extraordinary incomes")</f>
        <v>Mimořádné příjmy</v>
      </c>
      <c r="B39" s="125">
        <f>RawData!D98</f>
        <v>0</v>
      </c>
      <c r="G39" s="244" t="str">
        <f>IF(Instructions!$B$1="CZ","Cena akcie","Stockprice")</f>
        <v>Cena akcie</v>
      </c>
      <c r="H39" s="144">
        <f>RawData!N79</f>
        <v>66.760000000000005</v>
      </c>
      <c r="I39" s="144">
        <f>RawData!N116</f>
        <v>64.33</v>
      </c>
      <c r="J39" s="144">
        <f>RawData!N153</f>
        <v>58.44</v>
      </c>
      <c r="K39" s="144">
        <f>RawData!N190</f>
        <v>69.319999999999993</v>
      </c>
      <c r="L39" s="122"/>
    </row>
    <row r="40" spans="1:12" x14ac:dyDescent="0.3">
      <c r="A40" s="224" t="str">
        <f>IF(Instructions!$B$1="CZ","PŘÍJMY CELKEM","TOTAL REVENUES")</f>
        <v>PŘÍJMY CELKEM</v>
      </c>
      <c r="B40" s="125">
        <f>RawData!D99</f>
        <v>3903353</v>
      </c>
    </row>
    <row r="41" spans="1:12" x14ac:dyDescent="0.3">
      <c r="A41" s="224" t="str">
        <f>IF(Instructions!$B$1="CZ","Investice","Investments")</f>
        <v>Investice</v>
      </c>
      <c r="B41" s="125">
        <f>RawData!D100</f>
        <v>0</v>
      </c>
      <c r="C41" s="1"/>
    </row>
    <row r="42" spans="1:12" x14ac:dyDescent="0.3">
      <c r="A42" s="224" t="str">
        <f>IF(Instructions!$B$1="CZ","Marketingové oddělení","Marketing department")</f>
        <v>Marketingové oddělení</v>
      </c>
      <c r="B42" s="125">
        <f>RawData!D101</f>
        <v>150000</v>
      </c>
      <c r="C42" s="1"/>
    </row>
    <row r="43" spans="1:12" x14ac:dyDescent="0.3">
      <c r="A43" s="224" t="str">
        <f>IF(Instructions!$B$1="CZ","Průzkumy","Market research")</f>
        <v>Průzkumy</v>
      </c>
      <c r="B43" s="125">
        <f>RawData!D102</f>
        <v>164000</v>
      </c>
      <c r="C43" s="1"/>
    </row>
    <row r="44" spans="1:12" x14ac:dyDescent="0.3">
      <c r="A44" s="224" t="str">
        <f>IF(Instructions!$B$1="CZ","Úroky","Interests")</f>
        <v>Úroky</v>
      </c>
      <c r="B44" s="125">
        <f>RawData!D103</f>
        <v>0</v>
      </c>
      <c r="C44" s="1"/>
    </row>
    <row r="45" spans="1:12" x14ac:dyDescent="0.3">
      <c r="A45" s="224" t="str">
        <f>IF(Instructions!$B$1="CZ","Splátky","Repayments")</f>
        <v>Splátky</v>
      </c>
      <c r="B45" s="125">
        <f>RawData!D104</f>
        <v>0</v>
      </c>
      <c r="C45" s="1"/>
    </row>
    <row r="46" spans="1:12" x14ac:dyDescent="0.3">
      <c r="A46" s="224" t="str">
        <f>IF(Instructions!$B$1="CZ","Materiál","Material")</f>
        <v>Materiál</v>
      </c>
      <c r="B46" s="125">
        <f>RawData!D105</f>
        <v>1199824</v>
      </c>
      <c r="C46" s="1"/>
    </row>
    <row r="47" spans="1:12" x14ac:dyDescent="0.3">
      <c r="A47" s="224" t="str">
        <f>IF(Instructions!$B$1="CZ","Výroba","Production")</f>
        <v>Výroba</v>
      </c>
      <c r="B47" s="125">
        <f>RawData!D106</f>
        <v>1890000</v>
      </c>
      <c r="C47" s="1"/>
    </row>
    <row r="48" spans="1:12" x14ac:dyDescent="0.3">
      <c r="A48" s="224" t="str">
        <f>IF(Instructions!$B$1="CZ","Neuspokojená poptávka","Out-of-stock costs")</f>
        <v>Neuspokojená poptávka</v>
      </c>
      <c r="B48" s="125">
        <f>RawData!D107</f>
        <v>21075</v>
      </c>
      <c r="C48" s="1"/>
    </row>
    <row r="49" spans="1:5" x14ac:dyDescent="0.3">
      <c r="A49" s="224" t="str">
        <f>IF(Instructions!$B$1="CZ","Skladování materiálu","Storage costs - raw materials")</f>
        <v>Skladování materiálu</v>
      </c>
      <c r="B49" s="125">
        <f>RawData!D108</f>
        <v>650</v>
      </c>
      <c r="C49" s="1"/>
    </row>
    <row r="50" spans="1:5" x14ac:dyDescent="0.3">
      <c r="A50" s="224" t="str">
        <f>IF(Instructions!$B$1="CZ","Skladování výrobků","Storage costs - end products")</f>
        <v>Skladování výrobků</v>
      </c>
      <c r="B50" s="125">
        <f>RawData!D109</f>
        <v>30810</v>
      </c>
      <c r="C50" s="1"/>
    </row>
    <row r="51" spans="1:5" x14ac:dyDescent="0.3">
      <c r="A51" s="224" t="str">
        <f>IF(Instructions!$B$1="CZ","Daně","Taxes")</f>
        <v>Daně</v>
      </c>
      <c r="B51" s="125">
        <f>RawData!D110</f>
        <v>0</v>
      </c>
    </row>
    <row r="52" spans="1:5" x14ac:dyDescent="0.3">
      <c r="A52" s="224" t="str">
        <f>IF(Instructions!$B$1="CZ","Mimořádné výdaje","Extraordinary expenses")</f>
        <v>Mimořádné výdaje</v>
      </c>
      <c r="B52" s="125">
        <f>RawData!D111</f>
        <v>0</v>
      </c>
    </row>
    <row r="53" spans="1:5" x14ac:dyDescent="0.3">
      <c r="A53" s="224" t="str">
        <f>IF(Instructions!$B$1="CZ","VÝDAJE CELKEM","TOTAL EXPENSES")</f>
        <v>VÝDAJE CELKEM</v>
      </c>
      <c r="B53" s="125">
        <f>RawData!D112</f>
        <v>3456359</v>
      </c>
      <c r="E53" s="1"/>
    </row>
    <row r="54" spans="1:5" x14ac:dyDescent="0.3">
      <c r="A54" s="224" t="str">
        <f>IF(Instructions!$B$1="CZ","KONEČNÝ STAV HOTOVOSTI","CASH BALANCE")</f>
        <v>KONEČNÝ STAV HOTOVOSTI</v>
      </c>
      <c r="B54" s="125">
        <f>B35+B40-B53</f>
        <v>1854716</v>
      </c>
      <c r="E54" s="1"/>
    </row>
    <row r="55" spans="1:5" ht="16.2" thickBot="1" x14ac:dyDescent="0.35">
      <c r="E55" s="1"/>
    </row>
    <row r="56" spans="1:5" ht="17.399999999999999" x14ac:dyDescent="0.3">
      <c r="A56" s="332" t="str">
        <f>IF(Instructions!$B$1="CZ","ROZVAHA","BALANCE SHEET")</f>
        <v>ROZVAHA</v>
      </c>
      <c r="B56" s="333"/>
      <c r="C56" s="333"/>
      <c r="D56" s="333"/>
      <c r="E56" s="334"/>
    </row>
    <row r="57" spans="1:5" x14ac:dyDescent="0.3">
      <c r="A57" s="128" t="str">
        <f>IF(Instructions!$B$1="CZ","Budovy","Buildings")</f>
        <v>Budovy</v>
      </c>
      <c r="B57" s="297">
        <f>RawData!D121</f>
        <v>3000000</v>
      </c>
      <c r="D57" t="str">
        <f>IF(Instructions!$B$1="CZ","Vlastní kapitál","Equity")</f>
        <v>Vlastní kapitál</v>
      </c>
      <c r="E57" s="299">
        <f>RawData!D132</f>
        <v>10985278</v>
      </c>
    </row>
    <row r="58" spans="1:5" x14ac:dyDescent="0.3">
      <c r="A58" s="128" t="str">
        <f>IF(Instructions!$B$1="CZ","Stroje","Machines")</f>
        <v>Stroje</v>
      </c>
      <c r="B58" s="297">
        <f>RawData!D122</f>
        <v>1800000</v>
      </c>
      <c r="D58" t="str">
        <f>IF(Instructions!$B$1="CZ","Úvěry","Credits")</f>
        <v>Úvěry</v>
      </c>
      <c r="E58" s="299">
        <f>RawData!D133</f>
        <v>0</v>
      </c>
    </row>
    <row r="59" spans="1:5" x14ac:dyDescent="0.3">
      <c r="A59" s="128" t="str">
        <f>IF(Instructions!$B$1="CZ","Suroviny","Raw materials")</f>
        <v>Suroviny</v>
      </c>
      <c r="B59" s="297">
        <f>RawData!D123</f>
        <v>23066</v>
      </c>
      <c r="D59" t="str">
        <f>IF(Instructions!$B$1="CZ","Překlenovací úvěr","Extended credit")</f>
        <v>Překlenovací úvěr</v>
      </c>
      <c r="E59" s="299">
        <f>RawData!D134</f>
        <v>0</v>
      </c>
    </row>
    <row r="60" spans="1:5" x14ac:dyDescent="0.3">
      <c r="A60" s="128" t="str">
        <f>IF(Instructions!$B$1="CZ","Hotové výrobky","End products")</f>
        <v>Hotové výrobky</v>
      </c>
      <c r="B60" s="297">
        <f>RawData!D124</f>
        <v>4790400</v>
      </c>
      <c r="D60" t="str">
        <f>IF(Instructions!$B$1="CZ","Daně","Taxes")</f>
        <v>Daně</v>
      </c>
      <c r="E60" s="299">
        <f>RawData!D135</f>
        <v>482904</v>
      </c>
    </row>
    <row r="61" spans="1:5" x14ac:dyDescent="0.3">
      <c r="A61" s="128" t="str">
        <f>IF(Instructions!$B$1="CZ","Hotovost","Cash")</f>
        <v>Hotovost</v>
      </c>
      <c r="B61" s="297">
        <f>RawData!D125</f>
        <v>1854716</v>
      </c>
      <c r="E61" s="294"/>
    </row>
    <row r="62" spans="1:5" ht="16.2" thickBot="1" x14ac:dyDescent="0.35">
      <c r="A62" s="130" t="str">
        <f>IF(Instructions!$B$1="CZ","CELKEM","TOTAL")</f>
        <v>CELKEM</v>
      </c>
      <c r="B62" s="298">
        <f>B57+B58+B59+B60+B61</f>
        <v>11468182</v>
      </c>
      <c r="C62" s="132"/>
      <c r="D62" s="132" t="str">
        <f>IF(Instructions!$B$1="CZ","CELKEM","TOTAL")</f>
        <v>CELKEM</v>
      </c>
      <c r="E62" s="295">
        <f>E57+E58+E59+E60</f>
        <v>11468182</v>
      </c>
    </row>
    <row r="63" spans="1:5" ht="16.2" thickBot="1" x14ac:dyDescent="0.35">
      <c r="E63" s="1"/>
    </row>
    <row r="64" spans="1:5" ht="17.399999999999999" x14ac:dyDescent="0.3">
      <c r="A64" s="332" t="s">
        <v>19</v>
      </c>
      <c r="B64" s="334"/>
      <c r="E64" s="1"/>
    </row>
    <row r="65" spans="1:13" x14ac:dyDescent="0.3">
      <c r="A65" s="3" t="str">
        <f>Instructions!B5</f>
        <v>Byte Strategists</v>
      </c>
      <c r="B65" s="283">
        <f>RawData!D139</f>
        <v>69.319999999999993</v>
      </c>
      <c r="E65" s="1"/>
    </row>
    <row r="66" spans="1:13" x14ac:dyDescent="0.3">
      <c r="A66" s="3" t="s">
        <v>20</v>
      </c>
      <c r="B66" s="283">
        <f>RawData!D145</f>
        <v>69.319999999999993</v>
      </c>
      <c r="E66" s="1"/>
    </row>
    <row r="67" spans="1:13" x14ac:dyDescent="0.3">
      <c r="A67" s="3" t="s">
        <v>21</v>
      </c>
      <c r="B67" s="283">
        <f>RawData!D146</f>
        <v>68.540000000000006</v>
      </c>
      <c r="D67" s="1"/>
    </row>
    <row r="68" spans="1:13" x14ac:dyDescent="0.3">
      <c r="A68" s="3" t="s">
        <v>22</v>
      </c>
      <c r="B68" s="283">
        <f>RawData!D147</f>
        <v>67.97</v>
      </c>
    </row>
    <row r="69" spans="1:13" ht="16.2" thickBot="1" x14ac:dyDescent="0.35">
      <c r="A69" s="4" t="s">
        <v>23</v>
      </c>
      <c r="B69" s="284">
        <f>RawData!D148</f>
        <v>67.95</v>
      </c>
      <c r="M69" s="1"/>
    </row>
    <row r="70" spans="1:13" ht="16.2" thickBot="1" x14ac:dyDescent="0.35"/>
    <row r="71" spans="1:13" ht="18" thickBot="1" x14ac:dyDescent="0.35">
      <c r="A71" s="336" t="str">
        <f>IF(Instructions!$B$1="CZ","VÝKAZ ZISKŮ A ZTRÁT","PROFIT AND LOSS ACCOUNT")</f>
        <v>VÝKAZ ZISKŮ A ZTRÁT</v>
      </c>
      <c r="B71" s="337"/>
      <c r="G71" s="7" t="str">
        <f>IF(Instructions!$B$1="CZ","Ziskovost-STOLY","Profitability-DESKS")</f>
        <v>Ziskovost-STOLY</v>
      </c>
      <c r="H71" s="7" t="str">
        <f>IF(Instructions!$B$1="CZ","SKŘÍŇKY","CABINETS")</f>
        <v>SKŘÍŇKY</v>
      </c>
    </row>
    <row r="72" spans="1:13" x14ac:dyDescent="0.3">
      <c r="A72" s="157" t="str">
        <f>IF(Instructions!$B$1="CZ","Tržby","Sales revenues")</f>
        <v>Tržby</v>
      </c>
      <c r="B72" s="293">
        <f>RawData!D170</f>
        <v>3903353</v>
      </c>
      <c r="G72" s="62">
        <f>B9</f>
        <v>2412500</v>
      </c>
      <c r="H72" s="62">
        <f>C9</f>
        <v>1490853</v>
      </c>
      <c r="I72" s="1">
        <f>G72+H72-B72</f>
        <v>0</v>
      </c>
    </row>
    <row r="73" spans="1:13" x14ac:dyDescent="0.3">
      <c r="A73" s="128" t="str">
        <f>IF(Instructions!$B$1="CZ","Náklady prodaných výrobků","Costs of goods sold")</f>
        <v>Náklady prodaných výrobků</v>
      </c>
      <c r="B73" s="294">
        <f>RawData!D171</f>
        <v>3134845</v>
      </c>
      <c r="G73" s="62">
        <f>SUM(G74:G76)</f>
        <v>2012084.0391581289</v>
      </c>
      <c r="H73" s="62">
        <f>SUM(H74:H76)</f>
        <v>1122760.9608418709</v>
      </c>
      <c r="I73" s="1">
        <f t="shared" ref="I73:I87" si="1">G73+H73-B73</f>
        <v>0</v>
      </c>
    </row>
    <row r="74" spans="1:13" x14ac:dyDescent="0.3">
      <c r="A74" s="128" t="str">
        <f>IF(Instructions!$B$1="CZ","   Suroviny prodaných výrobků","   Raw materials in sold products")</f>
        <v xml:space="preserve">   Suroviny prodaných výrobků</v>
      </c>
      <c r="B74" s="159">
        <f>RawData!D172</f>
        <v>1307245</v>
      </c>
      <c r="C74" s="1"/>
      <c r="D74" s="1"/>
      <c r="G74" s="62">
        <f>B9/(B9+C9)*B74</f>
        <v>807953.71633054968</v>
      </c>
      <c r="H74" s="62">
        <f>C9/(B9+C9)*B74</f>
        <v>499291.28366945032</v>
      </c>
      <c r="I74" s="1">
        <f t="shared" si="1"/>
        <v>0</v>
      </c>
    </row>
    <row r="75" spans="1:13" x14ac:dyDescent="0.3">
      <c r="A75" s="128" t="str">
        <f>IF(Instructions!$B$1="CZ","   Výrobní náklady","   Production costs")</f>
        <v xml:space="preserve">   Výrobní náklady</v>
      </c>
      <c r="B75" s="159">
        <f>RawData!D173</f>
        <v>1890000</v>
      </c>
      <c r="D75" s="1"/>
      <c r="G75" s="62">
        <f>B9/(B9+C9)*B75</f>
        <v>1168130.3228275792</v>
      </c>
      <c r="H75" s="62">
        <f>C9/(B9+C9)*B75</f>
        <v>721869.67717242066</v>
      </c>
      <c r="I75" s="1">
        <f t="shared" si="1"/>
        <v>0</v>
      </c>
    </row>
    <row r="76" spans="1:13" x14ac:dyDescent="0.3">
      <c r="A76" s="157" t="str">
        <f>IF(Instructions!$B$1="CZ","   Změna stavu zásob výrobků","   Change of stock - end products")</f>
        <v xml:space="preserve">   Změna stavu zásob výrobků</v>
      </c>
      <c r="B76" s="167">
        <f>RawData!D174</f>
        <v>-62400</v>
      </c>
      <c r="C76" s="1"/>
      <c r="G76" s="62">
        <f>(B13-B16)*Data!B9</f>
        <v>36000</v>
      </c>
      <c r="H76" s="62">
        <f>(C13-C16)*Data!B10</f>
        <v>-98400</v>
      </c>
      <c r="I76" s="1">
        <f t="shared" si="1"/>
        <v>0</v>
      </c>
    </row>
    <row r="77" spans="1:13" ht="16.2" thickBot="1" x14ac:dyDescent="0.35">
      <c r="A77" s="130" t="str">
        <f>IF(Instructions!$B$1="CZ","Hrubý zisk","Gross result")</f>
        <v>Hrubý zisk</v>
      </c>
      <c r="B77" s="295">
        <f>RawData!D175</f>
        <v>768508</v>
      </c>
      <c r="G77" s="62">
        <f>G72-G73</f>
        <v>400415.9608418711</v>
      </c>
      <c r="H77" s="62">
        <f>H72-H73</f>
        <v>368092.03915812913</v>
      </c>
      <c r="I77" s="1">
        <f t="shared" si="1"/>
        <v>0</v>
      </c>
    </row>
    <row r="78" spans="1:13" x14ac:dyDescent="0.3">
      <c r="A78" s="128" t="str">
        <f>IF(Instructions!$B$1="CZ","Nepřímé náklady","Indirect costs")</f>
        <v>Nepřímé náklady</v>
      </c>
      <c r="B78" s="294">
        <f>RawData!D176</f>
        <v>366535</v>
      </c>
      <c r="G78" s="62">
        <f>SUM(G79:G83)</f>
        <v>237247.06670777663</v>
      </c>
      <c r="H78" s="62">
        <f>SUM(H79:H83)</f>
        <v>129287.93329222337</v>
      </c>
      <c r="I78" s="1">
        <f t="shared" si="1"/>
        <v>0</v>
      </c>
    </row>
    <row r="79" spans="1:13" x14ac:dyDescent="0.3">
      <c r="A79" s="128" t="str">
        <f>IF(Instructions!$B$1="CZ","   Průzkum trhu","   Market survey")</f>
        <v xml:space="preserve">   Průzkum trhu</v>
      </c>
      <c r="B79" s="294">
        <f>RawData!D177</f>
        <v>164000</v>
      </c>
      <c r="G79" s="62">
        <f>B9/(B9+C9)*B79</f>
        <v>101361.57298609683</v>
      </c>
      <c r="H79" s="62">
        <f>C9/(B9+C9)*B79</f>
        <v>62638.427013903172</v>
      </c>
      <c r="I79" s="1">
        <f t="shared" si="1"/>
        <v>0</v>
      </c>
    </row>
    <row r="80" spans="1:13" x14ac:dyDescent="0.3">
      <c r="A80" s="128" t="str">
        <f>IF(Instructions!$B$1="CZ","   Marketingové oddělení","   Sales staff")</f>
        <v xml:space="preserve">   Marketingové oddělení</v>
      </c>
      <c r="B80" s="294">
        <f>RawData!D178</f>
        <v>150000</v>
      </c>
      <c r="G80" s="62">
        <f>B9/(B9+C9)*B80</f>
        <v>92708.75577996661</v>
      </c>
      <c r="H80" s="62">
        <f>C9/(B9+C9)*B80</f>
        <v>57291.24422003339</v>
      </c>
      <c r="I80" s="1">
        <f t="shared" si="1"/>
        <v>0</v>
      </c>
    </row>
    <row r="81" spans="1:9" x14ac:dyDescent="0.3">
      <c r="A81" s="128" t="str">
        <f>IF(Instructions!$B$1="CZ","   Náklady neuspokojené poptávky","   Out-of-stock costs")</f>
        <v xml:space="preserve">   Náklady neuspokojené poptávky</v>
      </c>
      <c r="B81" s="294">
        <f>RawData!D179</f>
        <v>21075</v>
      </c>
      <c r="G81" s="62">
        <f>IF(AND(B5&lt;1300,B8-B7&lt;0),(B7-B8)*25,0)</f>
        <v>21075</v>
      </c>
      <c r="H81" s="62">
        <f>IF(AND(C5&lt;2800,C8-C7&lt;0),(C7-C8)*50,0)</f>
        <v>0</v>
      </c>
      <c r="I81" s="1">
        <f t="shared" si="1"/>
        <v>0</v>
      </c>
    </row>
    <row r="82" spans="1:9" x14ac:dyDescent="0.3">
      <c r="A82" s="128" t="str">
        <f>IF(Instructions!$B$1="CZ","   Skladovací náklady - suroviny","   Storage costs - raw materials")</f>
        <v xml:space="preserve">   Skladovací náklady - suroviny</v>
      </c>
      <c r="B82" s="294">
        <f>RawData!D180</f>
        <v>650</v>
      </c>
      <c r="G82" s="62">
        <f>B9/(B9+C9)*B82</f>
        <v>401.73794171318866</v>
      </c>
      <c r="H82" s="62">
        <f>C9/(B9+C9)*B82</f>
        <v>248.26205828681134</v>
      </c>
      <c r="I82" s="1">
        <f t="shared" si="1"/>
        <v>0</v>
      </c>
    </row>
    <row r="83" spans="1:9" x14ac:dyDescent="0.3">
      <c r="A83" s="157" t="str">
        <f>IF(Instructions!$B$1="CZ","   Skladovací náklady - výrobky","   Storage costs - end products")</f>
        <v xml:space="preserve">   Skladovací náklady - výrobky</v>
      </c>
      <c r="B83" s="167">
        <f>RawData!D181</f>
        <v>30810</v>
      </c>
      <c r="G83" s="62">
        <f>B16*Data!F3</f>
        <v>21700</v>
      </c>
      <c r="H83" s="62">
        <f>C16*Data!F3</f>
        <v>9110</v>
      </c>
      <c r="I83" s="1">
        <f t="shared" si="1"/>
        <v>0</v>
      </c>
    </row>
    <row r="84" spans="1:9" ht="16.2" thickBot="1" x14ac:dyDescent="0.35">
      <c r="A84" s="128" t="str">
        <f>IF(Instructions!$B$1="CZ","Provozní zisk","Operating result")</f>
        <v>Provozní zisk</v>
      </c>
      <c r="B84" s="294">
        <f>RawData!D182</f>
        <v>401973</v>
      </c>
      <c r="G84" s="62">
        <f>G77-G78</f>
        <v>163168.89413409447</v>
      </c>
      <c r="H84" s="62">
        <f>H77-H78</f>
        <v>238804.10586590576</v>
      </c>
      <c r="I84" s="1">
        <f t="shared" si="1"/>
        <v>0</v>
      </c>
    </row>
    <row r="85" spans="1:9" x14ac:dyDescent="0.3">
      <c r="A85" s="190" t="str">
        <f>IF(Instructions!$B$1="CZ","Zaplacené úroky","Capital costs")</f>
        <v>Zaplacené úroky</v>
      </c>
      <c r="B85" s="296">
        <f>RawData!D183</f>
        <v>0</v>
      </c>
      <c r="G85" s="62">
        <f>B9/(B9+C9)*B85</f>
        <v>0</v>
      </c>
      <c r="H85" s="62">
        <f>C9/(B9+C9)*B85</f>
        <v>0</v>
      </c>
      <c r="I85" s="1">
        <f t="shared" si="1"/>
        <v>0</v>
      </c>
    </row>
    <row r="86" spans="1:9" x14ac:dyDescent="0.3">
      <c r="A86" s="128" t="str">
        <f>IF(Instructions!$B$1="CZ","Mimořádné výdaje","Extraordinary expenses")</f>
        <v>Mimořádné výdaje</v>
      </c>
      <c r="B86" s="294">
        <f>RawData!D184</f>
        <v>0</v>
      </c>
      <c r="G86" s="62">
        <f>B9/(B9+C9)*B86</f>
        <v>0</v>
      </c>
      <c r="H86" s="62">
        <f>C9/(B9+C9)*B86</f>
        <v>0</v>
      </c>
      <c r="I86" s="1">
        <f t="shared" si="1"/>
        <v>0</v>
      </c>
    </row>
    <row r="87" spans="1:9" x14ac:dyDescent="0.3">
      <c r="A87" s="128" t="str">
        <f>IF(Instructions!$B$1="CZ","Zisk z provozní činnosti před zdaněním","Normal operating result before tax")</f>
        <v>Zisk z provozní činnosti před zdaněním</v>
      </c>
      <c r="B87" s="294">
        <f>RawData!D185</f>
        <v>401973</v>
      </c>
      <c r="G87" s="62">
        <f>G84-G85-G86</f>
        <v>163168.89413409447</v>
      </c>
      <c r="H87" s="62">
        <f>H84-H85-H86</f>
        <v>238804.10586590576</v>
      </c>
      <c r="I87" s="1">
        <f t="shared" si="1"/>
        <v>0</v>
      </c>
    </row>
    <row r="88" spans="1:9" x14ac:dyDescent="0.3">
      <c r="A88" s="128" t="str">
        <f>IF(Instructions!$B$1="CZ","Daně","Taxes")</f>
        <v>Daně</v>
      </c>
      <c r="B88" s="294">
        <f>RawData!D186</f>
        <v>482904</v>
      </c>
    </row>
    <row r="89" spans="1:9" x14ac:dyDescent="0.3">
      <c r="A89" s="157" t="str">
        <f>IF(Instructions!$B$1="CZ","Zisk z provozní činnosti po zdanění","Normal operating result after tax")</f>
        <v>Zisk z provozní činnosti po zdanění</v>
      </c>
      <c r="B89" s="293">
        <f>RawData!D187</f>
        <v>-80930</v>
      </c>
      <c r="C89" s="194"/>
    </row>
    <row r="90" spans="1:9" x14ac:dyDescent="0.3">
      <c r="A90" s="128" t="str">
        <f>IF(Instructions!$B$1="CZ","Mimořádné příjmy","Extraordinary revenues")</f>
        <v>Mimořádné příjmy</v>
      </c>
      <c r="B90" s="294">
        <f>RawData!D188</f>
        <v>0</v>
      </c>
      <c r="C90" s="194"/>
    </row>
    <row r="91" spans="1:9" ht="16.2" thickBot="1" x14ac:dyDescent="0.35">
      <c r="A91" s="130" t="str">
        <f>IF(Instructions!$B$1="CZ","Celkový čistý zisk","Net result")</f>
        <v>Celkový čistý zisk</v>
      </c>
      <c r="B91" s="295">
        <f>RawData!D189</f>
        <v>-80930</v>
      </c>
    </row>
  </sheetData>
  <mergeCells count="12">
    <mergeCell ref="A56:E56"/>
    <mergeCell ref="G1:L1"/>
    <mergeCell ref="A71:B71"/>
    <mergeCell ref="A18:C18"/>
    <mergeCell ref="A26:E26"/>
    <mergeCell ref="A34:B34"/>
    <mergeCell ref="D6:E6"/>
    <mergeCell ref="D11:E11"/>
    <mergeCell ref="A1:E1"/>
    <mergeCell ref="A3:C3"/>
    <mergeCell ref="A11:C11"/>
    <mergeCell ref="A64:B64"/>
  </mergeCells>
  <pageMargins left="0.78740157499999996" right="0.78740157499999996" top="0.984251969" bottom="0.984251969" header="0.4921259845" footer="0.4921259845"/>
  <pageSetup paperSize="9" scale="77" orientation="portrait" r:id="rId1"/>
  <headerFooter alignWithMargins="0">
    <oddHeader>&amp;R5. KOLO</oddHeader>
    <oddFooter>Stránka &amp;P</oddFooter>
  </headerFooter>
  <rowBreaks count="1" manualBreakCount="1">
    <brk id="55" max="11" man="1"/>
  </rowBreaks>
  <colBreaks count="1" manualBreakCount="1">
    <brk id="5" max="90"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Q52"/>
  <sheetViews>
    <sheetView topLeftCell="A36" zoomScale="85" zoomScaleNormal="85" workbookViewId="0">
      <selection activeCell="C18" sqref="C18"/>
    </sheetView>
  </sheetViews>
  <sheetFormatPr defaultColWidth="8.8984375" defaultRowHeight="15.6" x14ac:dyDescent="0.3"/>
  <cols>
    <col min="1" max="1" width="39.5" bestFit="1" customWidth="1"/>
    <col min="2" max="2" width="11.5" customWidth="1"/>
    <col min="3" max="3" width="12.59765625" bestFit="1" customWidth="1"/>
    <col min="5" max="5" width="9.09765625" bestFit="1" customWidth="1"/>
    <col min="6" max="6" width="12.09765625" bestFit="1" customWidth="1"/>
    <col min="7" max="7" width="15.8984375" bestFit="1" customWidth="1"/>
    <col min="9" max="9" width="38.59765625" customWidth="1"/>
    <col min="10" max="10" width="19.296875" customWidth="1"/>
    <col min="11" max="11" width="14.19921875" bestFit="1" customWidth="1"/>
    <col min="12" max="12" width="23.5" bestFit="1" customWidth="1"/>
    <col min="14" max="14" width="18.5" customWidth="1"/>
  </cols>
  <sheetData>
    <row r="1" spans="1:17" ht="16.2" thickBot="1" x14ac:dyDescent="0.35">
      <c r="A1" s="8" t="str">
        <f>IF(Instructions!B1="CZ","JMÉNO FIRMY:","COMPANY:")</f>
        <v>JMÉNO FIRMY:</v>
      </c>
      <c r="B1" s="250" t="str">
        <f>Instructions!$B$5</f>
        <v>Byte Strategists</v>
      </c>
      <c r="I1" s="213" t="str">
        <f>IF(Instructions!$B$1="CZ","Pokud máte informace o budoucím vývoji cen surovin, vložte je sem.","If you have any information on the raw materials prices, enter it here.")</f>
        <v>Pokud máte informace o budoucím vývoji cen surovin, vložte je sem.</v>
      </c>
      <c r="M1" s="387"/>
      <c r="N1" s="387" t="s">
        <v>198</v>
      </c>
      <c r="O1" s="387"/>
      <c r="P1" s="387"/>
      <c r="Q1" s="387"/>
    </row>
    <row r="2" spans="1:17" x14ac:dyDescent="0.3">
      <c r="A2" s="8" t="str">
        <f>IF(Instructions!B1="CZ","ČTVRTLETÍ:","QUARTER:")</f>
        <v>ČTVRTLETÍ:</v>
      </c>
      <c r="B2" s="250">
        <f>ActualResults!E3+1</f>
        <v>5</v>
      </c>
      <c r="I2" s="68" t="str">
        <f>IF(Instructions!$B$1="CZ","CENY SUROVIN [Kč za kg]","RAW MATERIALS PRICES [CZK per kg]")</f>
        <v>CENY SUROVIN [Kč za kg]</v>
      </c>
      <c r="J2" s="69" t="str">
        <f>IF(Instructions!$B$1="CZ","DŘEVO","WOOD")</f>
        <v>DŘEVO</v>
      </c>
      <c r="K2" s="70" t="str">
        <f>IF(Instructions!$B$1="CZ","KOV","METAL")</f>
        <v>KOV</v>
      </c>
      <c r="M2" s="387" t="s">
        <v>186</v>
      </c>
      <c r="N2" s="387"/>
      <c r="O2" s="387"/>
      <c r="P2" s="387"/>
      <c r="Q2" s="387"/>
    </row>
    <row r="3" spans="1:17" x14ac:dyDescent="0.3">
      <c r="I3" s="20">
        <v>5</v>
      </c>
      <c r="J3" s="224">
        <v>18.72</v>
      </c>
      <c r="K3" s="224">
        <v>16.61</v>
      </c>
      <c r="M3" s="387" t="s">
        <v>187</v>
      </c>
      <c r="N3" s="387" t="s">
        <v>188</v>
      </c>
      <c r="O3" s="387" t="s">
        <v>189</v>
      </c>
      <c r="P3" s="387"/>
      <c r="Q3" s="387"/>
    </row>
    <row r="4" spans="1:17" x14ac:dyDescent="0.3">
      <c r="A4" s="250" t="str">
        <f>IF(Instructions!B1="CZ","PRŮZKUM TRHU","MARKET RESEARCH")</f>
        <v>PRŮZKUM TRHU</v>
      </c>
      <c r="B4" s="8"/>
      <c r="C4" s="8"/>
      <c r="I4" s="20">
        <v>6</v>
      </c>
      <c r="J4" s="224">
        <v>19.8</v>
      </c>
      <c r="K4" s="224">
        <v>17.36</v>
      </c>
      <c r="M4" s="387" t="s">
        <v>182</v>
      </c>
      <c r="N4" s="388">
        <v>1249</v>
      </c>
      <c r="O4" s="388">
        <v>16700</v>
      </c>
      <c r="P4" s="387"/>
      <c r="Q4" s="387"/>
    </row>
    <row r="5" spans="1:17" x14ac:dyDescent="0.3">
      <c r="A5" s="8" t="str">
        <f>IF(Instructions!B1="CZ","Tržní potenciály","Market potentials")</f>
        <v>Tržní potenciály</v>
      </c>
      <c r="B5" s="8" t="str">
        <f>IF(Instructions!$B$1="CZ","STOLY","DESKS")</f>
        <v>STOLY</v>
      </c>
      <c r="C5" s="8" t="str">
        <f>IF(Instructions!$B$1="CZ","SKŘÍŇKY","CABINETS")</f>
        <v>SKŘÍŇKY</v>
      </c>
      <c r="I5" s="20">
        <v>7</v>
      </c>
      <c r="J5" s="224">
        <v>26.58</v>
      </c>
      <c r="K5" s="224">
        <v>16.760000000000002</v>
      </c>
      <c r="M5" s="387" t="s">
        <v>183</v>
      </c>
      <c r="N5" s="388">
        <v>1249</v>
      </c>
      <c r="O5" s="388">
        <v>17770</v>
      </c>
      <c r="P5" s="387"/>
      <c r="Q5" s="387"/>
    </row>
    <row r="6" spans="1:17" x14ac:dyDescent="0.3">
      <c r="A6" s="8" t="str">
        <f>IF(Instructions!$B$1="CZ","Počet aktuálních požadavků na průzkum","Number of requests")</f>
        <v>Počet aktuálních požadavků na průzkum</v>
      </c>
      <c r="B6">
        <v>0</v>
      </c>
      <c r="C6">
        <v>0</v>
      </c>
      <c r="I6" s="20">
        <v>8</v>
      </c>
      <c r="J6" s="224">
        <v>27.78</v>
      </c>
      <c r="K6" s="224">
        <v>17.809999999999999</v>
      </c>
      <c r="M6" s="387" t="s">
        <v>184</v>
      </c>
      <c r="N6" s="388">
        <v>1249</v>
      </c>
      <c r="O6" s="388">
        <v>19121</v>
      </c>
      <c r="P6" s="387"/>
      <c r="Q6" s="387"/>
    </row>
    <row r="7" spans="1:17" x14ac:dyDescent="0.3">
      <c r="I7" s="20">
        <v>9</v>
      </c>
      <c r="J7" s="326">
        <v>24</v>
      </c>
      <c r="K7" s="326">
        <v>15</v>
      </c>
      <c r="M7" s="387" t="s">
        <v>185</v>
      </c>
      <c r="N7" s="388">
        <v>1249</v>
      </c>
      <c r="O7" s="388">
        <v>17926</v>
      </c>
      <c r="P7" s="387"/>
      <c r="Q7" s="387"/>
    </row>
    <row r="8" spans="1:17" x14ac:dyDescent="0.3">
      <c r="A8" s="250" t="str">
        <f>IF(Instructions!B1="CZ","CENY SUROVIN","RAW MATERIALS PRICES")</f>
        <v>CENY SUROVIN</v>
      </c>
      <c r="B8" s="8"/>
      <c r="I8" s="20">
        <v>10</v>
      </c>
      <c r="J8" s="326">
        <v>24</v>
      </c>
      <c r="K8" s="326">
        <v>15</v>
      </c>
      <c r="M8" s="387"/>
      <c r="N8" s="387"/>
      <c r="O8" s="387"/>
      <c r="P8" s="387"/>
      <c r="Q8" s="387"/>
    </row>
    <row r="9" spans="1:17" x14ac:dyDescent="0.3">
      <c r="A9" s="8" t="str">
        <f>IF(Instructions!$B$1="CZ","Počet aktuálních požadavků na průzkum","Number of requests")</f>
        <v>Počet aktuálních požadavků na průzkum</v>
      </c>
      <c r="B9">
        <v>0</v>
      </c>
      <c r="I9" s="20">
        <v>11</v>
      </c>
      <c r="J9" s="326">
        <v>24</v>
      </c>
      <c r="K9" s="326">
        <v>15</v>
      </c>
      <c r="M9" s="387"/>
      <c r="N9" s="387"/>
      <c r="O9" s="387"/>
      <c r="P9" s="387"/>
      <c r="Q9" s="387"/>
    </row>
    <row r="10" spans="1:17" ht="16.2" thickBot="1" x14ac:dyDescent="0.35">
      <c r="I10" s="24">
        <v>12</v>
      </c>
      <c r="J10" s="326">
        <v>24</v>
      </c>
      <c r="K10" s="326">
        <v>15</v>
      </c>
      <c r="M10" s="387"/>
      <c r="N10" s="387" t="s">
        <v>190</v>
      </c>
      <c r="O10" s="387"/>
      <c r="P10" s="387"/>
      <c r="Q10" s="387"/>
    </row>
    <row r="11" spans="1:17" x14ac:dyDescent="0.3">
      <c r="A11" s="250" t="str">
        <f>IF(Instructions!B1="CZ","Konkurenti","COMPETITORS")</f>
        <v>Konkurenti</v>
      </c>
      <c r="B11" s="8"/>
      <c r="M11" s="387"/>
      <c r="N11" s="387" t="s">
        <v>187</v>
      </c>
      <c r="O11" s="387" t="s">
        <v>188</v>
      </c>
      <c r="P11" s="387"/>
      <c r="Q11" s="387"/>
    </row>
    <row r="12" spans="1:17" x14ac:dyDescent="0.3">
      <c r="A12" s="8" t="str">
        <f>IF(Instructions!B1="CZ","Ceny konkurence (ano = 1, ne = 0)","Prices of competitors")</f>
        <v>Ceny konkurence (ano = 1, ne = 0)</v>
      </c>
      <c r="B12">
        <v>0</v>
      </c>
      <c r="I12" s="213" t="str">
        <f>IF(Instructions!$B$1="CZ","Pokud máte informace o budoucím vývoji tržních potenciálů, můžete si je vložit např. sem.","If you have information on the future market potentials, you can work with it e.g. here.")</f>
        <v>Pokud máte informace o budoucím vývoji tržních potenciálů, můžete si je vložit např. sem.</v>
      </c>
      <c r="M12" s="387"/>
      <c r="N12" s="387" t="s">
        <v>182</v>
      </c>
      <c r="O12" s="387"/>
      <c r="P12" s="387"/>
      <c r="Q12" s="387"/>
    </row>
    <row r="13" spans="1:17" x14ac:dyDescent="0.3">
      <c r="A13" s="8" t="str">
        <f>IF(Instructions!B1="CZ","Prodaná množství konkurence (ano = 1, ne = 0)","Sales of competitors")</f>
        <v>Prodaná množství konkurence (ano = 1, ne = 0)</v>
      </c>
      <c r="B13">
        <v>0</v>
      </c>
      <c r="I13" t="str">
        <f>IF(Instructions!$B$1="CZ","STOLY","DESKS")</f>
        <v>STOLY</v>
      </c>
      <c r="M13" s="387"/>
      <c r="N13" s="387" t="s">
        <v>183</v>
      </c>
      <c r="O13" s="387"/>
      <c r="P13" s="387"/>
      <c r="Q13" s="387"/>
    </row>
    <row r="14" spans="1:17" x14ac:dyDescent="0.3">
      <c r="I14" t="str">
        <f>IF(Instructions!$B$1="CZ","Čtvrtletí","Quarter")</f>
        <v>Čtvrtletí</v>
      </c>
      <c r="J14" t="str">
        <f>IF(Instructions!$B$1="CZ","Cena","Price")</f>
        <v>Cena</v>
      </c>
      <c r="K14" t="str">
        <f>IF(Instructions!$B$1="CZ","Tržní potenciál","Market potential")</f>
        <v>Tržní potenciál</v>
      </c>
      <c r="L14" t="str">
        <f>IF(Instructions!$B$1="CZ","Tržní potenciál jedné firmy","Single firm Market potential")</f>
        <v>Tržní potenciál jedné firmy</v>
      </c>
      <c r="M14" s="387"/>
      <c r="N14" s="387" t="s">
        <v>184</v>
      </c>
      <c r="O14" s="387"/>
      <c r="P14" s="387"/>
      <c r="Q14" s="387"/>
    </row>
    <row r="15" spans="1:17" x14ac:dyDescent="0.3">
      <c r="A15" s="250" t="str">
        <f>IF(Instructions!B1="CZ","PRODEJ","SALES")</f>
        <v>PRODEJ</v>
      </c>
      <c r="B15" s="8" t="str">
        <f>IF(Instructions!$B$1="CZ","STOLY","DESKS")</f>
        <v>STOLY</v>
      </c>
      <c r="C15" s="8" t="str">
        <f>IF(Instructions!$B$1="CZ","SKŘÍŇKY","CABINETS")</f>
        <v>SKŘÍŇKY</v>
      </c>
      <c r="I15" t="s">
        <v>182</v>
      </c>
      <c r="J15" s="1">
        <v>1249</v>
      </c>
      <c r="K15" s="1">
        <v>16700</v>
      </c>
      <c r="L15">
        <f>K15/5</f>
        <v>3340</v>
      </c>
      <c r="M15" s="387"/>
      <c r="N15" s="387" t="s">
        <v>185</v>
      </c>
      <c r="O15" s="387"/>
      <c r="P15" s="387"/>
      <c r="Q15" s="387"/>
    </row>
    <row r="16" spans="1:17" x14ac:dyDescent="0.3">
      <c r="A16" s="8" t="str">
        <f>IF(Instructions!B1="CZ","Prodejní cena:","Sales price")</f>
        <v>Prodejní cena:</v>
      </c>
      <c r="I16" t="s">
        <v>183</v>
      </c>
      <c r="J16" s="1">
        <v>1249</v>
      </c>
      <c r="K16" s="1">
        <v>17770</v>
      </c>
      <c r="L16">
        <f t="shared" ref="L16:L31" si="0">K16/5</f>
        <v>3554</v>
      </c>
      <c r="M16" s="387"/>
      <c r="N16" s="387"/>
      <c r="O16" s="387"/>
      <c r="P16" s="387"/>
      <c r="Q16" s="387"/>
    </row>
    <row r="17" spans="1:17" x14ac:dyDescent="0.3">
      <c r="A17" s="8" t="str">
        <f>IF(Instructions!B1="CZ","Maximální množství k prodeji","Maximum sales amount")</f>
        <v>Maximální množství k prodeji</v>
      </c>
      <c r="B17" s="9">
        <f>ActualResults!B16</f>
        <v>2170</v>
      </c>
      <c r="C17" s="9">
        <f>ActualResults!C16</f>
        <v>911</v>
      </c>
      <c r="I17" t="s">
        <v>184</v>
      </c>
      <c r="J17" s="1">
        <v>1249</v>
      </c>
      <c r="K17" s="1">
        <v>19121</v>
      </c>
      <c r="L17">
        <f t="shared" si="0"/>
        <v>3824.2</v>
      </c>
      <c r="M17" s="387"/>
      <c r="N17" s="387" t="s">
        <v>191</v>
      </c>
      <c r="O17" s="387"/>
      <c r="P17" s="387"/>
      <c r="Q17" s="387"/>
    </row>
    <row r="18" spans="1:17" x14ac:dyDescent="0.3">
      <c r="A18" s="8" t="str">
        <f>IF(Instructions!B1="CZ","Skutečné množství k prodeji","Decided sales amount")</f>
        <v>Skutečné množství k prodeji</v>
      </c>
      <c r="B18" s="1"/>
      <c r="C18" s="1"/>
      <c r="I18" t="s">
        <v>185</v>
      </c>
      <c r="J18" s="1">
        <v>1249</v>
      </c>
      <c r="K18" s="1">
        <v>17926</v>
      </c>
      <c r="L18">
        <f t="shared" si="0"/>
        <v>3585.2</v>
      </c>
      <c r="M18" s="387"/>
      <c r="N18" s="387"/>
      <c r="O18" s="387"/>
      <c r="P18" s="387"/>
      <c r="Q18" s="387"/>
    </row>
    <row r="19" spans="1:17" x14ac:dyDescent="0.3">
      <c r="J19" s="1"/>
      <c r="K19" s="1"/>
      <c r="L19">
        <f t="shared" si="0"/>
        <v>0</v>
      </c>
      <c r="M19" s="387"/>
      <c r="N19" s="387" t="s">
        <v>187</v>
      </c>
      <c r="O19" s="387" t="s">
        <v>188</v>
      </c>
      <c r="P19" s="387"/>
      <c r="Q19" s="387"/>
    </row>
    <row r="20" spans="1:17" x14ac:dyDescent="0.3">
      <c r="A20" s="250" t="str">
        <f>IF(Instructions!B1="CZ","VÝROBA","PRODUCTION")</f>
        <v>VÝROBA</v>
      </c>
      <c r="B20" s="8"/>
      <c r="C20" s="8"/>
      <c r="E20" s="344" t="str">
        <f>IF(Instructions!B1="CZ","Vyrobená množství","Produced amounts")</f>
        <v>Vyrobená množství</v>
      </c>
      <c r="F20" s="344"/>
      <c r="G20" s="8" t="str">
        <f>IF(Instructions!B1="CZ","Potřeba pracovníků","Need of workers")</f>
        <v>Potřeba pracovníků</v>
      </c>
      <c r="J20" s="1"/>
      <c r="K20" s="1"/>
      <c r="L20">
        <f t="shared" si="0"/>
        <v>0</v>
      </c>
      <c r="M20" s="387"/>
      <c r="N20" s="387" t="s">
        <v>182</v>
      </c>
      <c r="O20" s="387">
        <v>16.61</v>
      </c>
      <c r="P20" s="387"/>
      <c r="Q20" s="387"/>
    </row>
    <row r="21" spans="1:17" x14ac:dyDescent="0.3">
      <c r="A21" s="8" t="str">
        <f>IF(Instructions!B1="CZ","Výroba na jednotlivých strojích","Production schedule of particular machines")</f>
        <v>Výroba na jednotlivých strojích</v>
      </c>
      <c r="B21" s="8" t="str">
        <f>IF(Instructions!$B$1="CZ","STOLY","DESKS")</f>
        <v>STOLY</v>
      </c>
      <c r="C21" s="8" t="str">
        <f>IF(Instructions!$B$1="CZ","SKŘÍŇKY","CABINETS")</f>
        <v>SKŘÍŇKY</v>
      </c>
      <c r="E21" s="8" t="str">
        <f>IF(Instructions!$B$1="CZ","STOLY","DESKS")</f>
        <v>STOLY</v>
      </c>
      <c r="F21" s="8" t="str">
        <f>IF(Instructions!$B$1="CZ","SKŘÍŇKY","CABINETS")</f>
        <v>SKŘÍŇKY</v>
      </c>
      <c r="G21" s="8"/>
      <c r="L21">
        <f t="shared" si="0"/>
        <v>0</v>
      </c>
      <c r="M21" s="387"/>
      <c r="N21" s="387" t="s">
        <v>183</v>
      </c>
      <c r="O21" s="387">
        <v>17.36</v>
      </c>
      <c r="P21" s="387"/>
      <c r="Q21" s="387"/>
    </row>
    <row r="22" spans="1:17" x14ac:dyDescent="0.3">
      <c r="A22" s="8" t="str">
        <f>IF((ActualResults!B58-ActualResults!B39*2+ActualResults!B41)/600000&gt;=1,"# 1","")</f>
        <v># 1</v>
      </c>
      <c r="B22">
        <v>0</v>
      </c>
      <c r="C22">
        <v>0</v>
      </c>
      <c r="D22" s="2" t="str">
        <f>IF(B22+C22&gt;1500,"!!!","O.K.")</f>
        <v>O.K.</v>
      </c>
      <c r="E22" s="8">
        <f>INT(B22/1500)*1500+VLOOKUP(MOD(B22,1500),Data!$A$22:$D$28,2,TRUE)</f>
        <v>0</v>
      </c>
      <c r="F22" s="8">
        <f>INT(C22/1500)*400+VLOOKUP(MOD(C22,1500),Data!$A$22:$D$28,4,TRUE)</f>
        <v>0</v>
      </c>
      <c r="G22" s="8">
        <f>INT(B22/1500)*6+INT(C22/1500)*12+VLOOKUP(MOD(B22,1500),Data!$A$22:$D$28,3,TRUE)+VLOOKUP(MOD(C22,1500),Data!$A$22:$E$28,5,TRUE)</f>
        <v>0</v>
      </c>
      <c r="L22">
        <f t="shared" si="0"/>
        <v>0</v>
      </c>
      <c r="M22" s="387"/>
      <c r="N22" s="387" t="s">
        <v>184</v>
      </c>
      <c r="O22" s="387">
        <v>16.760000000000002</v>
      </c>
      <c r="P22" s="387"/>
      <c r="Q22" s="387"/>
    </row>
    <row r="23" spans="1:17" x14ac:dyDescent="0.3">
      <c r="A23" s="8" t="str">
        <f>IF((ActualResults!B58-ActualResults!B39*2+ActualResults!B41)/600000&gt;=2,"# 2","")</f>
        <v># 2</v>
      </c>
      <c r="B23">
        <v>0</v>
      </c>
      <c r="C23">
        <v>0</v>
      </c>
      <c r="D23" s="2" t="str">
        <f t="shared" ref="D23:D31" si="1">IF(B23+C23&gt;1500,"!!!","O.K.")</f>
        <v>O.K.</v>
      </c>
      <c r="E23" s="8">
        <f>INT(B23/1500)*1500+VLOOKUP(MOD(B23,1500),Data!$A$22:$D$28,2,TRUE)</f>
        <v>0</v>
      </c>
      <c r="F23" s="8">
        <f>INT(C23/1500)*400+VLOOKUP(MOD(C23,1500),Data!$A$22:$D$28,4,TRUE)</f>
        <v>0</v>
      </c>
      <c r="G23" s="8">
        <f>INT(B23/1500)*6+INT(C23/1500)*12+VLOOKUP(MOD(B23,1500),Data!$A$22:$D$28,3,TRUE)+VLOOKUP(MOD(C23,1500),Data!$A$22:$E$28,5,TRUE)</f>
        <v>0</v>
      </c>
      <c r="L23">
        <f t="shared" si="0"/>
        <v>0</v>
      </c>
      <c r="M23" s="387"/>
      <c r="N23" s="387" t="s">
        <v>185</v>
      </c>
      <c r="O23" s="387">
        <v>17.809999999999999</v>
      </c>
      <c r="P23" s="387"/>
      <c r="Q23" s="387"/>
    </row>
    <row r="24" spans="1:17" x14ac:dyDescent="0.3">
      <c r="A24" s="8" t="str">
        <f>IF((ActualResults!B58-ActualResults!B39*2+ActualResults!B41)/600000&gt;=3,"# 3","")</f>
        <v># 3</v>
      </c>
      <c r="B24">
        <v>0</v>
      </c>
      <c r="C24">
        <v>0</v>
      </c>
      <c r="D24" s="2" t="str">
        <f t="shared" si="1"/>
        <v>O.K.</v>
      </c>
      <c r="E24" s="8">
        <f>INT(B24/1500)*1500+VLOOKUP(MOD(B24,1500),Data!$A$22:$D$28,2,TRUE)</f>
        <v>0</v>
      </c>
      <c r="F24" s="8">
        <f>INT(C24/1500)*400+VLOOKUP(MOD(C24,1500),Data!$A$22:$D$28,4,TRUE)</f>
        <v>0</v>
      </c>
      <c r="G24" s="8">
        <f>INT(B24/1500)*6+INT(C24/1500)*12+VLOOKUP(MOD(B24,1500),Data!$A$22:$D$28,3,TRUE)+VLOOKUP(MOD(C24,1500),Data!$A$22:$E$28,5,TRUE)</f>
        <v>0</v>
      </c>
      <c r="L24">
        <f t="shared" si="0"/>
        <v>0</v>
      </c>
      <c r="M24" s="387"/>
      <c r="N24" s="387"/>
      <c r="O24" s="387"/>
      <c r="P24" s="387"/>
      <c r="Q24" s="387"/>
    </row>
    <row r="25" spans="1:17" x14ac:dyDescent="0.3">
      <c r="A25" s="8" t="str">
        <f>IF((ActualResults!B58-ActualResults!B39*2+ActualResults!B41)/600000&gt;=4,"# 4","")</f>
        <v/>
      </c>
      <c r="B25">
        <v>0</v>
      </c>
      <c r="C25">
        <v>0</v>
      </c>
      <c r="D25" s="2" t="str">
        <f t="shared" si="1"/>
        <v>O.K.</v>
      </c>
      <c r="E25" s="8">
        <f>INT(B25/1500)*1500+VLOOKUP(MOD(B25,1500),Data!$A$22:$D$28,2,TRUE)</f>
        <v>0</v>
      </c>
      <c r="F25" s="8">
        <f>INT(C25/1500)*400+VLOOKUP(MOD(C25,1500),Data!$A$22:$D$28,4,TRUE)</f>
        <v>0</v>
      </c>
      <c r="G25" s="8">
        <f>INT(B25/1500)*6+INT(C25/1500)*12+VLOOKUP(MOD(B25,1500),Data!$A$22:$D$28,3,TRUE)+VLOOKUP(MOD(C25,1500),Data!$A$22:$E$28,5,TRUE)</f>
        <v>0</v>
      </c>
      <c r="L25">
        <f t="shared" si="0"/>
        <v>0</v>
      </c>
      <c r="M25" s="387"/>
      <c r="N25" s="387" t="s">
        <v>192</v>
      </c>
      <c r="O25" s="387"/>
      <c r="P25" s="387"/>
      <c r="Q25" s="387"/>
    </row>
    <row r="26" spans="1:17" x14ac:dyDescent="0.3">
      <c r="A26" s="8" t="str">
        <f>IF((ActualResults!B58-ActualResults!B39*2+ActualResults!B41)/600000&gt;=5,"# 5","")</f>
        <v/>
      </c>
      <c r="B26">
        <v>0</v>
      </c>
      <c r="C26">
        <v>0</v>
      </c>
      <c r="D26" s="2" t="str">
        <f t="shared" si="1"/>
        <v>O.K.</v>
      </c>
      <c r="E26" s="8">
        <f>INT(B26/1500)*1500+VLOOKUP(MOD(B26,1500),Data!$A$22:$D$28,2,TRUE)</f>
        <v>0</v>
      </c>
      <c r="F26" s="8">
        <f>INT(C26/1500)*400+VLOOKUP(MOD(C26,1500),Data!$A$22:$D$28,4,TRUE)</f>
        <v>0</v>
      </c>
      <c r="G26" s="8">
        <f>INT(B26/1500)*6+INT(C26/1500)*12+VLOOKUP(MOD(B26,1500),Data!$A$22:$D$28,3,TRUE)+VLOOKUP(MOD(C26,1500),Data!$A$22:$E$28,5,TRUE)</f>
        <v>0</v>
      </c>
      <c r="L26">
        <f t="shared" si="0"/>
        <v>0</v>
      </c>
      <c r="M26" s="387"/>
      <c r="N26" s="387"/>
      <c r="O26" s="387"/>
      <c r="P26" s="387"/>
      <c r="Q26" s="387"/>
    </row>
    <row r="27" spans="1:17" x14ac:dyDescent="0.3">
      <c r="A27" s="8" t="str">
        <f>IF((ActualResults!B58-ActualResults!B39*2+ActualResults!B41)/600000&gt;=6,"# 6","")</f>
        <v/>
      </c>
      <c r="B27">
        <v>0</v>
      </c>
      <c r="C27">
        <v>0</v>
      </c>
      <c r="D27" s="2" t="str">
        <f t="shared" si="1"/>
        <v>O.K.</v>
      </c>
      <c r="E27" s="8">
        <f>INT(B27/1500)*1500+VLOOKUP(MOD(B27,1500),Data!$A$22:$D$28,2,TRUE)</f>
        <v>0</v>
      </c>
      <c r="F27" s="8">
        <f>INT(C27/1500)*400+VLOOKUP(MOD(C27,1500),Data!$A$22:$D$28,4,TRUE)</f>
        <v>0</v>
      </c>
      <c r="G27" s="8">
        <f>INT(B27/1500)*6+INT(C27/1500)*12+VLOOKUP(MOD(B27,1500),Data!$A$22:$D$28,3,TRUE)+VLOOKUP(MOD(C27,1500),Data!$A$22:$E$28,5,TRUE)</f>
        <v>0</v>
      </c>
      <c r="L27">
        <f t="shared" si="0"/>
        <v>0</v>
      </c>
      <c r="M27" s="387"/>
      <c r="N27" s="387" t="s">
        <v>187</v>
      </c>
      <c r="O27" s="387" t="s">
        <v>188</v>
      </c>
      <c r="P27" s="387" t="s">
        <v>189</v>
      </c>
      <c r="Q27" s="387"/>
    </row>
    <row r="28" spans="1:17" x14ac:dyDescent="0.3">
      <c r="A28" s="8" t="str">
        <f>IF((ActualResults!B58-ActualResults!B39*2+ActualResults!B41)/600000&gt;=7,"# 7","")</f>
        <v/>
      </c>
      <c r="B28">
        <v>0</v>
      </c>
      <c r="C28">
        <v>0</v>
      </c>
      <c r="D28" s="2" t="str">
        <f t="shared" si="1"/>
        <v>O.K.</v>
      </c>
      <c r="E28" s="8">
        <f>INT(B28/1500)*1500+VLOOKUP(MOD(B28,1500),Data!$A$22:$D$28,2,TRUE)</f>
        <v>0</v>
      </c>
      <c r="F28" s="8">
        <f>INT(C28/1500)*400+VLOOKUP(MOD(C28,1500),Data!$A$22:$D$28,4,TRUE)</f>
        <v>0</v>
      </c>
      <c r="G28" s="8">
        <f>INT(B28/1500)*6+INT(C28/1500)*12+VLOOKUP(MOD(B28,1500),Data!$A$22:$D$28,3,TRUE)+VLOOKUP(MOD(C28,1500),Data!$A$22:$E$28,5,TRUE)</f>
        <v>0</v>
      </c>
      <c r="L28">
        <f t="shared" si="0"/>
        <v>0</v>
      </c>
      <c r="M28" s="387"/>
      <c r="N28" s="387" t="s">
        <v>182</v>
      </c>
      <c r="O28" s="387" t="s">
        <v>193</v>
      </c>
      <c r="P28" s="387" t="s">
        <v>194</v>
      </c>
      <c r="Q28" s="387"/>
    </row>
    <row r="29" spans="1:17" x14ac:dyDescent="0.3">
      <c r="A29" s="8" t="str">
        <f>IF((ActualResults!B58-ActualResults!B39*2+ActualResults!B41)/600000&gt;=8,"# 8","")</f>
        <v/>
      </c>
      <c r="B29">
        <v>0</v>
      </c>
      <c r="C29">
        <v>0</v>
      </c>
      <c r="D29" s="2" t="str">
        <f t="shared" si="1"/>
        <v>O.K.</v>
      </c>
      <c r="E29" s="8">
        <f>INT(B29/1500)*1500+VLOOKUP(MOD(B29,1500),Data!$A$22:$D$28,2,TRUE)</f>
        <v>0</v>
      </c>
      <c r="F29" s="8">
        <f>INT(C29/1500)*400+VLOOKUP(MOD(C29,1500),Data!$A$22:$D$28,4,TRUE)</f>
        <v>0</v>
      </c>
      <c r="G29" s="8">
        <f>INT(B29/1500)*6+INT(C29/1500)*12+VLOOKUP(MOD(B29,1500),Data!$A$22:$D$28,3,TRUE)+VLOOKUP(MOD(C29,1500),Data!$A$22:$E$28,5,TRUE)</f>
        <v>0</v>
      </c>
      <c r="L29">
        <f t="shared" si="0"/>
        <v>0</v>
      </c>
      <c r="M29" s="387"/>
      <c r="N29" s="387" t="s">
        <v>183</v>
      </c>
      <c r="O29" s="387" t="s">
        <v>193</v>
      </c>
      <c r="P29" s="387" t="s">
        <v>195</v>
      </c>
      <c r="Q29" s="387"/>
    </row>
    <row r="30" spans="1:17" x14ac:dyDescent="0.3">
      <c r="A30" s="8" t="str">
        <f>IF((ActualResults!B58-ActualResults!B39*2+ActualResults!B41)/600000&gt;=9,"# 9","")</f>
        <v/>
      </c>
      <c r="B30">
        <v>0</v>
      </c>
      <c r="C30">
        <v>0</v>
      </c>
      <c r="D30" s="2" t="str">
        <f t="shared" si="1"/>
        <v>O.K.</v>
      </c>
      <c r="E30" s="8">
        <f>INT(B30/1500)*1500+VLOOKUP(MOD(B30,1500),Data!$A$22:$D$28,2,TRUE)</f>
        <v>0</v>
      </c>
      <c r="F30" s="8">
        <f>INT(C30/1500)*400+VLOOKUP(MOD(C30,1500),Data!$A$22:$D$28,4,TRUE)</f>
        <v>0</v>
      </c>
      <c r="G30" s="8">
        <f>INT(B30/1500)*6+INT(C30/1500)*12+VLOOKUP(MOD(B30,1500),Data!$A$22:$D$28,3,TRUE)+VLOOKUP(MOD(C30,1500),Data!$A$22:$E$28,5,TRUE)</f>
        <v>0</v>
      </c>
      <c r="L30">
        <f t="shared" si="0"/>
        <v>0</v>
      </c>
      <c r="M30" s="387"/>
      <c r="N30" s="387" t="s">
        <v>184</v>
      </c>
      <c r="O30" s="387" t="s">
        <v>193</v>
      </c>
      <c r="P30" s="387" t="s">
        <v>196</v>
      </c>
      <c r="Q30" s="387"/>
    </row>
    <row r="31" spans="1:17" x14ac:dyDescent="0.3">
      <c r="A31" s="8" t="str">
        <f>IF((ActualResults!B58-ActualResults!B39*2+ActualResults!B41)/600000&gt;=10,"# 10","")</f>
        <v/>
      </c>
      <c r="B31">
        <v>0</v>
      </c>
      <c r="C31">
        <v>0</v>
      </c>
      <c r="D31" s="2" t="str">
        <f t="shared" si="1"/>
        <v>O.K.</v>
      </c>
      <c r="E31" s="8">
        <f>INT(B31/1500)*1500+VLOOKUP(MOD(B31,1500),Data!$A$22:$D$28,2,TRUE)</f>
        <v>0</v>
      </c>
      <c r="F31" s="8">
        <f>INT(C31/1500)*400+VLOOKUP(MOD(C31,1500),Data!$A$22:$D$28,4,TRUE)</f>
        <v>0</v>
      </c>
      <c r="G31" s="8">
        <f>INT(B31/1500)*6+INT(C31/1500)*12+VLOOKUP(MOD(B31,1500),Data!$A$22:$D$28,3,TRUE)+VLOOKUP(MOD(C31,1500),Data!$A$22:$E$28,5,TRUE)</f>
        <v>0</v>
      </c>
      <c r="L31">
        <f t="shared" si="0"/>
        <v>0</v>
      </c>
      <c r="M31" s="387"/>
      <c r="N31" s="387" t="s">
        <v>185</v>
      </c>
      <c r="O31" s="387" t="s">
        <v>193</v>
      </c>
      <c r="P31" s="387" t="s">
        <v>197</v>
      </c>
      <c r="Q31" s="387"/>
    </row>
    <row r="32" spans="1:17" x14ac:dyDescent="0.3">
      <c r="A32" s="8" t="str">
        <f>IF(Instructions!B1="CZ","CELKEM","TOTAL")</f>
        <v>CELKEM</v>
      </c>
      <c r="B32" s="8">
        <f>SUM(B22:B31)</f>
        <v>0</v>
      </c>
      <c r="C32" s="8">
        <f>SUM(C22:C31)</f>
        <v>0</v>
      </c>
      <c r="D32" s="2" t="str">
        <f>IF(C32+B32&gt;1500*ActualResults!B58/600000,"!!!","O.K.")</f>
        <v>O.K.</v>
      </c>
      <c r="E32" s="8">
        <f>SUM(E22:E31)</f>
        <v>0</v>
      </c>
      <c r="F32" s="8">
        <f>SUM(F22:F31)</f>
        <v>0</v>
      </c>
      <c r="G32" s="8">
        <f>SUM(G22:G31)</f>
        <v>0</v>
      </c>
    </row>
    <row r="33" spans="1:12" x14ac:dyDescent="0.3">
      <c r="I33" t="str">
        <f>IF(Instructions!$B$1="CZ","SKŘÍŇKY","CABINETS")</f>
        <v>SKŘÍŇKY</v>
      </c>
    </row>
    <row r="34" spans="1:12" x14ac:dyDescent="0.3">
      <c r="A34" s="250" t="str">
        <f>IF(Instructions!B1="CZ","Změna výrobní kapacity","Change of production capacity")</f>
        <v>Změna výrobní kapacity</v>
      </c>
      <c r="B34" s="8"/>
      <c r="I34" t="str">
        <f>IF(Instructions!$B$1="CZ","Čtvrtletí","Quarter")</f>
        <v>Čtvrtletí</v>
      </c>
      <c r="J34" t="str">
        <f>IF(Instructions!$B$1="CZ","Cena","Price")</f>
        <v>Cena</v>
      </c>
      <c r="K34" t="str">
        <f>IF(Instructions!$B$1="CZ","Tržní potenciál","Market potential")</f>
        <v>Tržní potenciál</v>
      </c>
      <c r="L34" t="str">
        <f>IF(Instructions!$B$1="CZ","Tržní potenciál jedné firmy","Single firm Market potential")</f>
        <v>Tržní potenciál jedné firmy</v>
      </c>
    </row>
    <row r="35" spans="1:12" x14ac:dyDescent="0.3">
      <c r="A35" s="8" t="str">
        <f>IF(Instructions!B1="CZ","Počet nakupovaných strojů:","Machines bought:")</f>
        <v>Počet nakupovaných strojů:</v>
      </c>
      <c r="B35">
        <v>0</v>
      </c>
      <c r="I35" t="s">
        <v>182</v>
      </c>
      <c r="J35">
        <v>2599</v>
      </c>
      <c r="K35">
        <v>6231</v>
      </c>
      <c r="L35">
        <f>K35/5</f>
        <v>1246.2</v>
      </c>
    </row>
    <row r="36" spans="1:12" x14ac:dyDescent="0.3">
      <c r="A36" s="8" t="str">
        <f>IF(Instructions!B1="CZ","Počet prodávaných strojů:","Machines sold:")</f>
        <v>Počet prodávaných strojů:</v>
      </c>
      <c r="B36">
        <v>0</v>
      </c>
      <c r="I36" t="s">
        <v>183</v>
      </c>
      <c r="J36">
        <v>2599</v>
      </c>
      <c r="K36">
        <v>5962</v>
      </c>
      <c r="L36">
        <f t="shared" ref="L36:L51" si="2">K36/5</f>
        <v>1192.4000000000001</v>
      </c>
    </row>
    <row r="37" spans="1:12" x14ac:dyDescent="0.3">
      <c r="I37" t="s">
        <v>184</v>
      </c>
      <c r="J37">
        <v>2599</v>
      </c>
      <c r="K37">
        <v>5665</v>
      </c>
      <c r="L37">
        <f t="shared" si="2"/>
        <v>1133</v>
      </c>
    </row>
    <row r="38" spans="1:12" x14ac:dyDescent="0.3">
      <c r="I38" t="s">
        <v>185</v>
      </c>
      <c r="J38">
        <v>2599</v>
      </c>
      <c r="K38">
        <v>5939</v>
      </c>
      <c r="L38">
        <f t="shared" si="2"/>
        <v>1187.8</v>
      </c>
    </row>
    <row r="39" spans="1:12" x14ac:dyDescent="0.3">
      <c r="A39" s="250" t="str">
        <f>IF(Instructions!B1="CZ","ZÁSOBOVÁNÍ","PURCHASING")</f>
        <v>ZÁSOBOVÁNÍ</v>
      </c>
      <c r="B39" s="8" t="str">
        <f>IF(Instructions!B1="CZ","DŘEVO","WOOD")</f>
        <v>DŘEVO</v>
      </c>
      <c r="C39" s="8" t="str">
        <f>IF(Instructions!B1="CZ","KOV","METAL")</f>
        <v>KOV</v>
      </c>
      <c r="J39" s="1"/>
      <c r="K39" s="1"/>
      <c r="L39">
        <f t="shared" si="2"/>
        <v>0</v>
      </c>
    </row>
    <row r="40" spans="1:12" x14ac:dyDescent="0.3">
      <c r="A40" s="8" t="str">
        <f>IF(Instructions!B1="CZ","Minimální nákup","Minimum to be ordered")</f>
        <v>Minimální nákup</v>
      </c>
      <c r="B40" s="8">
        <f>E32*Data!F15+Data!G15*F32-ActualResults!B24</f>
        <v>-600</v>
      </c>
      <c r="C40" s="8">
        <f>E32*Data!F16+Data!G16*F32-ActualResults!C24</f>
        <v>-700</v>
      </c>
      <c r="J40" s="1"/>
      <c r="K40" s="1"/>
      <c r="L40">
        <f t="shared" si="2"/>
        <v>0</v>
      </c>
    </row>
    <row r="41" spans="1:12" x14ac:dyDescent="0.3">
      <c r="A41" s="8" t="str">
        <f>IF(Instructions!B1="CZ","Skutečný nákup","Decided purchase")</f>
        <v>Skutečný nákup</v>
      </c>
      <c r="B41" s="1">
        <f>IF(B40&gt;0,B40,0)</f>
        <v>0</v>
      </c>
      <c r="C41" s="1">
        <f>IF(C40&gt;0,C40,0)</f>
        <v>0</v>
      </c>
      <c r="J41" s="1"/>
      <c r="K41" s="1"/>
      <c r="L41">
        <f t="shared" si="2"/>
        <v>0</v>
      </c>
    </row>
    <row r="42" spans="1:12" x14ac:dyDescent="0.3">
      <c r="L42">
        <f t="shared" si="2"/>
        <v>0</v>
      </c>
    </row>
    <row r="43" spans="1:12" x14ac:dyDescent="0.3">
      <c r="A43" s="250" t="str">
        <f>IF(Instructions!B1="CZ","LIDSKÉ ZDROJE","HUMAN RESOURCES")</f>
        <v>LIDSKÉ ZDROJE</v>
      </c>
      <c r="B43" s="8"/>
      <c r="L43">
        <f t="shared" si="2"/>
        <v>0</v>
      </c>
    </row>
    <row r="44" spans="1:12" x14ac:dyDescent="0.3">
      <c r="A44" s="8" t="str">
        <f>IF(Instructions!B1="CZ","Mzdový index","Wage index")</f>
        <v>Mzdový index</v>
      </c>
      <c r="B44">
        <v>100</v>
      </c>
      <c r="L44">
        <f t="shared" si="2"/>
        <v>0</v>
      </c>
    </row>
    <row r="45" spans="1:12" x14ac:dyDescent="0.3">
      <c r="A45" s="8" t="str">
        <f>IF(Instructions!B1="CZ","Vzdělávání","Training")</f>
        <v>Vzdělávání</v>
      </c>
      <c r="B45">
        <v>0</v>
      </c>
      <c r="L45">
        <f t="shared" si="2"/>
        <v>0</v>
      </c>
    </row>
    <row r="46" spans="1:12" x14ac:dyDescent="0.3">
      <c r="A46" s="8" t="str">
        <f>IF(Instructions!B1="CZ","Počet nabíraných pracovníků:","Number of recruited workers:")</f>
        <v>Počet nabíraných pracovníků:</v>
      </c>
      <c r="B46">
        <v>0</v>
      </c>
      <c r="L46">
        <f t="shared" si="2"/>
        <v>0</v>
      </c>
    </row>
    <row r="47" spans="1:12" x14ac:dyDescent="0.3">
      <c r="A47" s="8" t="str">
        <f>IF(Instructions!B1="CZ","Počet propouštěných pracovníků:","Number of laid-off workers")</f>
        <v>Počet propouštěných pracovníků:</v>
      </c>
      <c r="B47">
        <v>0</v>
      </c>
      <c r="L47">
        <f t="shared" si="2"/>
        <v>0</v>
      </c>
    </row>
    <row r="48" spans="1:12" x14ac:dyDescent="0.3">
      <c r="L48">
        <f t="shared" si="2"/>
        <v>0</v>
      </c>
    </row>
    <row r="49" spans="1:12" x14ac:dyDescent="0.3">
      <c r="A49" s="250" t="s">
        <v>24</v>
      </c>
      <c r="B49" s="8"/>
      <c r="L49">
        <f t="shared" si="2"/>
        <v>0</v>
      </c>
    </row>
    <row r="50" spans="1:12" x14ac:dyDescent="0.3">
      <c r="A50" s="8" t="str">
        <f>IF(Instructions!B1="CZ","Požadovaný úvěr:","Requested credit")</f>
        <v>Požadovaný úvěr:</v>
      </c>
      <c r="B50">
        <v>0</v>
      </c>
      <c r="L50">
        <f t="shared" si="2"/>
        <v>0</v>
      </c>
    </row>
    <row r="51" spans="1:12" x14ac:dyDescent="0.3">
      <c r="A51" s="8" t="str">
        <f>IF(Instructions!B1="CZ","Splátka úvěru:","Credit repayment")</f>
        <v>Splátka úvěru:</v>
      </c>
      <c r="B51">
        <v>0</v>
      </c>
      <c r="L51">
        <f t="shared" si="2"/>
        <v>0</v>
      </c>
    </row>
    <row r="52" spans="1:12" ht="63.75" customHeight="1" x14ac:dyDescent="0.3">
      <c r="B52" s="345" t="str">
        <f>IF(Instructions!B1="CZ","POZOR, automatické splátky zde nefungují, takže zadejte nejen příp. mimořádnou splátku, ale také příp. 'automatickou' splátku 1/20 částky úvěru přidělené před čtyřmi čtvrtletími.","WARNING: Automatic repayments do not work here, therefore you should not only input your possible exceptional repayments, but also the 'automatic' repayments, i.e. the amount of one twentieth of the credit received four quarters ago...")</f>
        <v>POZOR, automatické splátky zde nefungují, takže zadejte nejen příp. mimořádnou splátku, ale také příp. 'automatickou' splátku 1/20 částky úvěru přidělené před čtyřmi čtvrtletími.</v>
      </c>
      <c r="C52" s="345"/>
      <c r="D52" s="345"/>
      <c r="E52" s="345"/>
    </row>
  </sheetData>
  <mergeCells count="2">
    <mergeCell ref="E20:F20"/>
    <mergeCell ref="B52:E52"/>
  </mergeCells>
  <dataValidations count="1">
    <dataValidation type="list" allowBlank="1" showInputMessage="1" showErrorMessage="1" sqref="B22:C31" xr:uid="{00000000-0002-0000-0200-000000000000}">
      <formula1>Výroba</formula1>
    </dataValidation>
  </dataValidations>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M89"/>
  <sheetViews>
    <sheetView topLeftCell="C1" zoomScale="108" zoomScaleNormal="115" workbookViewId="0">
      <selection activeCell="H20" sqref="H20"/>
    </sheetView>
  </sheetViews>
  <sheetFormatPr defaultColWidth="8.8984375" defaultRowHeight="15.6" x14ac:dyDescent="0.3"/>
  <cols>
    <col min="1" max="1" width="34.59765625" bestFit="1" customWidth="1"/>
    <col min="2" max="2" width="16.3984375" customWidth="1"/>
    <col min="3" max="3" width="12.59765625" bestFit="1" customWidth="1"/>
    <col min="4" max="4" width="30.09765625" customWidth="1"/>
    <col min="5" max="5" width="17.59765625" bestFit="1" customWidth="1"/>
    <col min="6" max="6" width="13.09765625" bestFit="1" customWidth="1"/>
    <col min="7" max="7" width="38.09765625" bestFit="1" customWidth="1"/>
    <col min="8" max="8" width="21.3984375" customWidth="1"/>
    <col min="9" max="12" width="12.59765625" customWidth="1"/>
  </cols>
  <sheetData>
    <row r="1" spans="1:13" ht="17.399999999999999" x14ac:dyDescent="0.3">
      <c r="A1" s="346" t="str">
        <f>IF(Instructions!$B$1="CZ",CONCATENATE("FINANČNÍ VÝSLEDKY FIRMY ",Instructions!B5),CONCATENATE("FINANCIAL RESULTS FOR COMPANY ",Instructions!B5))</f>
        <v>FINANČNÍ VÝSLEDKY FIRMY Byte Strategists</v>
      </c>
      <c r="B1" s="346"/>
      <c r="C1" s="346"/>
      <c r="D1" s="346"/>
      <c r="E1" s="346"/>
      <c r="F1" s="13"/>
      <c r="G1" s="346" t="str">
        <f>IF(Instructions!$B$1="CZ",CONCATENATE("ROČNÍ SOUHRN FIRMY ",Instructions!B5),CONCATENATE("FOUR-QUARTER SURVEY FOR COMPANY ",Instructions!B5))</f>
        <v>ROČNÍ SOUHRN FIRMY Byte Strategists</v>
      </c>
      <c r="H1" s="346"/>
      <c r="I1" s="346"/>
      <c r="J1" s="346"/>
      <c r="K1" s="346"/>
      <c r="L1" s="346"/>
      <c r="M1" s="13"/>
    </row>
    <row r="2" spans="1:13" ht="16.2" thickBot="1" x14ac:dyDescent="0.35">
      <c r="A2" s="13"/>
      <c r="B2" s="13"/>
      <c r="C2" s="13"/>
      <c r="D2" s="13"/>
      <c r="E2" s="13"/>
      <c r="F2" s="13"/>
      <c r="G2" s="13"/>
      <c r="H2" s="13"/>
      <c r="I2" s="13"/>
      <c r="J2" s="13"/>
      <c r="K2" s="13"/>
      <c r="L2" s="13"/>
      <c r="M2" s="13"/>
    </row>
    <row r="3" spans="1:13" ht="18" thickBot="1" x14ac:dyDescent="0.35">
      <c r="A3" s="352" t="str">
        <f>IF(Instructions!$B$1="CZ","MARKETING A PRODEJ","MARKETING AND SALES")</f>
        <v>MARKETING A PRODEJ</v>
      </c>
      <c r="B3" s="353"/>
      <c r="C3" s="354"/>
      <c r="D3" s="15" t="str">
        <f>IF(Instructions!$B$1="CZ","Očekávané výsledky pro čtvrtletí:","Expected results in quarter:")</f>
        <v>Očekávané výsledky pro čtvrtletí:</v>
      </c>
      <c r="E3" s="248">
        <f>ActualResults!E3+1</f>
        <v>5</v>
      </c>
      <c r="F3" s="13"/>
      <c r="G3" s="42" t="str">
        <f>IF(Instructions!$B$1="CZ","ČTVRTLETÍ","QUARTER")</f>
        <v>ČTVRTLETÍ</v>
      </c>
      <c r="H3" s="63">
        <f>INT((E3-1)/4)*4+1</f>
        <v>5</v>
      </c>
      <c r="I3" s="64">
        <f>INT((E3-1)/4)*4+2</f>
        <v>6</v>
      </c>
      <c r="J3" s="64">
        <f>INT((E3-1)/4)*4+3</f>
        <v>7</v>
      </c>
      <c r="K3" s="65">
        <f>INT((E3-1)/4)*4+4</f>
        <v>8</v>
      </c>
      <c r="L3" s="42" t="str">
        <f>IF(Instructions!$B$1="CZ","CELKEM","TOTAL")</f>
        <v>CELKEM</v>
      </c>
      <c r="M3" s="13"/>
    </row>
    <row r="4" spans="1:13" x14ac:dyDescent="0.3">
      <c r="A4" s="17" t="str">
        <f>IF(Instructions!$B$1="CZ","PRODUKT","PRODUCT")</f>
        <v>PRODUKT</v>
      </c>
      <c r="B4" s="18" t="str">
        <f>IF(Instructions!$B$1="CZ","STOLY","DESKS")</f>
        <v>STOLY</v>
      </c>
      <c r="C4" s="19" t="str">
        <f>IF(Instructions!$B$1="CZ","SKŘÍŇKY","CABINETS")</f>
        <v>SKŘÍŇKY</v>
      </c>
      <c r="D4" s="13"/>
      <c r="E4" s="13"/>
      <c r="F4" s="13"/>
      <c r="G4" s="105" t="str">
        <f>IF(Instructions!$B$1="CZ","Tržby","Sales")</f>
        <v>Tržby</v>
      </c>
      <c r="H4" s="75">
        <f>IF(E3&gt;H3,ActualResults!H4,B35)</f>
        <v>0</v>
      </c>
      <c r="I4" s="43" t="str">
        <f>IF($E$3=I3,$B$35,IF($E$3&gt;I3,ActualResults!I4,""))</f>
        <v/>
      </c>
      <c r="J4" s="43" t="str">
        <f>IF($E$3=J3,$B$35,IF($E$3&gt;J3,ActualResults!J4,""))</f>
        <v/>
      </c>
      <c r="K4" s="44" t="str">
        <f>IF($E$3=K3,$B$35,"")</f>
        <v/>
      </c>
      <c r="L4" s="45">
        <f t="shared" ref="L4:L12" si="0">SUM(H4:K4)</f>
        <v>0</v>
      </c>
      <c r="M4" s="13"/>
    </row>
    <row r="5" spans="1:13" x14ac:dyDescent="0.3">
      <c r="A5" s="20" t="str">
        <f>IF(Instructions!$B$1="CZ","Cena [Kč za ks]","Price [CZK per piece]")</f>
        <v>Cena [Kč za ks]</v>
      </c>
      <c r="B5" s="21">
        <f>Decision!B16</f>
        <v>0</v>
      </c>
      <c r="C5" s="22">
        <f>Decision!C16</f>
        <v>0</v>
      </c>
      <c r="D5" s="13"/>
      <c r="E5" s="13"/>
      <c r="F5" s="13"/>
      <c r="G5" s="106" t="str">
        <f>IF(Instructions!$B$1="CZ","Náklady prodaných výrobků","Costs of goods sold")</f>
        <v>Náklady prodaných výrobků</v>
      </c>
      <c r="H5" s="76">
        <f>IF($E$3&gt;$H$3,ActualResults!H5,B69)</f>
        <v>1890000</v>
      </c>
      <c r="I5" s="46" t="str">
        <f>IF($E$3=I3,$B$69,IF($E$3&gt;I3,ActualResults!I5,""))</f>
        <v/>
      </c>
      <c r="J5" s="46" t="str">
        <f>IF($E$3=J3,$B$69,IF($E$3&gt;J3,ActualResults!J5,""))</f>
        <v/>
      </c>
      <c r="K5" s="48" t="str">
        <f>IF($E$3=K3,$B$69,"")</f>
        <v/>
      </c>
      <c r="L5" s="49">
        <f t="shared" si="0"/>
        <v>1890000</v>
      </c>
      <c r="M5" s="13"/>
    </row>
    <row r="6" spans="1:13" x14ac:dyDescent="0.3">
      <c r="A6" s="20" t="str">
        <f>IF(Instructions!$B$1="CZ","Nabídka [ks]","Offer [pcs]")</f>
        <v>Nabídka [ks]</v>
      </c>
      <c r="B6" s="21">
        <f>Decision!B18</f>
        <v>0</v>
      </c>
      <c r="C6" s="22">
        <f>Decision!C18</f>
        <v>0</v>
      </c>
      <c r="D6" s="355"/>
      <c r="E6" s="356"/>
      <c r="F6" s="13"/>
      <c r="G6" s="106" t="str">
        <f>IF(Instructions!$B$1="CZ","Nepřímé náklady","Indirect costs")</f>
        <v>Nepřímé náklady</v>
      </c>
      <c r="H6" s="76">
        <f>IF($E$3&gt;$H$3,ActualResults!H6,B74)</f>
        <v>279960</v>
      </c>
      <c r="I6" s="46" t="str">
        <f>IF($E$3=I3,$B$74,IF($E$3&gt;I3,ActualResults!I6,""))</f>
        <v/>
      </c>
      <c r="J6" s="46" t="str">
        <f>IF($E$3=J3,$B$74,IF($E$3&gt;J3,ActualResults!J6,""))</f>
        <v/>
      </c>
      <c r="K6" s="48" t="str">
        <f>IF($E$3=K3,$B$74,"")</f>
        <v/>
      </c>
      <c r="L6" s="49">
        <f t="shared" si="0"/>
        <v>279960</v>
      </c>
      <c r="M6" s="13"/>
    </row>
    <row r="7" spans="1:13" x14ac:dyDescent="0.3">
      <c r="A7" s="20" t="str">
        <f>IF(Instructions!$B$1="CZ","Potenciální prodej [ks]","Potential sales [pcs]")</f>
        <v>Potenciální prodej [ks]</v>
      </c>
      <c r="B7" s="323">
        <v>2200</v>
      </c>
      <c r="C7" s="324">
        <v>870</v>
      </c>
      <c r="D7" s="357" t="str">
        <f>IF(Instructions!$B$1="CZ","&lt;=Doplňte očekávaný potenciál trhu pro VAŠI firmu","&lt;=Fill-in the expected potential for YOUR company")</f>
        <v>&lt;=Doplňte očekávaný potenciál trhu pro VAŠI firmu</v>
      </c>
      <c r="E7" s="358"/>
      <c r="F7" s="13"/>
      <c r="G7" s="106" t="str">
        <f>IF(Instructions!$B$1="CZ","Provozní zisk","Operating result")</f>
        <v>Provozní zisk</v>
      </c>
      <c r="H7" s="76">
        <f>IF($E$3&gt;$H$3,ActualResults!H7,B80)</f>
        <v>-2169960</v>
      </c>
      <c r="I7" s="46" t="str">
        <f>IF($E$3=I3,$B$80,IF($E$3&gt;I3,ActualResults!I7,""))</f>
        <v/>
      </c>
      <c r="J7" s="46" t="str">
        <f>IF($E$3=J3,$B$80,IF($E$3&gt;J3,ActualResults!J7,""))</f>
        <v/>
      </c>
      <c r="K7" s="48" t="str">
        <f>IF($E$3=K3,$B$80,"")</f>
        <v/>
      </c>
      <c r="L7" s="49">
        <f t="shared" si="0"/>
        <v>-2169960</v>
      </c>
      <c r="M7" s="13"/>
    </row>
    <row r="8" spans="1:13" x14ac:dyDescent="0.3">
      <c r="A8" s="20" t="str">
        <f>IF(Instructions!$B$1="CZ","Skutečný prodej [ks]","Actual sales [pcs]")</f>
        <v>Skutečný prodej [ks]</v>
      </c>
      <c r="B8" s="21">
        <f>IF(B7&lt;=B6,B7,B6)</f>
        <v>0</v>
      </c>
      <c r="C8" s="22">
        <f>IF(C7&lt;=C6,C7,C6)</f>
        <v>0</v>
      </c>
      <c r="D8" s="211"/>
      <c r="E8" s="211"/>
      <c r="F8" s="13"/>
      <c r="G8" s="106" t="str">
        <f>IF(Instructions!$B$1="CZ","Úroky","Capital costs")</f>
        <v>Úroky</v>
      </c>
      <c r="H8" s="76">
        <f>IF($E$3&gt;$H$3,ActualResults!H8,B43)</f>
        <v>0</v>
      </c>
      <c r="I8" s="46" t="str">
        <f>IF($E$3=I3,$B$43,IF($E$3&gt;I3,ActualResults!I8,""))</f>
        <v/>
      </c>
      <c r="J8" s="46" t="str">
        <f>IF($E$3=J3,$B$43,IF($E$3&gt;J3,ActualResults!J8,""))</f>
        <v/>
      </c>
      <c r="K8" s="48" t="str">
        <f>IF($E$3=K3,$B$43,"")</f>
        <v/>
      </c>
      <c r="L8" s="49">
        <f t="shared" si="0"/>
        <v>0</v>
      </c>
      <c r="M8" s="13"/>
    </row>
    <row r="9" spans="1:13" ht="16.2" thickBot="1" x14ac:dyDescent="0.35">
      <c r="A9" s="24" t="str">
        <f>IF(Instructions!$B$1="CZ","Tržby [Kč]","Sales [CZK]")</f>
        <v>Tržby [Kč]</v>
      </c>
      <c r="B9" s="25">
        <f>B8*B5</f>
        <v>0</v>
      </c>
      <c r="C9" s="26">
        <f>C8*C5</f>
        <v>0</v>
      </c>
      <c r="D9" s="13"/>
      <c r="E9" s="13"/>
      <c r="F9" s="13"/>
      <c r="G9" s="106" t="str">
        <f>IF(Instructions!$B$1="CZ","Mimořádné výdaje","Extraordinary expenses")</f>
        <v>Mimořádné výdaje</v>
      </c>
      <c r="H9" s="76">
        <f>IF($E$3&gt;$H$3,ActualResults!H9,B51)</f>
        <v>0</v>
      </c>
      <c r="I9" s="46" t="str">
        <f>IF($E$3=I3,IF($B$51&lt;0,$B$51,0),IF($E$3&gt;I3,ActualResults!I9,""))</f>
        <v/>
      </c>
      <c r="J9" s="46" t="str">
        <f>IF($E$3=J3,IF($B$51&lt;0,$B$51,0),IF($E$3&gt;J3,ActualResults!J9,""))</f>
        <v/>
      </c>
      <c r="K9" s="48" t="str">
        <f>IF($E$3=K3,IF($B$51&lt;0,$B$51,0),"")</f>
        <v/>
      </c>
      <c r="L9" s="49">
        <f t="shared" si="0"/>
        <v>0</v>
      </c>
      <c r="M9" s="13"/>
    </row>
    <row r="10" spans="1:13" ht="16.2" thickBot="1" x14ac:dyDescent="0.35">
      <c r="A10" s="13"/>
      <c r="B10" s="13"/>
      <c r="C10" s="13"/>
      <c r="D10" s="13"/>
      <c r="E10" s="13"/>
      <c r="F10" s="13"/>
      <c r="G10" s="106" t="str">
        <f>IF(Instructions!$B$1="CZ","Daně","Taxes")</f>
        <v>Daně</v>
      </c>
      <c r="H10" s="76">
        <f>IF($E$3&gt;$H$3,ActualResults!H10,E59)</f>
        <v>0</v>
      </c>
      <c r="I10" s="46" t="str">
        <f>IF($E$3=I3,$E$59,IF($E$3&gt;I3,ActualResults!I10,""))</f>
        <v/>
      </c>
      <c r="J10" s="46" t="str">
        <f>IF($E$3=J3,$E$59,IF($E$3&gt;J3,ActualResults!J10,""))</f>
        <v/>
      </c>
      <c r="K10" s="48" t="str">
        <f>IF($E$3=K3,$E$59,"")</f>
        <v/>
      </c>
      <c r="L10" s="49"/>
      <c r="M10" s="13"/>
    </row>
    <row r="11" spans="1:13" ht="17.399999999999999" x14ac:dyDescent="0.3">
      <c r="A11" s="352" t="str">
        <f>IF(Instructions!$B$1="CZ","VÝROBA","PRODUCTION")</f>
        <v>VÝROBA</v>
      </c>
      <c r="B11" s="353"/>
      <c r="C11" s="354"/>
      <c r="D11" s="355"/>
      <c r="E11" s="356"/>
      <c r="F11" s="32"/>
      <c r="G11" s="106" t="str">
        <f>IF(Instructions!$B$1="CZ","Mimořádné příjmy","Extraordinary revenues")</f>
        <v>Mimořádné příjmy</v>
      </c>
      <c r="H11" s="76">
        <f>IF($E$3&gt;$H$3,ActualResults!H11,IF(B51&gt;0,B51,0))</f>
        <v>0</v>
      </c>
      <c r="I11" s="46" t="str">
        <f>IF($E$3=I3,IF($B$51&gt;0,$B$51,0),IF($E$3&gt;I3,ActualResults!I11,""))</f>
        <v/>
      </c>
      <c r="J11" s="46" t="str">
        <f>IF($E$3=J3,IF($B$51&gt;0,$B$51,0),IF($E$3&gt;J3,ActualResults!J11,""))</f>
        <v/>
      </c>
      <c r="K11" s="48" t="str">
        <f>IF($E$3=K3,IF($B$51&gt;0,$B$51,0),"")</f>
        <v/>
      </c>
      <c r="L11" s="49">
        <f t="shared" si="0"/>
        <v>0</v>
      </c>
      <c r="M11" s="13"/>
    </row>
    <row r="12" spans="1:13" ht="16.2" thickBot="1" x14ac:dyDescent="0.35">
      <c r="A12" s="17" t="str">
        <f>IF(Instructions!$B$1="CZ","VÝROBEK","PRODUCT")</f>
        <v>VÝROBEK</v>
      </c>
      <c r="B12" s="18" t="str">
        <f>IF(Instructions!$B$1="CZ","STOLY","DESKS")</f>
        <v>STOLY</v>
      </c>
      <c r="C12" s="19" t="str">
        <f>IF(Instructions!$B$1="CZ","SKŘÍŇKY","CABINETS")</f>
        <v>SKŘÍŇKY</v>
      </c>
      <c r="D12" s="210"/>
      <c r="E12" s="210"/>
      <c r="F12" s="13"/>
      <c r="G12" s="107" t="str">
        <f>IF(Instructions!$B$1="CZ","Čistý zisk","Net results")</f>
        <v>Čistý zisk</v>
      </c>
      <c r="H12" s="77">
        <f>IF($E$3&gt;$H$3,ActualResults!H12,B87)</f>
        <v>-2169960</v>
      </c>
      <c r="I12" s="51" t="str">
        <f>IF($E$3=I3,$B$87,IF($E$3&gt;I3,ActualResults!I12,""))</f>
        <v/>
      </c>
      <c r="J12" s="51" t="str">
        <f>IF($E$3=J3,$B$87,IF($E$3&gt;J3,ActualResults!J12,""))</f>
        <v/>
      </c>
      <c r="K12" s="52" t="str">
        <f>IF($E$3=K3,$B$87,"")</f>
        <v/>
      </c>
      <c r="L12" s="53">
        <f t="shared" si="0"/>
        <v>-2169960</v>
      </c>
      <c r="M12" s="13"/>
    </row>
    <row r="13" spans="1:13" x14ac:dyDescent="0.3">
      <c r="A13" s="20" t="str">
        <f>IF(Instructions!$B$1="CZ","Počáteční zásoba [ks]","Opening stock [pcs]")</f>
        <v>Počáteční zásoba [ks]</v>
      </c>
      <c r="B13" s="21">
        <f>ActualResults!B16</f>
        <v>2170</v>
      </c>
      <c r="C13" s="22">
        <f>ActualResults!C16</f>
        <v>911</v>
      </c>
      <c r="D13" s="211"/>
      <c r="E13" s="211"/>
      <c r="F13" s="212"/>
      <c r="G13" s="108" t="str">
        <f>IF(Instructions!$B$1="CZ","Průzkum trhu","Market survey")</f>
        <v>Průzkum trhu</v>
      </c>
      <c r="H13" s="76">
        <f>IF($E$3&gt;$H$3,ActualResults!H13,B75)</f>
        <v>0</v>
      </c>
      <c r="I13" s="47" t="str">
        <f>IF($E$3=I3,$B$75,IF($E$3&gt;I3,ActualResults!I13,""))</f>
        <v/>
      </c>
      <c r="J13" s="47" t="str">
        <f>IF($E$3=J3,$B$75,IF($E$3&gt;J3,ActualResults!J13,""))</f>
        <v/>
      </c>
      <c r="K13" s="74" t="str">
        <f>IF($E$3=K3,$B$75,"")</f>
        <v/>
      </c>
      <c r="L13" s="54"/>
      <c r="M13" s="13"/>
    </row>
    <row r="14" spans="1:13" x14ac:dyDescent="0.3">
      <c r="A14" s="20" t="str">
        <f>IF(Instructions!$B$1="CZ","Plánovaná výroba [ks]","Planned production [pcs]")</f>
        <v>Plánovaná výroba [ks]</v>
      </c>
      <c r="B14" s="27">
        <f>IF(AND(Decision!G32&lt;=VLOOKUP(G21,G21:K21,MOD(E3-1,4)+2,0),B23&gt;=0,C23&gt;=0),Decision!E32,IF(Instructions!B1="CZ","Nelze dodržet plán","Plan cannot be fulfilled"))</f>
        <v>0</v>
      </c>
      <c r="C14" s="28">
        <f>IF(AND(Decision!G32&lt;=VLOOKUP(G21,G21:K21,MOD(E3-1,4)+2,0),B23&gt;=0,C23&gt;=0),Decision!F32,IF(Instructions!B1="CZ","Nelze dodržet plán","Plan cannot be fulfilled"))</f>
        <v>0</v>
      </c>
      <c r="D14" s="211"/>
      <c r="E14" s="211"/>
      <c r="F14" s="212"/>
      <c r="G14" s="106" t="str">
        <f>IF(Instructions!$B$1="CZ","Cena stolu","Price of Desks")</f>
        <v>Cena stolu</v>
      </c>
      <c r="H14" s="76">
        <f>IF($E$3&gt;$H$3,ActualResults!H14,B5)</f>
        <v>0</v>
      </c>
      <c r="I14" s="46" t="str">
        <f>IF($E$3=I3,$B$5,IF($E$3&gt;I3,ActualResults!I14,""))</f>
        <v/>
      </c>
      <c r="J14" s="46" t="str">
        <f>IF($E$3=J3,$B$5,IF($E$3&gt;J3,ActualResults!J14,""))</f>
        <v/>
      </c>
      <c r="K14" s="48" t="str">
        <f>IF($E$3=K3,$B$5,"")</f>
        <v/>
      </c>
      <c r="L14" s="85"/>
      <c r="M14" s="13"/>
    </row>
    <row r="15" spans="1:13" ht="16.2" thickBot="1" x14ac:dyDescent="0.35">
      <c r="A15" s="24" t="str">
        <f>IF(Instructions!$B$1="CZ","Konečná zásoba [ks]","Inventory [pcs]")</f>
        <v>Konečná zásoba [ks]</v>
      </c>
      <c r="B15" s="25">
        <f>B13+B14-B8</f>
        <v>2170</v>
      </c>
      <c r="C15" s="26">
        <f>C14+C13-C8</f>
        <v>911</v>
      </c>
      <c r="D15" s="212"/>
      <c r="E15" s="212"/>
      <c r="F15" s="212"/>
      <c r="G15" s="106" t="str">
        <f>IF(Instructions!$B$1="CZ","Cena skříňky","Price of cabinets")</f>
        <v>Cena skříňky</v>
      </c>
      <c r="H15" s="76">
        <f>IF($E$3&gt;$H$3,ActualResults!H15,C5)</f>
        <v>0</v>
      </c>
      <c r="I15" s="46" t="str">
        <f>IF($E$3=I3,$C$5,IF($E$3&gt;I3,ActualResults!I15,""))</f>
        <v/>
      </c>
      <c r="J15" s="46" t="str">
        <f>IF($E$3=J3,$C$5,IF($E$3&gt;J3,ActualResults!J15,""))</f>
        <v/>
      </c>
      <c r="K15" s="48" t="str">
        <f>IF($E$3=K3,$C$5,"")</f>
        <v/>
      </c>
      <c r="L15" s="85"/>
      <c r="M15" s="13"/>
    </row>
    <row r="16" spans="1:13" ht="16.2" thickBot="1" x14ac:dyDescent="0.35">
      <c r="A16" s="13"/>
      <c r="B16" s="13"/>
      <c r="C16" s="13"/>
      <c r="D16" s="59"/>
      <c r="E16" s="59"/>
      <c r="F16" s="13"/>
      <c r="G16" s="109" t="str">
        <f>IF(Instructions!$B$1="CZ","Náklady neuspokojené poptávky","Out-of-stock costs")</f>
        <v>Náklady neuspokojené poptávky</v>
      </c>
      <c r="H16" s="78">
        <f>IF($E$3&gt;$H$3,ActualResults!H16,B77)</f>
        <v>98500</v>
      </c>
      <c r="I16" s="56" t="str">
        <f>IF($E$3=I3,$B$77,IF($E$3&gt;I3,ActualResults!I16,""))</f>
        <v/>
      </c>
      <c r="J16" s="56" t="str">
        <f>IF($E$3=J3,$B$77,IF($E$3&gt;J3,ActualResults!J16,""))</f>
        <v/>
      </c>
      <c r="K16" s="57" t="str">
        <f>IF($E$3=K3,$B$77,"")</f>
        <v/>
      </c>
      <c r="L16" s="53">
        <f>SUM(H16:K16)</f>
        <v>98500</v>
      </c>
      <c r="M16" s="13"/>
    </row>
    <row r="17" spans="1:13" ht="17.399999999999999" x14ac:dyDescent="0.3">
      <c r="A17" s="352" t="str">
        <f>IF(Instructions!$B$1="CZ","ZÁSOBOVÁNÍ","PROCUREMENT")</f>
        <v>ZÁSOBOVÁNÍ</v>
      </c>
      <c r="B17" s="353"/>
      <c r="C17" s="354"/>
      <c r="D17" s="13"/>
      <c r="E17" s="13"/>
      <c r="F17" s="13"/>
      <c r="G17" s="110" t="str">
        <f>IF(Instructions!$B$1="CZ","Počet strojů","Capacity")</f>
        <v>Počet strojů</v>
      </c>
      <c r="H17" s="79" t="str">
        <f>IF($E$3&gt;$H$3,ActualResults!H17,CONCATENATE(ActualResults!B58/600000," (",IF(Decision!B36&gt;0,-Decision!B36,Decision!B35),")"))</f>
        <v>3 (0)</v>
      </c>
      <c r="I17" s="66" t="str">
        <f>IF($E$3=I3,CONCATENATE(ActualResults!$B$58/600000," (",IF(Decision!$B$36&gt;0,-Decision!$B$36,Decision!$B$35),")"),IF($E$3&gt;I3,ActualResults!I17,""))</f>
        <v/>
      </c>
      <c r="J17" s="66" t="str">
        <f>IF($E$3=J3,CONCATENATE(ActualResults!$B$58/600000," (",IF(Decision!$B$36&gt;0,-Decision!$B$36,Decision!$B$35),")"),IF($E$3&gt;J3,ActualResults!J17,""))</f>
        <v/>
      </c>
      <c r="K17" s="80" t="str">
        <f>IF($E$3=K3,CONCATENATE(ActualResults!$B$58/600000," (",IF(Decision!$B$36&gt;0,-Decision!$B$36,Decision!$B$35),")"),"")</f>
        <v/>
      </c>
      <c r="L17" s="55"/>
      <c r="M17" s="13"/>
    </row>
    <row r="18" spans="1:13" x14ac:dyDescent="0.3">
      <c r="A18" s="17" t="str">
        <f>IF(Instructions!$B$1="CZ","SUROVINA","RAW MATERIAL")</f>
        <v>SUROVINA</v>
      </c>
      <c r="B18" s="18" t="str">
        <f>IF(Instructions!$B$1="CZ","DŘEVO","WOOD")</f>
        <v>DŘEVO</v>
      </c>
      <c r="C18" s="19" t="str">
        <f>IF(Instructions!$B$1="CZ","KOV","METAL")</f>
        <v>KOV</v>
      </c>
      <c r="D18" s="13"/>
      <c r="E18" s="13"/>
      <c r="F18" s="13"/>
      <c r="G18" s="117" t="str">
        <f>IF(Instructions!$B$1="CZ","Výroba - plán [%]","Production - plan [%]")</f>
        <v>Výroba - plán [%]</v>
      </c>
      <c r="H18" s="100">
        <f>IF($E$3&gt;$H$3,ActualResults!H18,(Decision!B32+Decision!C32)/((B57-B40)/600000*1500)*100)</f>
        <v>0</v>
      </c>
      <c r="I18" s="101" t="str">
        <f>IF($E$3=I3,$B$57/600000*1500/(Decision!$B$32+Decision!$C$32)*100,IF($E$3&gt;I3,ActualResults!I18,""))</f>
        <v/>
      </c>
      <c r="J18" s="101" t="str">
        <f>IF($E$3=J3,$B$57/600000*1500/(Decision!$B$32+Decision!$C$32)*100,IF($E$3&gt;J3,ActualResults!J18,""))</f>
        <v/>
      </c>
      <c r="K18" s="102" t="str">
        <f>IF($E$3=K3,$B$57/600000*1500/(Decision!$B$32+Decision!$C$32)*100,"")</f>
        <v/>
      </c>
      <c r="L18" s="54"/>
      <c r="M18" s="13"/>
    </row>
    <row r="19" spans="1:13" ht="16.2" thickBot="1" x14ac:dyDescent="0.35">
      <c r="A19" s="20" t="str">
        <f>IF(Instructions!$B$1="CZ","Počáteční zásoba [kg]","Opening stock [kg]")</f>
        <v>Počáteční zásoba [kg]</v>
      </c>
      <c r="B19" s="21">
        <f>ActualResults!B24</f>
        <v>600</v>
      </c>
      <c r="C19" s="22">
        <f>ActualResults!C24</f>
        <v>700</v>
      </c>
      <c r="D19" s="13"/>
      <c r="E19" s="13"/>
      <c r="F19" s="13"/>
      <c r="G19" s="117" t="str">
        <f>IF(Instructions!$B$1="CZ","Výroba - stutečnost [%]","Production - reality [%]")</f>
        <v>Výroba - stutečnost [%]</v>
      </c>
      <c r="H19" s="222">
        <f>IF($E$3&gt;$H$3,ActualResults!H19,(Decision!B32+Decision!C32)/((B57-B40)/600000*1500)*100)</f>
        <v>0</v>
      </c>
      <c r="I19" s="56" t="str">
        <f>IF($E$3=I3,(Decision!$B$32+Decision!$C$32)/(($B$57-$B$40)/600000*1500)*100,IF($E$3&gt;I3,ActualResults!I19,""))</f>
        <v/>
      </c>
      <c r="J19" s="56" t="str">
        <f>IF($E$3=J3,(Decision!$B$32+Decision!$C$32)/(($B$57-$B$40)/600000*1500)*100,IF($E$3&gt;J3,ActualResults!J19,""))</f>
        <v/>
      </c>
      <c r="K19" s="57" t="str">
        <f>IF($E$3=K3,(Decision!$B$32+Decision!$C$32)/(($B$57-$B$40)/600000*1500)*100,"")</f>
        <v/>
      </c>
      <c r="L19" s="88"/>
      <c r="M19" s="13"/>
    </row>
    <row r="20" spans="1:13" x14ac:dyDescent="0.3">
      <c r="A20" s="20" t="str">
        <f>IF(Instructions!$B$1="CZ","Nákup [kg]","Purchase [kg]")</f>
        <v>Nákup [kg]</v>
      </c>
      <c r="B20" s="21">
        <f>Decision!B41</f>
        <v>0</v>
      </c>
      <c r="C20" s="22">
        <f>Decision!C41</f>
        <v>0</v>
      </c>
      <c r="D20" s="13"/>
      <c r="E20" s="13"/>
      <c r="F20" s="13"/>
      <c r="G20" s="118" t="str">
        <f>IF(Instructions!$B$1="CZ","Zaměstnanci - celkem","Employees - total")</f>
        <v>Zaměstnanci - celkem</v>
      </c>
      <c r="H20" s="75">
        <f>IF($E$3&gt;$H$3,ActualResults!H20,ActualResults!K20+ActualResults!K22)</f>
        <v>30</v>
      </c>
      <c r="I20" s="43" t="str">
        <f>IF($E$3=I3,H20+H22,IF($E$3&gt;I3,ActualResults!I20,""))</f>
        <v/>
      </c>
      <c r="J20" s="43" t="str">
        <f>IF($E$3=J3,I20+I22,IF($E$3&gt;J3,ActualResults!J20,""))</f>
        <v/>
      </c>
      <c r="K20" s="44" t="str">
        <f>IF($E$3=K3,J20+J22,IF($E$3&gt;K3,ActualResults!K20,""))</f>
        <v/>
      </c>
      <c r="L20" s="82"/>
      <c r="M20" s="13"/>
    </row>
    <row r="21" spans="1:13" x14ac:dyDescent="0.3">
      <c r="A21" s="20" t="str">
        <f>IF(Instructions!$B$1="CZ","Cena [Kč za kg]","Price [CZK per kg]")</f>
        <v>Cena [Kč za kg]</v>
      </c>
      <c r="B21" s="72">
        <f>VLOOKUP(E3,Decision!I3:K10,2,0)</f>
        <v>18.72</v>
      </c>
      <c r="C21" s="73">
        <f>VLOOKUP(E3,Decision!I3:K10,3,0)</f>
        <v>16.61</v>
      </c>
      <c r="D21" s="13"/>
      <c r="E21" s="13"/>
      <c r="F21" s="13"/>
      <c r="G21" s="118" t="str">
        <f>IF(Instructions!$B$1="CZ","Zaměstnanci - aktivní","Employees - active")</f>
        <v>Zaměstnanci - aktivní</v>
      </c>
      <c r="H21" s="83">
        <f>IF($E$3=H3,IF($B$31&lt;90,INT((H20)*0.75),IF($B$31&lt;100,INT((H20)*0.85),IF($B$31&lt;110,INT((H20)*0.95),(H20)))),IF($E$3&gt;H3,ActualResults!H21,""))</f>
        <v>25</v>
      </c>
      <c r="I21" s="83" t="str">
        <f>IF($E$3=I3,IF($B$31&lt;90,INT((I20)*0.75),IF($B$31&lt;100,INT((I20)*0.85),IF($B$31&lt;110,INT((I20)*0.95),(I20)))),IF($E$3&gt;I3,ActualResults!I21,""))</f>
        <v/>
      </c>
      <c r="J21" s="83" t="str">
        <f>IF($E$3=J3,IF($B$31&lt;90,INT((J20)*0.75),IF($B$31&lt;100,INT((J20)*0.85),IF($B$31&lt;110,INT((J20)*0.95),(J20)))),IF($E$3&gt;J3,ActualResults!J21,""))</f>
        <v/>
      </c>
      <c r="K21" s="84" t="str">
        <f>IF($E$3=K3,IF($B$31&lt;90,INT((K20)*0.75),IF($B$31&lt;100,INT((K20)*0.85),IF($B$31&lt;110,INT((K20)*0.95),(K20)))),"")</f>
        <v/>
      </c>
      <c r="L21" s="85"/>
      <c r="M21" s="13"/>
    </row>
    <row r="22" spans="1:13" x14ac:dyDescent="0.3">
      <c r="A22" s="20" t="str">
        <f>IF(Instructions!$B$1="CZ","Spotřeba [kg]","Consumption [kg]")</f>
        <v>Spotřeba [kg]</v>
      </c>
      <c r="B22" s="21">
        <f>Decision!E32*Data!F15+Data!G15*Decision!F32</f>
        <v>0</v>
      </c>
      <c r="C22" s="22">
        <f>Decision!E32*Data!F16+Data!G16*Decision!F32</f>
        <v>0</v>
      </c>
      <c r="D22" s="13"/>
      <c r="E22" s="13"/>
      <c r="F22" s="13"/>
      <c r="G22" s="118" t="str">
        <f>IF(Instructions!$B$1="CZ","Zaměstnanci - změna","Employees - change")</f>
        <v>Zaměstnanci - změna</v>
      </c>
      <c r="H22" s="76">
        <f>IF($E$3&gt;$H$3,ActualResults!H22,Decision!B46+Decision!B47)</f>
        <v>0</v>
      </c>
      <c r="I22" s="86" t="str">
        <f>IF($E$3=I3,Decision!$B$46-Decision!$B$47,IF($E$3&gt;I3,ActualResults!I22,""))</f>
        <v/>
      </c>
      <c r="J22" s="86" t="str">
        <f>IF($E$3=J3,Decision!$B$46-Decision!$B$47,IF($E$3&gt;J3,ActualResults!J22,""))</f>
        <v/>
      </c>
      <c r="K22" s="87" t="str">
        <f>IF($E$3=K3,Decision!$B$46-Decision!$B$47,"")</f>
        <v/>
      </c>
      <c r="L22" s="88"/>
      <c r="M22" s="13"/>
    </row>
    <row r="23" spans="1:13" ht="16.2" thickBot="1" x14ac:dyDescent="0.35">
      <c r="A23" s="24" t="str">
        <f>IF(Instructions!$B$1="CZ","Konečná zásoba [kg]","Inventory [kg]")</f>
        <v>Konečná zásoba [kg]</v>
      </c>
      <c r="B23" s="25">
        <f>B19+B20-B22</f>
        <v>600</v>
      </c>
      <c r="C23" s="26">
        <f>C19+C20-C22</f>
        <v>700</v>
      </c>
      <c r="D23" s="13"/>
      <c r="E23" s="13"/>
      <c r="F23" s="13"/>
      <c r="G23" s="118" t="str">
        <f>IF(Instructions!$B$1="CZ","Zaměstnanci - přům. náklady na pracovníka","Employees - average per employee")</f>
        <v>Zaměstnanci - přům. náklady na pracovníka</v>
      </c>
      <c r="H23" s="77">
        <f>IF($E$3&gt;$H$3,ActualResults!H23,E27)</f>
        <v>48000</v>
      </c>
      <c r="I23" s="51" t="str">
        <f>IF($E$3=I3,$E$27,IF($E$3&gt;I3,ActualResults!I23,""))</f>
        <v/>
      </c>
      <c r="J23" s="51" t="str">
        <f>IF($E$3=J3,$E$27,IF($E$3&gt;J3,ActualResults!J23,""))</f>
        <v/>
      </c>
      <c r="K23" s="52" t="str">
        <f>IF($E$3=K3,$E$27,"")</f>
        <v/>
      </c>
      <c r="L23" s="89"/>
      <c r="M23" s="13"/>
    </row>
    <row r="24" spans="1:13" ht="16.2" thickBot="1" x14ac:dyDescent="0.35">
      <c r="A24" s="13"/>
      <c r="B24" s="13"/>
      <c r="C24" s="13"/>
      <c r="D24" s="13"/>
      <c r="E24" s="13"/>
      <c r="F24" s="13"/>
      <c r="G24" s="114" t="str">
        <f>IF(Instructions!$B$1="CZ","Nedodržení plánované výroby","Production cut-backs")</f>
        <v>Nedodržení plánované výroby</v>
      </c>
      <c r="H24" s="81">
        <f>IF($E$3&gt;$H$3,ActualResults!H24,IF(H21&lt;Decision!G32,"M",IF(Decision!B32+Decision!C32&gt;B57/600000*1500,"K",IF(B19+B20&lt;Decision!B40,"Dřevo",IF(C19+C20&lt;Decision!C40,"Kov",0)))))</f>
        <v>0</v>
      </c>
      <c r="I24" s="90" t="str">
        <f>IF($E$3=I3,IF(I21&lt;Decision!$G$32,"M",IF(Decision!$B$32+Decision!$C$32&gt;$B$57/600000*1500,"K",IF($C$19+$C$20&lt;Decision!$C$40,"Kov",IF($B$19+$B$20&lt;Decision!$B$40,"Dřevo",0)))),IF($E$3&gt;I3,ActualResults!I24,""))</f>
        <v/>
      </c>
      <c r="J24" s="90" t="str">
        <f>IF($E$3=J3,IF(J21&lt;Decision!$G$32,"M",IF(Decision!$B$32+Decision!$C$32&gt;$B$57/600000*1500,"K",IF($C$19+$C$20&lt;Decision!$C$40,"Kov",IF($B$19+$B$20&lt;Decision!$B$40,"Dřevo",0)))),IF($E$3&gt;J3,ActualResults!J24,""))</f>
        <v/>
      </c>
      <c r="K24" s="91" t="str">
        <f>IF($E$3=K3,IF(K21&lt;Decision!$G$32,"M",IF(Decision!$B$32+Decision!$C$32&gt;$B$57/600000*1500,"K",IF($C$19+$C$20&lt;Decision!$C$40,"Kov",IF($B$19+$B$20&lt;Decision!$B$40,"Dřevo",0)))),"")</f>
        <v/>
      </c>
      <c r="L24" s="92">
        <f>SUM(H24:K24)</f>
        <v>0</v>
      </c>
      <c r="M24" s="13"/>
    </row>
    <row r="25" spans="1:13" ht="17.399999999999999" x14ac:dyDescent="0.3">
      <c r="A25" s="347" t="str">
        <f>IF(Instructions!$B$1="CZ","LIDSKÉ ZDROJE","HUMAN RESOURCES")</f>
        <v>LIDSKÉ ZDROJE</v>
      </c>
      <c r="B25" s="348"/>
      <c r="C25" s="348"/>
      <c r="D25" s="348"/>
      <c r="E25" s="349"/>
      <c r="F25" s="13"/>
      <c r="G25" s="115" t="str">
        <f>IF(Instructions!$B$1="CZ","Suroviny - nákup","Raw materials - purchase")</f>
        <v>Suroviny - nákup</v>
      </c>
      <c r="H25" s="76">
        <f>IF($E$3&gt;$H$3,ActualResults!H25,B70)</f>
        <v>0</v>
      </c>
      <c r="I25" s="47" t="str">
        <f>IF($E$3=I3,$B$70,IF($E$3&gt;I3,ActualResults!I25,""))</f>
        <v/>
      </c>
      <c r="J25" s="47" t="str">
        <f>IF($E$3=J3,$B$70,IF($E$3&gt;J3,ActualResults!J25,""))</f>
        <v/>
      </c>
      <c r="K25" s="74" t="str">
        <f>IF($E$3=K3,$B$70,"")</f>
        <v/>
      </c>
      <c r="L25" s="54"/>
      <c r="M25" s="13"/>
    </row>
    <row r="26" spans="1:13" x14ac:dyDescent="0.3">
      <c r="A26" s="29" t="str">
        <f>IF(Instructions!$B$1="CZ","Základní index","Base index")</f>
        <v>Základní index</v>
      </c>
      <c r="B26" s="13">
        <v>100</v>
      </c>
      <c r="C26" s="13"/>
      <c r="D26" s="13" t="str">
        <f>IF(Instructions!$B$1="CZ","Pracovní náklady","Labour costs")</f>
        <v>Pracovní náklady</v>
      </c>
      <c r="E26" s="30">
        <f>(VLOOKUP(G20,G20:K20,MOD(E3-1,4)+2,0)+VLOOKUP(G22,G22:K22,MOD(E3-1,4)+2,0))*Data!I32*B27/B26+IF(B29&gt;0,(VLOOKUP(G20,G20:K20,MOD(E3-1,4)+2,0)+VLOOKUP(G22,G22:K22,MOD(E3-1,4)+2,0))*Data!I32*B27/B26*0.05,0)</f>
        <v>1440000</v>
      </c>
      <c r="F26" s="13"/>
      <c r="G26" s="116" t="str">
        <f>IF(Instructions!$B$1="CZ","Suroviny - sleva","Raw materials - discount")</f>
        <v>Suroviny - sleva</v>
      </c>
      <c r="H26" s="76">
        <f>IF($E$3&gt;$H$3,ActualResults!H26,IF(B20&lt;50000,0,0.02*B20*B21)+IF(C20&lt;50000,0,0.02*C20*C21))</f>
        <v>0</v>
      </c>
      <c r="I26" s="46" t="str">
        <f>IF($E$3=I3,IF($B$20&gt;=50000,0.02*$B$21*$B$20,0)+IF($C$20&gt;=50000,0.02*$C$21*$C$20,0),IF($E$3&gt;I3,ActualResults!I26,""))</f>
        <v/>
      </c>
      <c r="J26" s="46" t="str">
        <f>IF($E$3=J3,IF($B$20&gt;=50000,0.02*$B$21*$B$20,0)+IF($C$20&gt;=50000,0.02*$C$21*$C$20,0),IF($E$3&gt;J3,ActualResults!J26,""))</f>
        <v/>
      </c>
      <c r="K26" s="48" t="str">
        <f>IF($E$3=K3,IF($B$20&gt;=50000,0.02*$B$21*$B$20,0)+IF($C$20&gt;=50000,0.02*$C$21*$C$20,0),"")</f>
        <v/>
      </c>
      <c r="L26" s="85"/>
      <c r="M26" s="13"/>
    </row>
    <row r="27" spans="1:13" x14ac:dyDescent="0.3">
      <c r="A27" s="29" t="str">
        <f>IF(Instructions!$B$1="CZ","Mzdový index","Wage index")</f>
        <v>Mzdový index</v>
      </c>
      <c r="B27" s="13">
        <f>Decision!B44</f>
        <v>100</v>
      </c>
      <c r="C27" s="13"/>
      <c r="D27" s="13" t="str">
        <f>IF(Instructions!$B$1="CZ","Prům. náklady na pracovníka","Average per employee")</f>
        <v>Prům. náklady na pracovníka</v>
      </c>
      <c r="E27" s="30">
        <f>E26/(VLOOKUP(G20,G20:K20,MOD(E3-1,4)+2,0)+VLOOKUP(G22,G22:K22,MOD(E3-1,4)+2,0))</f>
        <v>48000</v>
      </c>
      <c r="F27" s="31"/>
      <c r="G27" s="112" t="str">
        <f>IF(Instructions!$B$1="CZ","Suroviny - zásoba","Raw materials - stock")</f>
        <v>Suroviny - zásoba</v>
      </c>
      <c r="H27" s="76">
        <f>IF($E$3&gt;$H$3,ActualResults!H27,B58)</f>
        <v>24900</v>
      </c>
      <c r="I27" s="46" t="str">
        <f>IF($E$3=I3,$B$58,IF($E$3&gt;I3,ActualResults!I27,""))</f>
        <v/>
      </c>
      <c r="J27" s="46" t="str">
        <f>IF($E$3=J3,$B$58,IF($E$3&gt;J3,ActualResults!J27,""))</f>
        <v/>
      </c>
      <c r="K27" s="48" t="str">
        <f>IF($E$3=K3,$B$58,"")</f>
        <v/>
      </c>
      <c r="L27" s="85"/>
      <c r="M27" s="13"/>
    </row>
    <row r="28" spans="1:13" ht="16.2" thickBot="1" x14ac:dyDescent="0.35">
      <c r="A28" s="29" t="str">
        <f>IF(Instructions!$B$1="CZ","Změna mzdového indexu","Change in wage level")</f>
        <v>Změna mzdového indexu</v>
      </c>
      <c r="B28" s="31">
        <f>B27-ActualResults!B28</f>
        <v>0</v>
      </c>
      <c r="C28" s="13"/>
      <c r="D28" s="13"/>
      <c r="E28" s="32"/>
      <c r="F28" s="13"/>
      <c r="G28" s="113" t="str">
        <f>IF(Instructions!$B$1="CZ","Suroviny - skladovací náklady","Raw materials - storage costs")</f>
        <v>Suroviny - skladovací náklady</v>
      </c>
      <c r="H28" s="78">
        <f>IF($E$3&gt;$H$3,ActualResults!H28,B78)</f>
        <v>650</v>
      </c>
      <c r="I28" s="56" t="str">
        <f>IF($E$3=I3,$B$78,IF($E$3&gt;I3,ActualResults!I28,""))</f>
        <v/>
      </c>
      <c r="J28" s="56" t="str">
        <f>IF($E$3=J3,$B$78,IF($E$3&gt;J3,ActualResults!J28,""))</f>
        <v/>
      </c>
      <c r="K28" s="57" t="str">
        <f>IF($E$3=K3,$B$78,"")</f>
        <v/>
      </c>
      <c r="L28" s="58">
        <f>SUM(H28:K28)</f>
        <v>650</v>
      </c>
      <c r="M28" s="13"/>
    </row>
    <row r="29" spans="1:13" x14ac:dyDescent="0.3">
      <c r="A29" s="29" t="str">
        <f>IF(Instructions!$B$1="CZ","Vzdělávání","Training")</f>
        <v>Vzdělávání</v>
      </c>
      <c r="B29" s="13">
        <f>IF(AND(ActualResults!B30&gt;0,Decision!B45&gt;0),10,IF(AND(ActualResults!B30&gt;0,Decision!B45=0),-5,IF(Decision!B45&gt;0,5,0)))</f>
        <v>0</v>
      </c>
      <c r="C29" s="13"/>
      <c r="D29" s="13"/>
      <c r="E29" s="32"/>
      <c r="F29" s="13"/>
      <c r="G29" s="111" t="str">
        <f>IF(Instructions!$B$1="CZ","Výrobky - zásoba","Products - stock")</f>
        <v>Výrobky - zásoba</v>
      </c>
      <c r="H29" s="75">
        <f>IF($E$3&gt;$H$3,ActualResults!H29,B59)</f>
        <v>4790400</v>
      </c>
      <c r="I29" s="93" t="str">
        <f>IF($E$3=I3,$B$59,IF($E$3&gt;I3,ActualResults!I29,""))</f>
        <v/>
      </c>
      <c r="J29" s="93" t="str">
        <f>IF($E$3=J3,$B$59,IF($E$3&gt;J3,ActualResults!J29,""))</f>
        <v/>
      </c>
      <c r="K29" s="94" t="str">
        <f>IF($E$3=K3,$B$59,"")</f>
        <v/>
      </c>
      <c r="L29" s="82"/>
      <c r="M29" s="13"/>
    </row>
    <row r="30" spans="1:13" ht="16.2" thickBot="1" x14ac:dyDescent="0.35">
      <c r="A30" s="29" t="str">
        <f>IF(Instructions!$B$1="CZ","Vliv kokurence","Influence of competition")</f>
        <v>Vliv kokurence</v>
      </c>
      <c r="B30" s="31">
        <v>-5</v>
      </c>
      <c r="C30" s="13"/>
      <c r="D30" s="13"/>
      <c r="E30" s="32"/>
      <c r="F30" s="13"/>
      <c r="G30" s="113" t="str">
        <f>IF(Instructions!$B$1="CZ","Výrobky - skladovací náklady","Products - storage costs")</f>
        <v>Výrobky - skladovací náklady</v>
      </c>
      <c r="H30" s="77">
        <f>IF($E$3&gt;$H$3,ActualResults!H30,B79)</f>
        <v>30810</v>
      </c>
      <c r="I30" s="51" t="str">
        <f>IF($E$3=I3,$B$79,IF($E$3&gt;I3,ActualResults!I30,""))</f>
        <v/>
      </c>
      <c r="J30" s="51" t="str">
        <f>IF($E$3=J3,$B$79,IF($E$3&gt;J3,ActualResults!J30,""))</f>
        <v/>
      </c>
      <c r="K30" s="52" t="str">
        <f>IF($E$3=K3,$B$79,"")</f>
        <v/>
      </c>
      <c r="L30" s="89">
        <f>SUM(H30:K30)</f>
        <v>30810</v>
      </c>
      <c r="M30" s="13"/>
    </row>
    <row r="31" spans="1:13" ht="16.2" thickBot="1" x14ac:dyDescent="0.35">
      <c r="A31" s="33" t="str">
        <f>IF(Instructions!$B$1="CZ","Nový index","New index")</f>
        <v>Nový index</v>
      </c>
      <c r="B31" s="34">
        <f>B27+B28+B29+B30</f>
        <v>95</v>
      </c>
      <c r="C31" s="35"/>
      <c r="D31" s="35"/>
      <c r="E31" s="36"/>
      <c r="F31" s="13"/>
      <c r="G31" s="111" t="s">
        <v>17</v>
      </c>
      <c r="H31" s="75">
        <f>IF($E$3&gt;$H$3,ActualResults!H31,B31)</f>
        <v>95</v>
      </c>
      <c r="I31" s="93" t="str">
        <f>IF($E$3=I3,$B$31,IF($E$3&gt;I3,ActualResults!I31,""))</f>
        <v/>
      </c>
      <c r="J31" s="93" t="str">
        <f>IF($E$3=J3,$B$31,IF($E$3&gt;J3,ActualResults!J31,""))</f>
        <v/>
      </c>
      <c r="K31" s="94" t="str">
        <f>IF($E$3=K3,$B$31,"")</f>
        <v/>
      </c>
      <c r="L31" s="82"/>
      <c r="M31" s="13"/>
    </row>
    <row r="32" spans="1:13" ht="16.2" thickBot="1" x14ac:dyDescent="0.35">
      <c r="A32" s="13"/>
      <c r="B32" s="13"/>
      <c r="C32" s="13"/>
      <c r="D32" s="13"/>
      <c r="E32" s="13"/>
      <c r="F32" s="13"/>
      <c r="G32" s="117" t="str">
        <f>IF(Instructions!$B$1="CZ","Průměrný PI na trhu","PI - market average")</f>
        <v>Průměrný PI na trhu</v>
      </c>
      <c r="H32" s="76">
        <f>IF($E$3&gt;$H$3,ActualResults!H32,110)</f>
        <v>110</v>
      </c>
      <c r="I32" s="83" t="str">
        <f>IF($E$3=I3,110,IF($E$3&gt;I3,ActualResults!I32,""))</f>
        <v/>
      </c>
      <c r="J32" s="83" t="str">
        <f>IF($E$3=J3,110,IF($E$3&gt;J3,ActualResults!J32,""))</f>
        <v/>
      </c>
      <c r="K32" s="84" t="str">
        <f>IF($E$3=K3,110,"")</f>
        <v/>
      </c>
      <c r="L32" s="54"/>
      <c r="M32" s="13"/>
    </row>
    <row r="33" spans="1:13" ht="18" thickBot="1" x14ac:dyDescent="0.35">
      <c r="A33" s="350" t="s">
        <v>18</v>
      </c>
      <c r="B33" s="351"/>
      <c r="C33" s="37"/>
      <c r="D33" s="37"/>
      <c r="E33" s="37"/>
      <c r="F33" s="13"/>
      <c r="G33" s="118" t="str">
        <f>IF(Instructions!$B$1="CZ","Mzdový index","Wage index")</f>
        <v>Mzdový index</v>
      </c>
      <c r="H33" s="76">
        <f>IF($E$3&gt;$H$3,ActualResults!H33,B27)</f>
        <v>100</v>
      </c>
      <c r="I33" s="83" t="str">
        <f>IF($E$3=I3,$B$27,IF($E$3&gt;I3,ActualResults!I33,""))</f>
        <v/>
      </c>
      <c r="J33" s="83" t="str">
        <f>IF($E$3=J3,$B$27,IF($E$3&gt;J3,ActualResults!J33,""))</f>
        <v/>
      </c>
      <c r="K33" s="84" t="str">
        <f>IF($E$3=K3,$B$27,"")</f>
        <v/>
      </c>
      <c r="L33" s="85"/>
      <c r="M33" s="13"/>
    </row>
    <row r="34" spans="1:13" ht="16.2" thickBot="1" x14ac:dyDescent="0.35">
      <c r="A34" s="29" t="str">
        <f>IF(Instructions!$B$1="CZ","VÝCHOZÍ STAV HOTOVOSTI","OPENING BALANCE")</f>
        <v>VÝCHOZÍ STAV HOTOVOSTI</v>
      </c>
      <c r="B34" s="38">
        <f>ActualResults!B54</f>
        <v>1854716</v>
      </c>
      <c r="C34" s="13"/>
      <c r="D34" s="13"/>
      <c r="E34" s="13"/>
      <c r="F34" s="13"/>
      <c r="G34" s="119" t="str">
        <f>IF(Instructions!$B$1="CZ","Vzdělávání","Training")</f>
        <v>Vzdělávání</v>
      </c>
      <c r="H34" s="77">
        <f>IF($E$3&gt;$H$3,ActualResults!H34,IF(B29&gt;0,1,0))</f>
        <v>0</v>
      </c>
      <c r="I34" s="95" t="str">
        <f>IF($E$3=I3,IF(B29&gt;0,1,0),IF($E$3&gt;I3,ActualResults!I34,""))</f>
        <v/>
      </c>
      <c r="J34" s="95" t="str">
        <f>IF($E$3=J3,IF(B29&gt;0,1,0),IF($E$3&gt;J3,ActualResults!J34,""))</f>
        <v/>
      </c>
      <c r="K34" s="96" t="str">
        <f>IF($E$3=K3,IF(B29&gt;0,1,0),"")</f>
        <v/>
      </c>
      <c r="L34" s="89"/>
      <c r="M34" s="13"/>
    </row>
    <row r="35" spans="1:13" x14ac:dyDescent="0.3">
      <c r="A35" s="29" t="str">
        <f>IF(Instructions!$B$1="CZ","Tržby","Sales revenues")</f>
        <v>Tržby</v>
      </c>
      <c r="B35" s="38">
        <f>B9+C9</f>
        <v>0</v>
      </c>
      <c r="C35" s="13"/>
      <c r="D35" s="31"/>
      <c r="E35" s="13"/>
      <c r="F35" s="13"/>
      <c r="G35" s="115" t="str">
        <f>IF(Instructions!$B$1="CZ","Úvěry","Credits")</f>
        <v>Úvěry</v>
      </c>
      <c r="H35" s="76">
        <f>IF($E$3&gt;$H$3,ActualResults!H35,B36)</f>
        <v>0</v>
      </c>
      <c r="I35" s="97" t="str">
        <f>IF($E$3=I3,$B$36,IF($E$3&gt;I3,ActualResults!I35,""))</f>
        <v/>
      </c>
      <c r="J35" s="97" t="str">
        <f>IF($E$3=J3,$B$36,IF($E$3&gt;J3,ActualResults!J35,""))</f>
        <v/>
      </c>
      <c r="K35" s="98" t="str">
        <f>IF($E$3=K3,$B$36,"")</f>
        <v/>
      </c>
      <c r="L35" s="54">
        <f>SUM(H35:K35)</f>
        <v>0</v>
      </c>
      <c r="M35" s="13"/>
    </row>
    <row r="36" spans="1:13" x14ac:dyDescent="0.3">
      <c r="A36" s="29" t="str">
        <f>IF(Instructions!$B$1="CZ","Investiční úvěry","Investment credits")</f>
        <v>Investiční úvěry</v>
      </c>
      <c r="B36" s="38">
        <f>Decision!B50</f>
        <v>0</v>
      </c>
      <c r="C36" s="13"/>
      <c r="D36" s="13"/>
      <c r="E36" s="13"/>
      <c r="F36" s="13"/>
      <c r="G36" s="118" t="str">
        <f>IF(Instructions!$B$1="CZ","Splátky","Repayments")</f>
        <v>Splátky</v>
      </c>
      <c r="H36" s="76">
        <f>IF($E$3&gt;$H$3,ActualResults!H36,B44)</f>
        <v>0</v>
      </c>
      <c r="I36" s="83" t="str">
        <f>IF($E$3=I3,$B$44,IF($E$3&gt;I3,ActualResults!I36,""))</f>
        <v/>
      </c>
      <c r="J36" s="83" t="str">
        <f>IF($E$3=J3,$B$44,IF($E$3&gt;J3,ActualResults!J36,""))</f>
        <v/>
      </c>
      <c r="K36" s="84" t="str">
        <f>IF($E$3=K3,$B$44,"")</f>
        <v/>
      </c>
      <c r="L36" s="54">
        <f>SUM(H36:K36)</f>
        <v>0</v>
      </c>
      <c r="M36" s="13"/>
    </row>
    <row r="37" spans="1:13" x14ac:dyDescent="0.3">
      <c r="A37" s="29" t="str">
        <f>IF(Instructions!$B$1="CZ","Překlenovací úvěr","Extended credit")</f>
        <v>Překlenovací úvěr</v>
      </c>
      <c r="B37" s="309">
        <f>IF((B34+B35+B36+B38-SUM(B40:B51))&lt;0,CEILING(-(B34+B35+B36+B38-SUM(B40:B51)),10000),0)</f>
        <v>800000</v>
      </c>
      <c r="C37" s="13"/>
      <c r="D37" s="13"/>
      <c r="E37" s="13"/>
      <c r="F37" s="13"/>
      <c r="G37" s="118" t="str">
        <f>IF(Instructions!$B$1="CZ","Překlenovací úvěr","Extended credit")</f>
        <v>Překlenovací úvěr</v>
      </c>
      <c r="H37" s="76">
        <f>IF($E$3&gt;$H$3,ActualResults!H37,B37)</f>
        <v>800000</v>
      </c>
      <c r="I37" s="83" t="str">
        <f>IF($E$3=I3,$B$37,IF($E$3&gt;I3,ActualResults!I37,""))</f>
        <v/>
      </c>
      <c r="J37" s="83" t="str">
        <f>IF($E$3=J3,$B$37,IF($E$3&gt;J3,ActualResults!J37,""))</f>
        <v/>
      </c>
      <c r="K37" s="84" t="str">
        <f>IF($E$3=K3,$B$37,"")</f>
        <v/>
      </c>
      <c r="L37" s="85">
        <f>SUM(H37:K37)</f>
        <v>800000</v>
      </c>
      <c r="M37" s="13"/>
    </row>
    <row r="38" spans="1:13" ht="16.2" thickBot="1" x14ac:dyDescent="0.35">
      <c r="A38" s="29" t="str">
        <f>IF(Instructions!$B$1="CZ","Mimořádné příjmy","Extraordinary incomes")</f>
        <v>Mimořádné příjmy</v>
      </c>
      <c r="B38" s="38">
        <f>(Decision!B36*300000)</f>
        <v>0</v>
      </c>
      <c r="C38" s="13"/>
      <c r="D38" s="13"/>
      <c r="E38" s="13"/>
      <c r="F38" s="13"/>
      <c r="G38" s="120" t="str">
        <f>IF(Instructions!$B$1="CZ","Hotovost","Cash")</f>
        <v>Hotovost</v>
      </c>
      <c r="H38" s="77">
        <f>IF($E$3&gt;$H$3,ActualResults!H38,B53)</f>
        <v>1852</v>
      </c>
      <c r="I38" s="95" t="str">
        <f>IF($E$3=I3,$B$53,IF($E$3&gt;I3,ActualResults!I38,""))</f>
        <v/>
      </c>
      <c r="J38" s="95" t="str">
        <f>IF($E$3=J3,$B$53,IF($E$3&gt;J3,ActualResults!J38,""))</f>
        <v/>
      </c>
      <c r="K38" s="96" t="str">
        <f>IF($E$3=K3,$B$53,"")</f>
        <v/>
      </c>
      <c r="L38" s="88"/>
      <c r="M38" s="13"/>
    </row>
    <row r="39" spans="1:13" ht="16.2" thickBot="1" x14ac:dyDescent="0.35">
      <c r="A39" s="33" t="str">
        <f>IF(Instructions!$B$1="CZ","PŘÍJMY CELKEM","TOTAL REVENUES")</f>
        <v>PŘÍJMY CELKEM</v>
      </c>
      <c r="B39" s="310">
        <f>B35+B36+B37+B38</f>
        <v>800000</v>
      </c>
      <c r="C39" s="13"/>
      <c r="D39" s="31"/>
      <c r="E39" s="13"/>
      <c r="F39" s="13"/>
      <c r="G39" s="114" t="str">
        <f>IF(Instructions!$B$1="CZ","Cena akcie","Stockprice")</f>
        <v>Cena akcie</v>
      </c>
      <c r="H39" s="81"/>
      <c r="I39" s="90"/>
      <c r="J39" s="60"/>
      <c r="K39" s="99"/>
      <c r="L39" s="92"/>
      <c r="M39" s="13"/>
    </row>
    <row r="40" spans="1:13" x14ac:dyDescent="0.3">
      <c r="A40" s="29" t="str">
        <f>IF(Instructions!$B$1="CZ","Investice","Investments")</f>
        <v>Investice</v>
      </c>
      <c r="B40" s="38">
        <f>Decision!B35*600000</f>
        <v>0</v>
      </c>
      <c r="C40" s="13"/>
      <c r="D40" s="13"/>
      <c r="E40" s="13"/>
      <c r="F40" s="13"/>
      <c r="G40" s="13"/>
      <c r="H40" s="13"/>
      <c r="I40" s="13"/>
      <c r="J40" s="13"/>
      <c r="K40" s="13"/>
      <c r="L40" s="13"/>
      <c r="M40" s="13"/>
    </row>
    <row r="41" spans="1:13" x14ac:dyDescent="0.3">
      <c r="A41" s="29" t="str">
        <f>IF(Instructions!$B$1="CZ","Marketingové oddělení","Marketing department")</f>
        <v>Marketingové oddělení</v>
      </c>
      <c r="B41" s="38">
        <f>B76</f>
        <v>150000</v>
      </c>
      <c r="C41" s="31"/>
      <c r="D41" s="13"/>
      <c r="E41" s="13"/>
      <c r="F41" s="13"/>
      <c r="G41" s="13"/>
      <c r="H41" s="13"/>
      <c r="I41" s="13"/>
      <c r="J41" s="13"/>
      <c r="K41" s="13"/>
      <c r="L41" s="13"/>
      <c r="M41" s="13"/>
    </row>
    <row r="42" spans="1:13" x14ac:dyDescent="0.3">
      <c r="A42" s="29" t="str">
        <f>IF(Instructions!$B$1="CZ","Průzkumy","Market research")</f>
        <v>Průzkumy</v>
      </c>
      <c r="B42" s="38">
        <f>(1-(Decision!B6+Decision!C6)*0.05+0.05)*(Decision!B6+Decision!C6)*25000+IF(Decision!B2=5,0)+Decision!B12*5000+Decision!B13*25000+(1-(Decision!B9)*0.05+0.05)*(Decision!B9)*10000</f>
        <v>0</v>
      </c>
      <c r="C42" s="31"/>
      <c r="D42" s="13"/>
      <c r="E42" s="13"/>
      <c r="F42" s="13"/>
    </row>
    <row r="43" spans="1:13" x14ac:dyDescent="0.3">
      <c r="A43" s="29" t="str">
        <f>IF(Instructions!$B$1="CZ","Úroky","Interests")</f>
        <v>Úroky</v>
      </c>
      <c r="B43" s="38">
        <f>E57*0.03+ActualResults!B38*0.1</f>
        <v>0</v>
      </c>
      <c r="C43" s="31"/>
      <c r="D43" s="13"/>
      <c r="E43" s="13"/>
      <c r="F43" s="13"/>
    </row>
    <row r="44" spans="1:13" x14ac:dyDescent="0.3">
      <c r="A44" s="29" t="str">
        <f>IF(Instructions!$B$1="CZ","Splátky","Repayments")</f>
        <v>Splátky</v>
      </c>
      <c r="B44" s="38">
        <f>ActualResults!E59+Decision!B51</f>
        <v>0</v>
      </c>
      <c r="C44" s="31"/>
      <c r="D44" s="13"/>
      <c r="E44" s="13"/>
      <c r="F44" s="13"/>
    </row>
    <row r="45" spans="1:13" x14ac:dyDescent="0.3">
      <c r="A45" s="29" t="str">
        <f>IF(Instructions!$B$1="CZ","Materiál","Material")</f>
        <v>Materiál</v>
      </c>
      <c r="B45" s="38">
        <f>IF(B20&gt;=50000,B20*B21*0.98,B20*B21)+IF(C20&gt;=50000,C20*C21*0.98,C20*C21)</f>
        <v>0</v>
      </c>
      <c r="C45" s="31"/>
      <c r="D45" s="13"/>
      <c r="E45" s="13"/>
      <c r="F45" s="13"/>
    </row>
    <row r="46" spans="1:13" x14ac:dyDescent="0.3">
      <c r="A46" s="29" t="str">
        <f>IF(Instructions!$B$1="CZ","Výroba","Production")</f>
        <v>Výroba</v>
      </c>
      <c r="B46" s="38">
        <f>150000*ActualResults!B58/600000+E26</f>
        <v>1890000</v>
      </c>
      <c r="C46" s="31"/>
      <c r="D46" s="13"/>
      <c r="E46" s="13"/>
      <c r="F46" s="13"/>
    </row>
    <row r="47" spans="1:13" x14ac:dyDescent="0.3">
      <c r="A47" s="29" t="str">
        <f>IF(Instructions!$B$1="CZ","Neuspokojená poptávka","Out-of-stock costs")</f>
        <v>Neuspokojená poptávka</v>
      </c>
      <c r="B47" s="38">
        <f>IF(AND(B7&gt;B6,B5&lt;1300),(B7-B6)*25,0)+IF(AND(C7&gt;C6,C5&lt;2800),(C7-C6)*50,0)</f>
        <v>98500</v>
      </c>
      <c r="C47" s="31"/>
      <c r="D47" s="13"/>
      <c r="E47" s="13"/>
      <c r="F47" s="13"/>
    </row>
    <row r="48" spans="1:13" x14ac:dyDescent="0.3">
      <c r="A48" s="29" t="str">
        <f>IF(Instructions!$B$1="CZ","Skladování materiálu","Storage costs - raw materials")</f>
        <v>Skladování materiálu</v>
      </c>
      <c r="B48" s="38">
        <f>(C23+B23)*0.5</f>
        <v>650</v>
      </c>
      <c r="C48" s="31"/>
      <c r="D48" s="13"/>
      <c r="E48" s="13"/>
      <c r="F48" s="13"/>
    </row>
    <row r="49" spans="1:6" x14ac:dyDescent="0.3">
      <c r="A49" s="29" t="str">
        <f>IF(Instructions!$B$1="CZ","Skladování výrobků","Storage costs - end products")</f>
        <v>Skladování výrobků</v>
      </c>
      <c r="B49" s="38">
        <f>(B15+C15)*10</f>
        <v>30810</v>
      </c>
      <c r="C49" s="31"/>
      <c r="D49" s="13"/>
      <c r="E49" s="13"/>
      <c r="F49" s="13"/>
    </row>
    <row r="50" spans="1:6" x14ac:dyDescent="0.3">
      <c r="A50" s="29" t="str">
        <f>IF(Instructions!$B$1="CZ","Daně","Taxes")</f>
        <v>Daně</v>
      </c>
      <c r="B50" s="38">
        <f>ActualResults!B88</f>
        <v>482904</v>
      </c>
      <c r="C50" s="13"/>
      <c r="D50" s="13"/>
      <c r="E50" s="13"/>
      <c r="F50" s="13"/>
    </row>
    <row r="51" spans="1:6" ht="16.2" thickBot="1" x14ac:dyDescent="0.35">
      <c r="A51" s="33" t="str">
        <f>IF(Instructions!$B$1="CZ","Mimořádné výdaje","Extraordinary expenses")</f>
        <v>Mimořádné výdaje</v>
      </c>
      <c r="B51" s="310">
        <f>IF(AND(B30&lt;0,Decision!B46&gt;0),-5000*Decision!B46,0)</f>
        <v>0</v>
      </c>
      <c r="C51" s="13"/>
      <c r="D51" s="13"/>
      <c r="E51" s="13"/>
      <c r="F51" s="13"/>
    </row>
    <row r="52" spans="1:6" x14ac:dyDescent="0.3">
      <c r="A52" s="29" t="str">
        <f>IF(Instructions!$B$1="CZ","VÝDAJE CELKEM","TOTAL EXPENSES")</f>
        <v>VÝDAJE CELKEM</v>
      </c>
      <c r="B52" s="311">
        <f>B40+B41+B42+B43+B44+B45+B46+B47+B48+B49+B50+B51</f>
        <v>2652864</v>
      </c>
      <c r="C52" s="13"/>
      <c r="D52" s="13"/>
      <c r="E52" s="31"/>
      <c r="F52" s="13"/>
    </row>
    <row r="53" spans="1:6" ht="16.2" thickBot="1" x14ac:dyDescent="0.35">
      <c r="A53" s="33" t="str">
        <f>IF(Instructions!$B$1="CZ","KONEČNÝ STAV HOTOVOSTI","CASH BALANCE")</f>
        <v>KONEČNÝ STAV HOTOVOSTI</v>
      </c>
      <c r="B53" s="312">
        <f>B34+B39-B52</f>
        <v>1852</v>
      </c>
      <c r="C53" s="13"/>
      <c r="D53" s="13"/>
      <c r="E53" s="31"/>
      <c r="F53" s="13"/>
    </row>
    <row r="54" spans="1:6" ht="16.2" thickBot="1" x14ac:dyDescent="0.35">
      <c r="A54" s="13"/>
      <c r="B54" s="13"/>
      <c r="C54" s="13"/>
      <c r="D54" s="13"/>
      <c r="E54" s="31"/>
      <c r="F54" s="13"/>
    </row>
    <row r="55" spans="1:6" ht="17.399999999999999" x14ac:dyDescent="0.3">
      <c r="A55" s="347" t="str">
        <f>IF(Instructions!$B$1="CZ","ROZVAHA","BALANCE SHEET")</f>
        <v>ROZVAHA</v>
      </c>
      <c r="B55" s="348"/>
      <c r="C55" s="348"/>
      <c r="D55" s="348"/>
      <c r="E55" s="349"/>
      <c r="F55" s="13"/>
    </row>
    <row r="56" spans="1:6" x14ac:dyDescent="0.3">
      <c r="A56" s="29" t="str">
        <f>IF(Instructions!$B$1="CZ","Budovy","Buildings")</f>
        <v>Budovy</v>
      </c>
      <c r="B56" s="313">
        <f>ActualResults!B57</f>
        <v>3000000</v>
      </c>
      <c r="C56" s="13"/>
      <c r="D56" s="13" t="str">
        <f>IF(Instructions!$B$1="CZ","Vlastní kapitál","Equity")</f>
        <v>Vlastní kapitál</v>
      </c>
      <c r="E56" s="315">
        <f>ActualResults!E57+B87+B70-B46+B58-ActualResults!B59+IF(B57&lt;ActualResults!B58,B57-ActualResults!B58,0)</f>
        <v>6927152</v>
      </c>
      <c r="F56" s="13"/>
    </row>
    <row r="57" spans="1:6" x14ac:dyDescent="0.3">
      <c r="A57" s="29" t="str">
        <f>IF(Instructions!$B$1="CZ","Stroje","Machines")</f>
        <v>Stroje</v>
      </c>
      <c r="B57" s="313">
        <f>ActualResults!B58+Decision!B35*600000</f>
        <v>1800000</v>
      </c>
      <c r="C57" s="13"/>
      <c r="D57" s="13" t="str">
        <f>IF(Instructions!$B$1="CZ","Úvěry","Credits")</f>
        <v>Úvěry</v>
      </c>
      <c r="E57" s="38">
        <f>B36+ActualResults!E58-Decision!B51</f>
        <v>0</v>
      </c>
      <c r="F57" s="13"/>
    </row>
    <row r="58" spans="1:6" x14ac:dyDescent="0.3">
      <c r="A58" s="29" t="str">
        <f>IF(Instructions!$B$1="CZ","Suroviny","Raw materials")</f>
        <v>Suroviny</v>
      </c>
      <c r="B58" s="313">
        <f>Data!F10*C23+B23*Data!F9</f>
        <v>24900</v>
      </c>
      <c r="C58" s="13"/>
      <c r="D58" s="13" t="str">
        <f>IF(Instructions!$B$1="CZ","Překlenovací úvěr","Extended credit")</f>
        <v>Překlenovací úvěr</v>
      </c>
      <c r="E58" s="38">
        <f>B37</f>
        <v>800000</v>
      </c>
      <c r="F58" s="13"/>
    </row>
    <row r="59" spans="1:6" x14ac:dyDescent="0.3">
      <c r="A59" s="29" t="str">
        <f>IF(Instructions!$B$1="CZ","Hotové výrobky","End products")</f>
        <v>Hotové výrobky</v>
      </c>
      <c r="B59" s="313">
        <f>B15*Data!B9+Data!B10*C15</f>
        <v>4790400</v>
      </c>
      <c r="C59" s="13"/>
      <c r="D59" s="13" t="str">
        <f>IF(Instructions!$B$1="CZ","Daně","Taxes")</f>
        <v>Daně</v>
      </c>
      <c r="E59" s="38">
        <f>B84</f>
        <v>0</v>
      </c>
      <c r="F59" s="13"/>
    </row>
    <row r="60" spans="1:6" x14ac:dyDescent="0.3">
      <c r="A60" s="29" t="str">
        <f>IF(Instructions!$B$1="CZ","Hotovost","Cash")</f>
        <v>Hotovost</v>
      </c>
      <c r="B60" s="313">
        <f>B53</f>
        <v>1852</v>
      </c>
      <c r="C60" s="13"/>
      <c r="D60" s="13"/>
      <c r="E60" s="316"/>
      <c r="F60" s="13"/>
    </row>
    <row r="61" spans="1:6" ht="16.2" thickBot="1" x14ac:dyDescent="0.35">
      <c r="A61" s="33" t="str">
        <f>IF(Instructions!$B$1="CZ","CELKEM","TOTAL")</f>
        <v>CELKEM</v>
      </c>
      <c r="B61" s="314">
        <f>B56+B57+B58+B59+B60</f>
        <v>9617152</v>
      </c>
      <c r="C61" s="35"/>
      <c r="D61" s="35" t="str">
        <f>IF(Instructions!$B$1="CZ","CELKEM","TOTAL")</f>
        <v>CELKEM</v>
      </c>
      <c r="E61" s="310">
        <f>E56+E57+E58+E59</f>
        <v>7727152</v>
      </c>
      <c r="F61" s="13"/>
    </row>
    <row r="62" spans="1:6" x14ac:dyDescent="0.3">
      <c r="A62" s="13"/>
      <c r="B62" s="13"/>
      <c r="C62" s="13"/>
      <c r="D62" s="13"/>
      <c r="E62" s="31"/>
      <c r="F62" s="13"/>
    </row>
    <row r="63" spans="1:6" x14ac:dyDescent="0.3">
      <c r="A63" s="13"/>
      <c r="B63" s="50"/>
      <c r="C63" s="13"/>
      <c r="D63" s="31"/>
      <c r="E63" s="13"/>
      <c r="F63" s="13"/>
    </row>
    <row r="64" spans="1:6" x14ac:dyDescent="0.3">
      <c r="A64" s="13"/>
      <c r="B64" s="13"/>
      <c r="C64" s="13"/>
      <c r="D64" s="13"/>
      <c r="E64" s="13"/>
      <c r="F64" s="13"/>
    </row>
    <row r="65" spans="1:6" x14ac:dyDescent="0.3">
      <c r="A65" s="13"/>
      <c r="B65" s="13"/>
      <c r="C65" s="13"/>
      <c r="D65" s="13"/>
      <c r="E65" s="13"/>
      <c r="F65" s="13"/>
    </row>
    <row r="66" spans="1:6" ht="16.2" thickBot="1" x14ac:dyDescent="0.35">
      <c r="A66" s="13"/>
      <c r="B66" s="13"/>
      <c r="C66" s="13"/>
      <c r="D66" s="13"/>
      <c r="E66" s="13"/>
      <c r="F66" s="13"/>
    </row>
    <row r="67" spans="1:6" ht="18" thickBot="1" x14ac:dyDescent="0.35">
      <c r="A67" s="350" t="str">
        <f>IF(Instructions!$B$1="CZ","VÝKAZ ZISKŮ A ZTRÁT","PROFIT AND LOSS ACCOUNT")</f>
        <v>VÝKAZ ZISKŮ A ZTRÁT</v>
      </c>
      <c r="B67" s="351"/>
      <c r="C67" s="13"/>
      <c r="D67" s="13"/>
      <c r="E67" s="13"/>
      <c r="F67" s="13"/>
    </row>
    <row r="68" spans="1:6" x14ac:dyDescent="0.3">
      <c r="A68" s="23" t="str">
        <f>IF(Instructions!$B$1="CZ","Tržby","Sales revenues")</f>
        <v>Tržby</v>
      </c>
      <c r="B68" s="54">
        <f>B9+C9</f>
        <v>0</v>
      </c>
      <c r="C68" s="13"/>
      <c r="D68" s="13"/>
      <c r="F68" s="13"/>
    </row>
    <row r="69" spans="1:6" x14ac:dyDescent="0.3">
      <c r="A69" s="29" t="str">
        <f>IF(Instructions!$B$1="CZ","Náklady prodaných výrobků","Costs of goods sold")</f>
        <v>Náklady prodaných výrobků</v>
      </c>
      <c r="B69" s="30">
        <f>B70+B71+B72</f>
        <v>1890000</v>
      </c>
      <c r="C69" s="13"/>
      <c r="D69" s="13"/>
      <c r="E69" s="13"/>
      <c r="F69" s="13"/>
    </row>
    <row r="70" spans="1:6" x14ac:dyDescent="0.3">
      <c r="A70" s="29" t="str">
        <f>IF(Instructions!$B$1="CZ","   Suroviny prodaných výrobků","   Raw materials in sold products")</f>
        <v xml:space="preserve">   Suroviny prodaných výrobků</v>
      </c>
      <c r="B70" s="30">
        <f>B45-(B23-B19)*Data!F9-Data!F10*(C23-C19)</f>
        <v>0</v>
      </c>
      <c r="C70" s="13"/>
      <c r="D70" s="31"/>
      <c r="E70" s="13"/>
      <c r="F70" s="13"/>
    </row>
    <row r="71" spans="1:6" x14ac:dyDescent="0.3">
      <c r="A71" s="29" t="str">
        <f>IF(Instructions!$B$1="CZ","   Výrobní náklady","   Production costs")</f>
        <v xml:space="preserve">   Výrobní náklady</v>
      </c>
      <c r="B71" s="30">
        <f>B46</f>
        <v>1890000</v>
      </c>
      <c r="C71" s="13"/>
      <c r="D71" s="31"/>
      <c r="E71" s="13"/>
      <c r="F71" s="13"/>
    </row>
    <row r="72" spans="1:6" x14ac:dyDescent="0.3">
      <c r="A72" s="23" t="str">
        <f>IF(Instructions!$B$1="CZ","   Změna stavu zásob výrobků","   Change of stock - end products")</f>
        <v xml:space="preserve">   Změna stavu zásob výrobků</v>
      </c>
      <c r="B72" s="54">
        <f>(B13-B15)*Data!B9+Data!B10*(C13-C15)</f>
        <v>0</v>
      </c>
      <c r="C72" s="13"/>
      <c r="D72" s="13"/>
      <c r="E72" s="13"/>
      <c r="F72" s="13"/>
    </row>
    <row r="73" spans="1:6" ht="16.2" thickBot="1" x14ac:dyDescent="0.35">
      <c r="A73" s="33" t="str">
        <f>IF(Instructions!$B$1="CZ","Hrubý zisk","Gross result")</f>
        <v>Hrubý zisk</v>
      </c>
      <c r="B73" s="40">
        <f>B68-B69</f>
        <v>-1890000</v>
      </c>
      <c r="C73" s="31"/>
      <c r="D73" s="13"/>
      <c r="E73" s="13"/>
      <c r="F73" s="13"/>
    </row>
    <row r="74" spans="1:6" x14ac:dyDescent="0.3">
      <c r="A74" s="29" t="str">
        <f>IF(Instructions!$B$1="CZ","Nepřímé náklady","Indirect costs")</f>
        <v>Nepřímé náklady</v>
      </c>
      <c r="B74" s="30">
        <f>B75+B76+B77+B78+B79</f>
        <v>279960</v>
      </c>
      <c r="C74" s="13"/>
      <c r="D74" s="13"/>
      <c r="E74" s="13"/>
      <c r="F74" s="13"/>
    </row>
    <row r="75" spans="1:6" x14ac:dyDescent="0.3">
      <c r="A75" s="29" t="str">
        <f>IF(Instructions!$B$1="CZ","   Průzkum trhu","   Market survey")</f>
        <v xml:space="preserve">   Průzkum trhu</v>
      </c>
      <c r="B75" s="30">
        <f>B42</f>
        <v>0</v>
      </c>
      <c r="C75" s="13"/>
      <c r="D75" s="13"/>
      <c r="E75" s="13"/>
      <c r="F75" s="13"/>
    </row>
    <row r="76" spans="1:6" x14ac:dyDescent="0.3">
      <c r="A76" s="29" t="str">
        <f>IF(Instructions!$B$1="CZ","   Marketingové oddělení","   Sales staff")</f>
        <v xml:space="preserve">   Marketingové oddělení</v>
      </c>
      <c r="B76" s="30">
        <v>150000</v>
      </c>
      <c r="C76" s="13"/>
      <c r="D76" s="13"/>
      <c r="E76" s="13"/>
      <c r="F76" s="13"/>
    </row>
    <row r="77" spans="1:6" x14ac:dyDescent="0.3">
      <c r="A77" s="29" t="str">
        <f>IF(Instructions!$B$1="CZ","   Náklady neuspokojené poptávky","   Out-of-stock costs")</f>
        <v xml:space="preserve">   Náklady neuspokojené poptávky</v>
      </c>
      <c r="B77" s="30">
        <f>B47</f>
        <v>98500</v>
      </c>
      <c r="C77" s="13"/>
      <c r="D77" s="13"/>
      <c r="E77" s="13"/>
      <c r="F77" s="13"/>
    </row>
    <row r="78" spans="1:6" x14ac:dyDescent="0.3">
      <c r="A78" s="29" t="str">
        <f>IF(Instructions!$B$1="CZ","   Skladovací náklady - suroviny","   Storage costs - raw materials")</f>
        <v xml:space="preserve">   Skladovací náklady - suroviny</v>
      </c>
      <c r="B78" s="30">
        <f>B48</f>
        <v>650</v>
      </c>
      <c r="C78" s="13"/>
      <c r="D78" s="13"/>
      <c r="E78" s="13"/>
      <c r="F78" s="13"/>
    </row>
    <row r="79" spans="1:6" x14ac:dyDescent="0.3">
      <c r="A79" s="23" t="str">
        <f>IF(Instructions!$B$1="CZ","   Skladovací náklady - výrobky","   Storage costs - end products")</f>
        <v xml:space="preserve">   Skladovací náklady - výrobky</v>
      </c>
      <c r="B79" s="54">
        <f>B49</f>
        <v>30810</v>
      </c>
      <c r="C79" s="13"/>
      <c r="D79" s="13"/>
      <c r="E79" s="13"/>
      <c r="F79" s="13"/>
    </row>
    <row r="80" spans="1:6" ht="16.2" thickBot="1" x14ac:dyDescent="0.35">
      <c r="A80" s="29" t="str">
        <f>IF(Instructions!$B$1="CZ","Provozní zisk","Operating result")</f>
        <v>Provozní zisk</v>
      </c>
      <c r="B80" s="30">
        <f>B73-B74</f>
        <v>-2169960</v>
      </c>
      <c r="C80" s="13"/>
      <c r="D80" s="13"/>
      <c r="E80" s="13"/>
      <c r="F80" s="13"/>
    </row>
    <row r="81" spans="1:6" x14ac:dyDescent="0.3">
      <c r="A81" s="39" t="str">
        <f>IF(Instructions!$B$1="CZ","Zaplacené úroky","Capital costs")</f>
        <v>Zaplacené úroky</v>
      </c>
      <c r="B81" s="41">
        <f>B43</f>
        <v>0</v>
      </c>
      <c r="C81" s="13"/>
      <c r="D81" s="13"/>
      <c r="E81" s="13"/>
      <c r="F81" s="13"/>
    </row>
    <row r="82" spans="1:6" x14ac:dyDescent="0.3">
      <c r="A82" s="29" t="str">
        <f>IF(Instructions!$B$1="CZ","Mimořádné výdaje","Extraordinary expenses")</f>
        <v>Mimořádné výdaje</v>
      </c>
      <c r="B82" s="30">
        <f>B51</f>
        <v>0</v>
      </c>
      <c r="C82" s="13"/>
      <c r="D82" s="13"/>
      <c r="E82" s="13"/>
      <c r="F82" s="13"/>
    </row>
    <row r="83" spans="1:6" x14ac:dyDescent="0.3">
      <c r="A83" s="29" t="str">
        <f>IF(Instructions!$B$1="CZ","Zisk z provozní činnosti před zdaněním","Normal operating result before tax")</f>
        <v>Zisk z provozní činnosti před zdaněním</v>
      </c>
      <c r="B83" s="30">
        <f>B80-B81</f>
        <v>-2169960</v>
      </c>
      <c r="C83" s="59"/>
      <c r="D83" s="13"/>
      <c r="E83" s="13"/>
      <c r="F83" s="13"/>
    </row>
    <row r="84" spans="1:6" x14ac:dyDescent="0.3">
      <c r="A84" s="29" t="str">
        <f>IF(Instructions!$B$1="CZ","Daně","Taxes")</f>
        <v>Daně</v>
      </c>
      <c r="B84" s="30">
        <f>IF(MOD(E3,4)&lt;&gt;0,0,IF(SUM(H12:J12)+B83&lt;0,0,0.4*(H12+I12+J12+B83)))</f>
        <v>0</v>
      </c>
      <c r="C84" s="59"/>
      <c r="D84" s="13"/>
      <c r="E84" s="13"/>
      <c r="F84" s="13"/>
    </row>
    <row r="85" spans="1:6" x14ac:dyDescent="0.3">
      <c r="A85" s="23" t="str">
        <f>IF(Instructions!$B$1="CZ","Zisk z provozní činnosti po zdanění","Normal operating result after tax")</f>
        <v>Zisk z provozní činnosti po zdanění</v>
      </c>
      <c r="B85" s="54">
        <f>B83-B84</f>
        <v>-2169960</v>
      </c>
      <c r="C85" s="13"/>
      <c r="D85" s="13"/>
      <c r="E85" s="13"/>
      <c r="F85" s="13"/>
    </row>
    <row r="86" spans="1:6" x14ac:dyDescent="0.3">
      <c r="A86" s="29" t="str">
        <f>IF(Instructions!$B$1="CZ","Mimořádné příjmy","Extraordinary revenues")</f>
        <v>Mimořádné příjmy</v>
      </c>
      <c r="B86" s="30">
        <f>B38</f>
        <v>0</v>
      </c>
      <c r="C86" s="13"/>
      <c r="D86" s="13"/>
      <c r="E86" s="13"/>
      <c r="F86" s="13"/>
    </row>
    <row r="87" spans="1:6" ht="16.2" thickBot="1" x14ac:dyDescent="0.35">
      <c r="A87" s="33" t="str">
        <f>IF(Instructions!$B$1="CZ","Celkový čistý zisk","Net result")</f>
        <v>Celkový čistý zisk</v>
      </c>
      <c r="B87" s="40">
        <f>B85+B86</f>
        <v>-2169960</v>
      </c>
      <c r="C87" s="13"/>
      <c r="D87" s="13"/>
      <c r="E87" s="13"/>
      <c r="F87" s="13"/>
    </row>
    <row r="88" spans="1:6" x14ac:dyDescent="0.3">
      <c r="A88" s="13"/>
      <c r="B88" s="13"/>
      <c r="C88" s="13"/>
      <c r="D88" s="13"/>
      <c r="E88" s="13"/>
      <c r="F88" s="13"/>
    </row>
    <row r="89" spans="1:6" x14ac:dyDescent="0.3">
      <c r="C89" s="13"/>
      <c r="D89" s="13"/>
      <c r="E89" s="13"/>
    </row>
  </sheetData>
  <mergeCells count="12">
    <mergeCell ref="A1:E1"/>
    <mergeCell ref="G1:L1"/>
    <mergeCell ref="A25:E25"/>
    <mergeCell ref="A55:E55"/>
    <mergeCell ref="A67:B67"/>
    <mergeCell ref="A33:B33"/>
    <mergeCell ref="A3:C3"/>
    <mergeCell ref="A11:C11"/>
    <mergeCell ref="A17:C17"/>
    <mergeCell ref="D6:E6"/>
    <mergeCell ref="D11:E11"/>
    <mergeCell ref="D7:E7"/>
  </mergeCells>
  <phoneticPr fontId="0" type="noConversion"/>
  <conditionalFormatting sqref="B23:C23">
    <cfRule type="cellIs" dxfId="0" priority="1" stopIfTrue="1" operator="lessThan">
      <formula>0</formula>
    </cfRule>
  </conditionalFormatting>
  <pageMargins left="0.78740157499999996" right="0.78740157499999996" top="0.984251969" bottom="0.984251969" header="0.4921259845" footer="0.4921259845"/>
  <pageSetup paperSize="9" scale="85" orientation="portrait" horizontalDpi="300" verticalDpi="300" r:id="rId1"/>
  <headerFooter alignWithMargins="0">
    <oddHeader>&amp;R5. ČTVRTLETÍ</oddHeader>
    <oddFooter>Stránka &amp;P</oddFooter>
  </headerFooter>
  <rowBreaks count="1" manualBreakCount="1">
    <brk id="55" max="4" man="1"/>
  </rowBreaks>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J42"/>
  <sheetViews>
    <sheetView topLeftCell="A19" workbookViewId="0">
      <selection activeCell="G25" sqref="G25"/>
    </sheetView>
  </sheetViews>
  <sheetFormatPr defaultColWidth="8.8984375" defaultRowHeight="15.6" x14ac:dyDescent="0.3"/>
  <cols>
    <col min="1" max="1" width="18.8984375" style="13" customWidth="1"/>
    <col min="2" max="2" width="12.8984375" style="13" customWidth="1"/>
    <col min="3" max="4" width="10.09765625" style="13" customWidth="1"/>
    <col min="5" max="5" width="12.8984375" style="13" customWidth="1"/>
    <col min="6" max="6" width="12.69921875" style="13" bestFit="1" customWidth="1"/>
    <col min="7" max="9" width="10.09765625" style="13" customWidth="1"/>
    <col min="10" max="16384" width="8.8984375" style="13"/>
  </cols>
  <sheetData>
    <row r="1" spans="1:7" x14ac:dyDescent="0.3">
      <c r="A1" s="372" t="str">
        <f>IF(Instructions!B1="CZ","Prodejní ceny (Kč za kus)","Sales prices [CZK per piece]")</f>
        <v>Prodejní ceny (Kč za kus)</v>
      </c>
      <c r="B1" s="373"/>
      <c r="C1" s="374"/>
      <c r="E1" s="375" t="str">
        <f>IF(Instructions!B1="CZ","Skladovací náklady","Storage costs")</f>
        <v>Skladovací náklady</v>
      </c>
      <c r="F1" s="377"/>
    </row>
    <row r="2" spans="1:7" s="210" customFormat="1" ht="16.2" thickBot="1" x14ac:dyDescent="0.35">
      <c r="A2" s="251" t="str">
        <f>IF(Instructions!B1="CZ","Produkt/Cena","Product/Price")</f>
        <v>Produkt/Cena</v>
      </c>
      <c r="B2" s="252" t="str">
        <f>IF(Instructions!B1="CZ","Minimální","Minimal")</f>
        <v>Minimální</v>
      </c>
      <c r="C2" s="253" t="str">
        <f>IF(Instructions!B1="CZ","Maximální","Maximal")</f>
        <v>Maximální</v>
      </c>
      <c r="E2" s="262" t="str">
        <f>IF(Instructions!B1="CZ","Položka","Item")</f>
        <v>Položka</v>
      </c>
      <c r="F2" s="263" t="str">
        <f>IF(Instructions!B1="CZ","Kč za ks/kg","CZK per pc/kg")</f>
        <v>Kč za ks/kg</v>
      </c>
    </row>
    <row r="3" spans="1:7" x14ac:dyDescent="0.3">
      <c r="A3" s="254" t="str">
        <f>IF(Instructions!B1="CZ","Stoly","Desks")</f>
        <v>Stoly</v>
      </c>
      <c r="B3" s="255">
        <v>1100</v>
      </c>
      <c r="C3" s="256">
        <v>1300</v>
      </c>
      <c r="E3" s="264" t="str">
        <f>IF(Instructions!B1="CZ","Produkty","Products")</f>
        <v>Produkty</v>
      </c>
      <c r="F3" s="265">
        <v>10</v>
      </c>
    </row>
    <row r="4" spans="1:7" ht="16.2" thickBot="1" x14ac:dyDescent="0.35">
      <c r="A4" s="24" t="str">
        <f>IF(Instructions!B1="CZ","Skříňky","Cabinets")</f>
        <v>Skříňky</v>
      </c>
      <c r="B4" s="257">
        <v>2000</v>
      </c>
      <c r="C4" s="258">
        <v>2800</v>
      </c>
      <c r="E4" s="24" t="str">
        <f>IF(Instructions!B1="CZ","Suroviny","Raw materials")</f>
        <v>Suroviny</v>
      </c>
      <c r="F4" s="258">
        <v>0.5</v>
      </c>
    </row>
    <row r="6" spans="1:7" ht="16.2" thickBot="1" x14ac:dyDescent="0.35"/>
    <row r="7" spans="1:7" ht="16.2" thickBot="1" x14ac:dyDescent="0.35">
      <c r="A7" s="385" t="str">
        <f>IF(Instructions!B1="CZ","Fixní ceny","Fixed prices")</f>
        <v>Fixní ceny</v>
      </c>
      <c r="B7" s="386"/>
      <c r="C7" s="259"/>
      <c r="E7" s="375" t="str">
        <f>IF(Instructions!B1="CZ","Fixní ceny","Fixed prices")</f>
        <v>Fixní ceny</v>
      </c>
      <c r="F7" s="377"/>
    </row>
    <row r="8" spans="1:7" ht="16.2" thickBot="1" x14ac:dyDescent="0.35">
      <c r="A8" s="260" t="str">
        <f>IF(Instructions!B1="CZ","Produkt","Product")</f>
        <v>Produkt</v>
      </c>
      <c r="B8" s="261" t="str">
        <f>IF(Instructions!B1="CZ","Kč za ks","CZK per piece")</f>
        <v>Kč za ks</v>
      </c>
      <c r="C8" s="210"/>
      <c r="E8" s="262" t="str">
        <f>IF(Instructions!B1="CZ","Surovina","Raw material")</f>
        <v>Surovina</v>
      </c>
      <c r="F8" s="263" t="str">
        <f>IF(Instructions!B1="CZ","Kč za kg","CZK per kg")</f>
        <v>Kč za kg</v>
      </c>
    </row>
    <row r="9" spans="1:7" x14ac:dyDescent="0.3">
      <c r="A9" s="254" t="str">
        <f>IF(Instructions!B1="CZ","Stoly","Desks")</f>
        <v>Stoly</v>
      </c>
      <c r="B9" s="256">
        <f>(C3+B3)/2</f>
        <v>1200</v>
      </c>
      <c r="E9" s="264" t="str">
        <f>IF(Instructions!B1="CZ","Dřevo","Wood")</f>
        <v>Dřevo</v>
      </c>
      <c r="F9" s="265">
        <v>24</v>
      </c>
    </row>
    <row r="10" spans="1:7" ht="16.2" thickBot="1" x14ac:dyDescent="0.35">
      <c r="A10" s="24" t="str">
        <f>IF(Instructions!B1="CZ","Skříňky","Cabinets")</f>
        <v>Skříňky</v>
      </c>
      <c r="B10" s="258">
        <f>(C4+B4)/2</f>
        <v>2400</v>
      </c>
      <c r="E10" s="24" t="str">
        <f>IF(Instructions!B1="CZ","Kov","Metal")</f>
        <v>Kov</v>
      </c>
      <c r="F10" s="258">
        <v>15</v>
      </c>
    </row>
    <row r="12" spans="1:7" ht="16.2" thickBot="1" x14ac:dyDescent="0.35"/>
    <row r="13" spans="1:7" x14ac:dyDescent="0.3">
      <c r="A13" s="375" t="str">
        <f>IF(Instructions!B1="CZ","Časové rozvržení aktivit","Time schedule of activities")</f>
        <v>Časové rozvržení aktivit</v>
      </c>
      <c r="B13" s="376"/>
      <c r="C13" s="377"/>
      <c r="E13" s="375" t="str">
        <f>IF(Instructions!B1="CZ","Potřeba vstupních surovin (kg)","Need of raw materials [kg]")</f>
        <v>Potřeba vstupních surovin (kg)</v>
      </c>
      <c r="F13" s="376"/>
      <c r="G13" s="377"/>
    </row>
    <row r="14" spans="1:7" ht="16.2" thickBot="1" x14ac:dyDescent="0.35">
      <c r="A14" s="251" t="str">
        <f>IF(Instructions!B1="CZ","Čtvrtletí","Quarter")</f>
        <v>Čtvrtletí</v>
      </c>
      <c r="B14" s="252" t="s">
        <v>25</v>
      </c>
      <c r="C14" s="253" t="s">
        <v>26</v>
      </c>
      <c r="E14" s="262" t="str">
        <f>IF(Instructions!B1="CZ","Sur./Prod.","Mat./Prod.")</f>
        <v>Sur./Prod.</v>
      </c>
      <c r="F14" s="266" t="str">
        <f>IF(Instructions!B1="CZ","Stoly","Desks")</f>
        <v>Stoly</v>
      </c>
      <c r="G14" s="263" t="str">
        <f>IF(Instructions!B1="CZ","Skříňky","Cabinets")</f>
        <v>Skříňky</v>
      </c>
    </row>
    <row r="15" spans="1:7" ht="15.75" customHeight="1" x14ac:dyDescent="0.3">
      <c r="A15" s="361" t="str">
        <f>IF(Instructions!B1="CZ","Aktivita","Activity")</f>
        <v>Aktivita</v>
      </c>
      <c r="B15" s="381" t="str">
        <f>IF(Instructions!B1="CZ","plánování a výroba","planning and production")</f>
        <v>plánování a výroba</v>
      </c>
      <c r="C15" s="383" t="str">
        <f>IF(Instructions!B1="CZ","prodej","sales")</f>
        <v>prodej</v>
      </c>
      <c r="E15" s="264" t="str">
        <f>IF(Instructions!B1="CZ","Dřevo","Wood")</f>
        <v>Dřevo</v>
      </c>
      <c r="F15" s="267">
        <v>12</v>
      </c>
      <c r="G15" s="265">
        <v>24</v>
      </c>
    </row>
    <row r="16" spans="1:7" ht="16.2" thickBot="1" x14ac:dyDescent="0.35">
      <c r="A16" s="362"/>
      <c r="B16" s="382"/>
      <c r="C16" s="384"/>
      <c r="E16" s="24" t="str">
        <f>IF(Instructions!B1="CZ","Kov","Metal")</f>
        <v>Kov</v>
      </c>
      <c r="F16" s="257">
        <v>8</v>
      </c>
      <c r="G16" s="258">
        <v>16</v>
      </c>
    </row>
    <row r="17" spans="1:10" x14ac:dyDescent="0.3">
      <c r="A17" s="268"/>
      <c r="B17" s="269"/>
      <c r="C17" s="270"/>
      <c r="F17" s="13">
        <f>F15*F9+F16*F10</f>
        <v>408</v>
      </c>
      <c r="G17" s="13">
        <f>G15*F9+G16*F10</f>
        <v>816</v>
      </c>
    </row>
    <row r="18" spans="1:10" ht="16.2" thickBot="1" x14ac:dyDescent="0.35">
      <c r="F18" s="13">
        <f>6*40000</f>
        <v>240000</v>
      </c>
      <c r="G18" s="13">
        <f>12*40000</f>
        <v>480000</v>
      </c>
    </row>
    <row r="19" spans="1:10" ht="16.2" thickBot="1" x14ac:dyDescent="0.35">
      <c r="A19" s="363" t="str">
        <f>IF(Instructions!B1="CZ","Doba výroby, výrobní dávky a  potřeba pracovníků na 1 stroj","Production time, batches, and need of workers")</f>
        <v>Doba výroby, výrobní dávky a  potřeba pracovníků na 1 stroj</v>
      </c>
      <c r="B19" s="364"/>
      <c r="C19" s="364"/>
      <c r="D19" s="364"/>
      <c r="E19" s="365"/>
      <c r="F19" s="13">
        <f>1100*1500-F18-F17</f>
        <v>1409592</v>
      </c>
      <c r="G19" s="13">
        <f>2800*400-G18-G17</f>
        <v>639184</v>
      </c>
      <c r="H19" s="13">
        <f>F19-G19</f>
        <v>770408</v>
      </c>
    </row>
    <row r="20" spans="1:10" x14ac:dyDescent="0.3">
      <c r="A20" s="271"/>
      <c r="B20" s="379" t="str">
        <f>IF(Instructions!B1="CZ","Stoly","Desks")</f>
        <v>Stoly</v>
      </c>
      <c r="C20" s="380"/>
      <c r="D20" s="379" t="str">
        <f>IF(Instructions!B1="CZ","Skříňky","Cabinets")</f>
        <v>Skříňky</v>
      </c>
      <c r="E20" s="380"/>
    </row>
    <row r="21" spans="1:10" s="210" customFormat="1" ht="31.8" thickBot="1" x14ac:dyDescent="0.35">
      <c r="A21" s="272" t="str">
        <f>IF(Instructions!B1="CZ","Strojový čas (hod.)","Machine hours")</f>
        <v>Strojový čas (hod.)</v>
      </c>
      <c r="B21" s="273" t="str">
        <f>IF(Instructions!B1="CZ","Výroba (ks)","Production (pcs)")</f>
        <v>Výroba (ks)</v>
      </c>
      <c r="C21" s="274" t="str">
        <f>IF(Instructions!B1="CZ","Potřeba pracovníků","Need of workers")</f>
        <v>Potřeba pracovníků</v>
      </c>
      <c r="D21" s="273" t="str">
        <f>IF(Instructions!B1="CZ","Výroba (ks)","Production (pcs)")</f>
        <v>Výroba (ks)</v>
      </c>
      <c r="E21" s="274" t="str">
        <f>IF(Instructions!B1="CZ","Potřeba pracovníků","Need of workers")</f>
        <v>Potřeba pracovníků</v>
      </c>
    </row>
    <row r="22" spans="1:10" x14ac:dyDescent="0.3">
      <c r="A22" s="275">
        <v>0</v>
      </c>
      <c r="B22" s="254">
        <v>0</v>
      </c>
      <c r="C22" s="256">
        <v>0</v>
      </c>
      <c r="D22" s="254">
        <v>0</v>
      </c>
      <c r="E22" s="256">
        <v>0</v>
      </c>
    </row>
    <row r="23" spans="1:10" x14ac:dyDescent="0.3">
      <c r="A23" s="276">
        <v>250</v>
      </c>
      <c r="B23" s="20">
        <v>125</v>
      </c>
      <c r="C23" s="277">
        <v>1</v>
      </c>
      <c r="D23" s="20">
        <v>25</v>
      </c>
      <c r="E23" s="277">
        <v>2</v>
      </c>
    </row>
    <row r="24" spans="1:10" x14ac:dyDescent="0.3">
      <c r="A24" s="276">
        <v>500</v>
      </c>
      <c r="B24" s="20">
        <v>400</v>
      </c>
      <c r="C24" s="277">
        <v>2</v>
      </c>
      <c r="D24" s="20">
        <v>75</v>
      </c>
      <c r="E24" s="277">
        <v>4</v>
      </c>
    </row>
    <row r="25" spans="1:10" x14ac:dyDescent="0.3">
      <c r="A25" s="276">
        <v>750</v>
      </c>
      <c r="B25" s="20">
        <v>675</v>
      </c>
      <c r="C25" s="277">
        <v>3</v>
      </c>
      <c r="D25" s="20">
        <v>125</v>
      </c>
      <c r="E25" s="277">
        <v>6</v>
      </c>
    </row>
    <row r="26" spans="1:10" x14ac:dyDescent="0.3">
      <c r="A26" s="276">
        <v>1000</v>
      </c>
      <c r="B26" s="20">
        <v>950</v>
      </c>
      <c r="C26" s="277">
        <v>4</v>
      </c>
      <c r="D26" s="20">
        <v>200</v>
      </c>
      <c r="E26" s="277">
        <v>8</v>
      </c>
    </row>
    <row r="27" spans="1:10" x14ac:dyDescent="0.3">
      <c r="A27" s="276">
        <v>1250</v>
      </c>
      <c r="B27" s="20">
        <v>1225</v>
      </c>
      <c r="C27" s="277">
        <v>5</v>
      </c>
      <c r="D27" s="20">
        <v>275</v>
      </c>
      <c r="E27" s="277">
        <v>10</v>
      </c>
    </row>
    <row r="28" spans="1:10" ht="16.2" thickBot="1" x14ac:dyDescent="0.35">
      <c r="A28" s="278">
        <v>1500</v>
      </c>
      <c r="B28" s="24">
        <v>1500</v>
      </c>
      <c r="C28" s="258">
        <v>6</v>
      </c>
      <c r="D28" s="24">
        <v>400</v>
      </c>
      <c r="E28" s="258">
        <v>12</v>
      </c>
    </row>
    <row r="30" spans="1:10" ht="16.2" thickBot="1" x14ac:dyDescent="0.35"/>
    <row r="31" spans="1:10" ht="16.2" thickBot="1" x14ac:dyDescent="0.35">
      <c r="A31" s="359" t="str">
        <f>IF(Instructions!B1="CZ","Vliv personálního indexu (PI) na absenci","Influence of the Personnel index (PI) on sick-leave")</f>
        <v>Vliv personálního indexu (PI) na absenci</v>
      </c>
      <c r="B31" s="360"/>
      <c r="C31" s="360"/>
      <c r="D31" s="360"/>
      <c r="E31" s="378"/>
      <c r="I31" s="13" t="str">
        <f>IF(Instructions!B1="CZ","Mzda při MI=100","Wage if MI=100")</f>
        <v>Mzda při MI=100</v>
      </c>
    </row>
    <row r="32" spans="1:10" x14ac:dyDescent="0.3">
      <c r="A32" s="254" t="str">
        <f>IF(Instructions!B1="CZ","Personální index","Personnel index")</f>
        <v>Personální index</v>
      </c>
      <c r="B32" s="255" t="s">
        <v>27</v>
      </c>
      <c r="C32" s="255" t="s">
        <v>28</v>
      </c>
      <c r="D32" s="255" t="s">
        <v>29</v>
      </c>
      <c r="E32" s="256" t="s">
        <v>30</v>
      </c>
      <c r="I32" s="31">
        <v>48000</v>
      </c>
      <c r="J32" s="13" t="str">
        <f>IF(Instructions!B1="CZ","Kč na čtvrtletí","CZK per quarter")</f>
        <v>Kč na čtvrtletí</v>
      </c>
    </row>
    <row r="33" spans="1:6" ht="16.2" thickBot="1" x14ac:dyDescent="0.35">
      <c r="A33" s="24" t="str">
        <f>IF(Instructions!B1="CZ","Absence (%)","Sick-leave (%)")</f>
        <v>Absence (%)</v>
      </c>
      <c r="B33" s="257">
        <v>25</v>
      </c>
      <c r="C33" s="257">
        <v>15</v>
      </c>
      <c r="D33" s="257">
        <v>5</v>
      </c>
      <c r="E33" s="258">
        <v>0</v>
      </c>
    </row>
    <row r="35" spans="1:6" ht="16.2" thickBot="1" x14ac:dyDescent="0.35"/>
    <row r="36" spans="1:6" ht="16.2" thickBot="1" x14ac:dyDescent="0.35">
      <c r="A36" s="359" t="str">
        <f>IF(Instructions!B1="CZ","Ceny průzkumů trhu","Prices of market surveys")</f>
        <v>Ceny průzkumů trhu</v>
      </c>
      <c r="B36" s="360"/>
      <c r="C36" s="360"/>
      <c r="D36" s="360"/>
      <c r="E36" s="360"/>
      <c r="F36" s="279" t="str">
        <f>IF(Instructions!B1="CZ","Cena (Kč)","Price [CZK]")</f>
        <v>Cena (Kč)</v>
      </c>
    </row>
    <row r="37" spans="1:6" x14ac:dyDescent="0.3">
      <c r="A37" s="370" t="str">
        <f>IF(Instructions!B1="CZ","Tržní potenciál pro výrobek a čtvrtletí","Market potential for one product and one quarter")</f>
        <v>Tržní potenciál pro výrobek a čtvrtletí</v>
      </c>
      <c r="B37" s="371"/>
      <c r="C37" s="371"/>
      <c r="D37" s="371"/>
      <c r="E37" s="371"/>
      <c r="F37" s="280">
        <v>25000</v>
      </c>
    </row>
    <row r="38" spans="1:6" x14ac:dyDescent="0.3">
      <c r="A38" s="368" t="str">
        <f>IF(Instructions!B1="CZ","Ceny konkurentů v aktuálním kole","Prices of competitors in the current quarter")</f>
        <v>Ceny konkurentů v aktuálním kole</v>
      </c>
      <c r="B38" s="369"/>
      <c r="C38" s="369"/>
      <c r="D38" s="369"/>
      <c r="E38" s="369"/>
      <c r="F38" s="22">
        <v>5000</v>
      </c>
    </row>
    <row r="39" spans="1:6" x14ac:dyDescent="0.3">
      <c r="A39" s="368" t="str">
        <f>IF(Instructions!B1="CZ","Prodej konkurentů v aktuálním kole","Sales of competitors in the recent quarter")</f>
        <v>Prodej konkurentů v aktuálním kole</v>
      </c>
      <c r="B39" s="369"/>
      <c r="C39" s="369"/>
      <c r="D39" s="369"/>
      <c r="E39" s="369"/>
      <c r="F39" s="22">
        <v>20000</v>
      </c>
    </row>
    <row r="40" spans="1:6" ht="16.2" thickBot="1" x14ac:dyDescent="0.35">
      <c r="A40" s="366" t="str">
        <f>IF(Instructions!B1="CZ","Nákupní ceny surovin v dalších čtvrtletích (n+1), (n+2), (n+3) a/nebo (n+4)","Prices of raw materials in quarters (n+1), (n+2), (n+3) and/or (n+4)")</f>
        <v>Nákupní ceny surovin v dalších čtvrtletích (n+1), (n+2), (n+3) a/nebo (n+4)</v>
      </c>
      <c r="B40" s="367"/>
      <c r="C40" s="367"/>
      <c r="D40" s="367"/>
      <c r="E40" s="367"/>
      <c r="F40" s="26">
        <v>10000</v>
      </c>
    </row>
    <row r="42" spans="1:6" x14ac:dyDescent="0.3">
      <c r="A42" s="13" t="str">
        <f>IF(Instructions!B1="CZ","Počet firem na jednom trhu","Firms in one market")</f>
        <v>Počet firem na jednom trhu</v>
      </c>
      <c r="B42" s="13">
        <v>5</v>
      </c>
    </row>
  </sheetData>
  <mergeCells count="18">
    <mergeCell ref="A1:C1"/>
    <mergeCell ref="E13:G13"/>
    <mergeCell ref="A31:E31"/>
    <mergeCell ref="B20:C20"/>
    <mergeCell ref="D20:E20"/>
    <mergeCell ref="A13:C13"/>
    <mergeCell ref="B15:B16"/>
    <mergeCell ref="C15:C16"/>
    <mergeCell ref="E7:F7"/>
    <mergeCell ref="A7:B7"/>
    <mergeCell ref="E1:F1"/>
    <mergeCell ref="A36:E36"/>
    <mergeCell ref="A15:A16"/>
    <mergeCell ref="A19:E19"/>
    <mergeCell ref="A40:E40"/>
    <mergeCell ref="A39:E39"/>
    <mergeCell ref="A38:E38"/>
    <mergeCell ref="A37:E37"/>
  </mergeCells>
  <phoneticPr fontId="0" type="noConversion"/>
  <printOptions horizontalCentered="1" verticalCentered="1"/>
  <pageMargins left="0.78740157480314965" right="0.78740157480314965" top="1.42" bottom="0.69" header="0.51181102362204722" footer="0.51181102362204722"/>
  <pageSetup paperSize="9" scale="90" orientation="portrait" horizontalDpi="300" verticalDpi="300" r:id="rId1"/>
  <headerFooter alignWithMargins="0">
    <oddHeader>&amp;C&amp;"Times New Roman CE,tučné"&amp;24VÝROBA NÁBYTKU
Základní údaje o simulaci</oddHead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M91"/>
  <sheetViews>
    <sheetView topLeftCell="B1" workbookViewId="0">
      <selection activeCell="J39" sqref="J39"/>
    </sheetView>
  </sheetViews>
  <sheetFormatPr defaultColWidth="8.8984375" defaultRowHeight="15.6" x14ac:dyDescent="0.3"/>
  <cols>
    <col min="1" max="1" width="37.09765625" bestFit="1" customWidth="1"/>
    <col min="2" max="2" width="14.3984375" customWidth="1"/>
    <col min="3" max="3" width="12.59765625" bestFit="1" customWidth="1"/>
    <col min="4" max="4" width="25" bestFit="1" customWidth="1"/>
    <col min="5" max="5" width="11.5" customWidth="1"/>
    <col min="7" max="7" width="38.09765625" bestFit="1" customWidth="1"/>
    <col min="8" max="8" width="14.3984375" customWidth="1"/>
    <col min="9" max="9" width="13.3984375" bestFit="1" customWidth="1"/>
    <col min="10" max="12" width="10.59765625" customWidth="1"/>
  </cols>
  <sheetData>
    <row r="1" spans="1:12" ht="17.399999999999999" x14ac:dyDescent="0.3">
      <c r="A1" s="335" t="str">
        <f>IF(Instructions!$B$1="CZ",CONCATENATE("FINANČNÍ VÝSLEDKY FIRMY ",Instructions!$B$5),CONCATENATE("FINANCIAL RESULTS FOR COMPANY ",Instructions!$B$5))</f>
        <v>FINANČNÍ VÝSLEDKY FIRMY Byte Strategists</v>
      </c>
      <c r="B1" s="335"/>
      <c r="C1" s="335"/>
      <c r="D1" s="335"/>
      <c r="E1" s="335"/>
      <c r="G1" s="335" t="str">
        <f>IF(Instructions!$B$1="CZ",CONCATENATE("ROČNÍ SOUHRN FIRMY ",Instructions!$B$5),CONCATENATE("FOUR-QUARTER SURVEY FOR COMPANY ",Instructions!$B$5))</f>
        <v>ROČNÍ SOUHRN FIRMY Byte Strategists</v>
      </c>
      <c r="H1" s="335"/>
      <c r="I1" s="335"/>
      <c r="J1" s="335"/>
      <c r="K1" s="335"/>
      <c r="L1" s="335"/>
    </row>
    <row r="2" spans="1:12" ht="16.2" thickBot="1" x14ac:dyDescent="0.35"/>
    <row r="3" spans="1:12" ht="18" thickBot="1" x14ac:dyDescent="0.35">
      <c r="A3" s="338" t="str">
        <f>IF(Instructions!$B$1="CZ","MARKETING A PRODEJ","MARKETING AND SALES")</f>
        <v>MARKETING A PRODEJ</v>
      </c>
      <c r="B3" s="339"/>
      <c r="C3" s="340"/>
      <c r="D3" s="104" t="str">
        <f>IF(Instructions!$B$1="CZ","Čtvrtletí:","Quarter: ")</f>
        <v>Čtvrtletí:</v>
      </c>
      <c r="E3" s="249">
        <v>3</v>
      </c>
      <c r="G3" s="135" t="str">
        <f>IF(Instructions!$B$1="CZ","ČTVRTLETÍ","QUARTER")</f>
        <v>ČTVRTLETÍ</v>
      </c>
      <c r="H3" s="136" t="s">
        <v>31</v>
      </c>
      <c r="I3" s="137" t="s">
        <v>32</v>
      </c>
      <c r="J3" s="137" t="s">
        <v>33</v>
      </c>
      <c r="K3" s="138" t="s">
        <v>34</v>
      </c>
      <c r="L3" s="135" t="str">
        <f>IF(Instructions!$B$1="CZ","CELKEM","TOTAL")</f>
        <v>CELKEM</v>
      </c>
    </row>
    <row r="4" spans="1:12" x14ac:dyDescent="0.3">
      <c r="A4" s="6" t="str">
        <f>IF(Instructions!$B$1="CZ","PRODUKT","PRODUCT")</f>
        <v>PRODUKT</v>
      </c>
      <c r="B4" s="329" t="str">
        <f>IF(Instructions!$B$1="CZ","STOLY","DESKS")</f>
        <v>STOLY</v>
      </c>
      <c r="C4" s="330" t="str">
        <f>IF(Instructions!$B$1="CZ","SKŘÍŇKY","CABINETS")</f>
        <v>SKŘÍŇKY</v>
      </c>
      <c r="G4" s="225" t="str">
        <f>IF(Instructions!$B$1="CZ","Tržby","Sales")</f>
        <v>Tržby</v>
      </c>
      <c r="H4" s="139">
        <f>'Q1'!H4</f>
        <v>3557130</v>
      </c>
      <c r="I4" s="140" t="str">
        <f>'Q2'!I4</f>
        <v>3 786 930</v>
      </c>
      <c r="J4" s="140">
        <f>B72</f>
        <v>3535360</v>
      </c>
      <c r="K4" s="141"/>
      <c r="L4" s="142">
        <f>H4+I4+J4</f>
        <v>10879420</v>
      </c>
    </row>
    <row r="5" spans="1:12" x14ac:dyDescent="0.3">
      <c r="A5" s="327" t="str">
        <f>IF(Instructions!$B$1="CZ","Cena [Kč za ks]","Price [CZK per piece]")</f>
        <v>Cena [Kč za ks]</v>
      </c>
      <c r="B5" s="122" t="s">
        <v>35</v>
      </c>
      <c r="C5" s="123" t="s">
        <v>36</v>
      </c>
      <c r="G5" s="226" t="str">
        <f>IF(Instructions!$B$1="CZ","Náklady prodaných výrobků","Costs of goods sold")</f>
        <v>Náklady prodaných výrobků</v>
      </c>
      <c r="H5" s="143">
        <f>'Q1'!H5</f>
        <v>3128160</v>
      </c>
      <c r="I5" s="144" t="str">
        <f>'Q2'!I5</f>
        <v>2 998 735</v>
      </c>
      <c r="J5" s="144">
        <f>B73</f>
        <v>3220639</v>
      </c>
      <c r="K5" s="145"/>
      <c r="L5" s="146">
        <f>H5+I5+J5</f>
        <v>9347534</v>
      </c>
    </row>
    <row r="6" spans="1:12" x14ac:dyDescent="0.3">
      <c r="A6" s="327" t="str">
        <f>IF(Instructions!$B$1="CZ","Nabídka [ks]","Offer [pcs]")</f>
        <v>Nabídka [ks]</v>
      </c>
      <c r="B6" s="122" t="s">
        <v>37</v>
      </c>
      <c r="C6" s="123">
        <v>680</v>
      </c>
      <c r="D6" s="343"/>
      <c r="E6" s="343"/>
      <c r="G6" s="226" t="str">
        <f>IF(Instructions!$B$1="CZ","Nepřímé náklady","Indirect costs")</f>
        <v>Nepřímé náklady</v>
      </c>
      <c r="H6" s="147">
        <f>'Q1'!H6</f>
        <v>240900</v>
      </c>
      <c r="I6" s="122" t="str">
        <f>'Q2'!I6</f>
        <v>229 375</v>
      </c>
      <c r="J6" s="122">
        <f>B78</f>
        <v>256325</v>
      </c>
      <c r="K6" s="148"/>
      <c r="L6" s="146">
        <f t="shared" ref="L6:L11" si="0">H6+I6+J6</f>
        <v>726600</v>
      </c>
    </row>
    <row r="7" spans="1:12" x14ac:dyDescent="0.3">
      <c r="A7" s="327" t="str">
        <f>IF(Instructions!$B$1="CZ","Potenciální prodej [ks]","Potential sales [pcs]")</f>
        <v>Potenciální prodej [ks]</v>
      </c>
      <c r="B7" s="122" t="s">
        <v>38</v>
      </c>
      <c r="C7" s="123">
        <v>824</v>
      </c>
      <c r="D7" s="2"/>
      <c r="E7" s="2"/>
      <c r="G7" s="226" t="str">
        <f>IF(Instructions!$B$1="CZ","Provozní zisk","Operating result")</f>
        <v>Provozní zisk</v>
      </c>
      <c r="H7" s="147">
        <f>'Q1'!H7</f>
        <v>188070</v>
      </c>
      <c r="I7" s="122" t="str">
        <f>'Q2'!I7</f>
        <v>558 820</v>
      </c>
      <c r="J7" s="122">
        <f>B84</f>
        <v>58396</v>
      </c>
      <c r="K7" s="148"/>
      <c r="L7" s="146">
        <f t="shared" si="0"/>
        <v>805286</v>
      </c>
    </row>
    <row r="8" spans="1:12" x14ac:dyDescent="0.3">
      <c r="A8" s="327" t="str">
        <f>IF(Instructions!$B$1="CZ","Skutečný prodej [ks]","Actual sales [pcs]")</f>
        <v>Skutečný prodej [ks]</v>
      </c>
      <c r="B8" s="122" t="s">
        <v>37</v>
      </c>
      <c r="C8" s="123">
        <v>680</v>
      </c>
      <c r="D8" s="1"/>
      <c r="E8" s="1"/>
      <c r="G8" s="226" t="str">
        <f>IF(Instructions!$B$1="CZ","Úroky","Capital costs")</f>
        <v>Úroky</v>
      </c>
      <c r="H8" s="147">
        <f>'Q1'!H8</f>
        <v>0</v>
      </c>
      <c r="I8" s="122">
        <f>'Q2'!I8</f>
        <v>0</v>
      </c>
      <c r="J8" s="122">
        <f>B85</f>
        <v>0</v>
      </c>
      <c r="K8" s="148"/>
      <c r="L8" s="146">
        <f t="shared" si="0"/>
        <v>0</v>
      </c>
    </row>
    <row r="9" spans="1:12" x14ac:dyDescent="0.3">
      <c r="A9" s="328" t="str">
        <f>IF(Instructions!$B$1="CZ","Tržby [Kč]","Sales [CZK]")</f>
        <v>Tržby [Kč]</v>
      </c>
      <c r="B9" s="122" t="s">
        <v>39</v>
      </c>
      <c r="C9" s="123" t="s">
        <v>40</v>
      </c>
      <c r="G9" s="226" t="str">
        <f>IF(Instructions!$B$1="CZ","Mimořádné výdaje","Extraordinary expenses")</f>
        <v>Mimořádné výdaje</v>
      </c>
      <c r="H9" s="147">
        <f>'Q1'!H9</f>
        <v>0</v>
      </c>
      <c r="I9" s="122">
        <f>'Q2'!I9</f>
        <v>0</v>
      </c>
      <c r="J9" s="122">
        <f>IF(B52&lt;0,B52,0)</f>
        <v>0</v>
      </c>
      <c r="K9" s="148"/>
      <c r="L9" s="146">
        <f t="shared" si="0"/>
        <v>0</v>
      </c>
    </row>
    <row r="10" spans="1:12" x14ac:dyDescent="0.3">
      <c r="G10" s="226" t="str">
        <f>IF(Instructions!$B$1="CZ","Daně","Taxes")</f>
        <v>Daně</v>
      </c>
      <c r="H10" s="147">
        <f>'Q1'!H10</f>
        <v>0</v>
      </c>
      <c r="I10" s="122">
        <f>'Q2'!I10</f>
        <v>0</v>
      </c>
      <c r="J10" s="122">
        <f>B88</f>
        <v>0</v>
      </c>
      <c r="K10" s="148"/>
      <c r="L10" s="146">
        <f t="shared" si="0"/>
        <v>0</v>
      </c>
    </row>
    <row r="11" spans="1:12" ht="17.399999999999999" x14ac:dyDescent="0.3">
      <c r="A11" s="338" t="str">
        <f>IF(Instructions!$B$1="CZ","VÝROBA","PRODUCTION")</f>
        <v>VÝROBA</v>
      </c>
      <c r="B11" s="339"/>
      <c r="C11" s="340"/>
      <c r="D11" s="342"/>
      <c r="E11" s="343"/>
      <c r="G11" s="226" t="str">
        <f>IF(Instructions!$B$1="CZ","Mimořádné příjmy","Extraordinary revenues")</f>
        <v>Mimořádné příjmy</v>
      </c>
      <c r="H11" s="147">
        <f>'Q1'!H11</f>
        <v>0</v>
      </c>
      <c r="I11" s="122">
        <f>'Q2'!I11</f>
        <v>0</v>
      </c>
      <c r="J11" s="122">
        <f>IF(B52&gt;0,B52,0)</f>
        <v>0</v>
      </c>
      <c r="K11" s="148"/>
      <c r="L11" s="146">
        <f t="shared" si="0"/>
        <v>0</v>
      </c>
    </row>
    <row r="12" spans="1:12" x14ac:dyDescent="0.3">
      <c r="A12" s="6" t="str">
        <f>IF(Instructions!$B$1="CZ","VÝROBEK","PRODUCT")</f>
        <v>VÝROBEK</v>
      </c>
      <c r="B12" s="7" t="str">
        <f>IF(Instructions!$B$1="CZ","STOLY","DESKS")</f>
        <v>STOLY</v>
      </c>
      <c r="C12" s="5" t="str">
        <f>IF(Instructions!$B$1="CZ","SKŘÍŇKY","CABINETS")</f>
        <v>SKŘÍŇKY</v>
      </c>
      <c r="D12" s="2"/>
      <c r="E12" s="2"/>
      <c r="F12" s="2"/>
      <c r="G12" s="227" t="str">
        <f>IF(Instructions!$B$1="CZ","Čistý zisk","Net results")</f>
        <v>Čistý zisk</v>
      </c>
      <c r="H12" s="151">
        <f>'Q1'!H12</f>
        <v>188070</v>
      </c>
      <c r="I12" s="154" t="str">
        <f>'Q2'!I12</f>
        <v>558 820</v>
      </c>
      <c r="J12" s="154">
        <f>B91</f>
        <v>58396</v>
      </c>
      <c r="K12" s="152"/>
      <c r="L12" s="153">
        <f>H12+I12+J12</f>
        <v>805286</v>
      </c>
    </row>
    <row r="13" spans="1:12" x14ac:dyDescent="0.3">
      <c r="A13" s="3" t="str">
        <f>IF(Instructions!$B$1="CZ","Počáteční zásoba [ks]","Opening stock [pcs]")</f>
        <v>Počáteční zásoba [ks]</v>
      </c>
      <c r="B13" s="122">
        <v>2200</v>
      </c>
      <c r="C13" s="123">
        <v>875</v>
      </c>
      <c r="D13" s="1"/>
      <c r="E13" s="1"/>
      <c r="F13" s="1"/>
      <c r="G13" s="228" t="str">
        <f>IF(Instructions!$B$1="CZ","Průzkum trhu","Market survey")</f>
        <v>Průzkum trhu</v>
      </c>
      <c r="H13" s="155">
        <f>'Q1'!H13</f>
        <v>0</v>
      </c>
      <c r="I13" s="186">
        <f>'Q2'!I13</f>
        <v>0</v>
      </c>
      <c r="J13" s="186">
        <f>B79</f>
        <v>0</v>
      </c>
      <c r="K13" s="156"/>
      <c r="L13" s="142">
        <f>H13+I13+J13</f>
        <v>0</v>
      </c>
    </row>
    <row r="14" spans="1:12" x14ac:dyDescent="0.3">
      <c r="A14" s="3" t="str">
        <f>IF(Instructions!$B$1="CZ","Plánovaná výroba [ks]","Planned production [pcs]")</f>
        <v>Plánovaná výroba [ks]</v>
      </c>
      <c r="B14" s="122">
        <v>1625</v>
      </c>
      <c r="C14" s="123">
        <v>675</v>
      </c>
      <c r="D14" s="121"/>
      <c r="E14" s="121"/>
      <c r="F14" s="1"/>
      <c r="G14" s="226" t="str">
        <f>IF(Instructions!$B$1="CZ","Cena stolu","Price of Desks")</f>
        <v>Cena stolu</v>
      </c>
      <c r="H14" s="147">
        <f>'Q1'!H14</f>
        <v>1170</v>
      </c>
      <c r="I14" s="122" t="str">
        <f>'Q2'!I14</f>
        <v>1 190</v>
      </c>
      <c r="J14" s="122" t="str">
        <f>B5</f>
        <v>1 160</v>
      </c>
      <c r="K14" s="148"/>
      <c r="L14" s="200"/>
    </row>
    <row r="15" spans="1:12" x14ac:dyDescent="0.3">
      <c r="A15" s="3" t="str">
        <f>IF(Instructions!$B$1="CZ","Skutečná výroba [ks]","Actual production [pcs]")</f>
        <v>Skutečná výroba [ks]</v>
      </c>
      <c r="B15" s="122">
        <v>1625</v>
      </c>
      <c r="C15" s="123">
        <v>675</v>
      </c>
      <c r="D15" s="1"/>
      <c r="E15" s="1"/>
      <c r="F15" s="1"/>
      <c r="G15" s="226" t="str">
        <f>IF(Instructions!$B$1="CZ","Cena skříňky","Price of cabinets")</f>
        <v>Cena skříňky</v>
      </c>
      <c r="H15" s="147">
        <f>'Q1'!H15</f>
        <v>2453</v>
      </c>
      <c r="I15" s="122" t="str">
        <f>'Q2'!I15</f>
        <v>2 507</v>
      </c>
      <c r="J15" s="122" t="str">
        <f>C5</f>
        <v>2 427</v>
      </c>
      <c r="K15" s="148"/>
      <c r="L15" s="200"/>
    </row>
    <row r="16" spans="1:12" x14ac:dyDescent="0.3">
      <c r="A16" s="4" t="str">
        <f>IF(Instructions!$B$1="CZ","Konečná zásoba [ks]","Inventory [pcs]")</f>
        <v>Konečná zásoba [ks]</v>
      </c>
      <c r="B16" s="122">
        <v>2200</v>
      </c>
      <c r="C16" s="123">
        <v>870</v>
      </c>
      <c r="D16" s="1"/>
      <c r="E16" s="1"/>
      <c r="F16" s="1"/>
      <c r="G16" s="229" t="str">
        <f>IF(Instructions!$B$1="CZ","Náklady neuspokojené poptávky","Out-of-stock costs")</f>
        <v>Náklady neuspokojené poptávky</v>
      </c>
      <c r="H16" s="160">
        <f>'Q1'!H16</f>
        <v>60100</v>
      </c>
      <c r="I16" s="10" t="str">
        <f>'Q2'!I16</f>
        <v>47 975</v>
      </c>
      <c r="J16" s="10">
        <f>B81</f>
        <v>74975</v>
      </c>
      <c r="K16" s="161"/>
      <c r="L16" s="201">
        <f>H16+I16+J16</f>
        <v>183050</v>
      </c>
    </row>
    <row r="17" spans="1:12" x14ac:dyDescent="0.3">
      <c r="D17" s="1"/>
      <c r="E17" s="1"/>
      <c r="G17" s="230" t="str">
        <f>IF(Instructions!$B$1="CZ","Počet strojů","Capacity")</f>
        <v>Počet strojů</v>
      </c>
      <c r="H17" s="163">
        <f>'Q1'!H17</f>
        <v>3</v>
      </c>
      <c r="I17" s="164">
        <f>'Q2'!I17</f>
        <v>3</v>
      </c>
      <c r="J17" s="164">
        <v>3</v>
      </c>
      <c r="K17" s="165"/>
      <c r="L17" s="300"/>
    </row>
    <row r="18" spans="1:12" ht="17.399999999999999" x14ac:dyDescent="0.3">
      <c r="A18" s="338" t="str">
        <f>IF(Instructions!$B$1="CZ","ZÁSOBOVÁNÍ","PROCUREMENT")</f>
        <v>ZÁSOBOVÁNÍ</v>
      </c>
      <c r="B18" s="339"/>
      <c r="C18" s="340"/>
      <c r="D18" s="1"/>
      <c r="E18" s="214"/>
      <c r="G18" s="231" t="str">
        <f>IF(Instructions!$B$1="CZ","Výroba - plán [%]","Production - plan [%]")</f>
        <v>Výroba - plán [%]</v>
      </c>
      <c r="H18" s="205"/>
      <c r="I18" s="209"/>
      <c r="J18" s="206"/>
      <c r="K18" s="165"/>
      <c r="L18" s="166"/>
    </row>
    <row r="19" spans="1:12" ht="16.2" thickBot="1" x14ac:dyDescent="0.35">
      <c r="A19" s="6" t="str">
        <f>IF(Instructions!$B$1="CZ","SUROVINA","RAW MATERIAL")</f>
        <v>SUROVINA</v>
      </c>
      <c r="B19" s="7" t="str">
        <f>IF(Instructions!$B$1="CZ","DŘEVO","WOOD")</f>
        <v>DŘEVO</v>
      </c>
      <c r="C19" s="5" t="str">
        <f>IF(Instructions!$B$1="CZ","KOV","METAL")</f>
        <v>KOV</v>
      </c>
      <c r="D19" s="1"/>
      <c r="E19" s="214"/>
      <c r="G19" s="306" t="str">
        <f>IF(Instructions!$B$1="CZ","Výroba - stutečnost [%]","Production - reality [%]")</f>
        <v>Výroba - stutečnost [%]</v>
      </c>
      <c r="H19" s="169"/>
      <c r="I19" s="207"/>
      <c r="J19" s="207"/>
      <c r="K19" s="171"/>
      <c r="L19" s="172"/>
    </row>
    <row r="20" spans="1:12" x14ac:dyDescent="0.3">
      <c r="A20" s="3" t="str">
        <f>IF(Instructions!$B$1="CZ","Počáteční zásoba [kg]","Opening stock [kg]")</f>
        <v>Počáteční zásoba [kg]</v>
      </c>
      <c r="B20" s="122">
        <v>600</v>
      </c>
      <c r="C20" s="123">
        <v>700</v>
      </c>
      <c r="D20" s="121"/>
      <c r="E20" s="215"/>
      <c r="G20" s="238" t="str">
        <f>IF(Instructions!$B$1="CZ","Zaměstnanci - celkem","Employees - total")</f>
        <v>Zaměstnanci - celkem</v>
      </c>
      <c r="H20" s="155">
        <f>'Q1'!H20</f>
        <v>29</v>
      </c>
      <c r="I20" s="186">
        <f>'Q2'!I20</f>
        <v>31</v>
      </c>
      <c r="J20" s="186">
        <f>E27/E28</f>
        <v>31.000242189392104</v>
      </c>
      <c r="K20" s="156"/>
      <c r="L20" s="305"/>
    </row>
    <row r="21" spans="1:12" x14ac:dyDescent="0.3">
      <c r="A21" s="3" t="str">
        <f>IF(Instructions!$B$1="CZ","Nákup [kg]","Purchase [kg]")</f>
        <v>Nákup [kg]</v>
      </c>
      <c r="B21" s="122">
        <v>35700</v>
      </c>
      <c r="C21" s="123">
        <v>23800</v>
      </c>
      <c r="D21" s="1"/>
      <c r="E21" s="214"/>
      <c r="G21" s="232" t="str">
        <f>IF(Instructions!$B$1="CZ","Zaměstnanci - aktivní","Employees - active")</f>
        <v>Zaměstnanci - aktivní</v>
      </c>
      <c r="H21" s="143">
        <f>'Q1'!H21</f>
        <v>27</v>
      </c>
      <c r="I21" s="122">
        <f>'Q2'!I21</f>
        <v>29</v>
      </c>
      <c r="J21" s="1">
        <f>IF(B32&lt;90,INT(J20*0.75),IF(B32&lt;100,INT(J20*0.85),IF(B32&lt;110,INT(J20*0.95),J20)))</f>
        <v>29</v>
      </c>
      <c r="K21" s="145"/>
      <c r="L21" s="200"/>
    </row>
    <row r="22" spans="1:12" x14ac:dyDescent="0.3">
      <c r="A22" s="3" t="str">
        <f>IF(Instructions!$B$1="CZ","Cena [Kč za kg]","Price [CZK per kg]")</f>
        <v>Cena [Kč za kg]</v>
      </c>
      <c r="B22" s="217">
        <v>28.02</v>
      </c>
      <c r="C22" s="216">
        <v>11.7</v>
      </c>
      <c r="D22" s="1"/>
      <c r="E22" s="214"/>
      <c r="G22" s="232" t="str">
        <f>IF(Instructions!$B$1="CZ","Zaměstnanci - změna","Employees - change")</f>
        <v>Zaměstnanci - změna</v>
      </c>
      <c r="H22" s="147">
        <f>'Q1'!H22</f>
        <v>0</v>
      </c>
      <c r="I22" s="122">
        <f>'Q2'!I22</f>
        <v>2</v>
      </c>
      <c r="J22" s="122">
        <f>J20-I20</f>
        <v>2.4218939210385315E-4</v>
      </c>
      <c r="K22" s="148"/>
      <c r="L22" s="200"/>
    </row>
    <row r="23" spans="1:12" ht="16.2" thickBot="1" x14ac:dyDescent="0.35">
      <c r="A23" s="3" t="str">
        <f>IF(Instructions!$B$1="CZ","Spotřeba [kg]","Consumption [kg]")</f>
        <v>Spotřeba [kg]</v>
      </c>
      <c r="B23" s="122">
        <v>35700</v>
      </c>
      <c r="C23" s="123">
        <v>23800</v>
      </c>
      <c r="D23" s="1"/>
      <c r="E23" s="214"/>
      <c r="G23" s="239" t="str">
        <f>IF(Instructions!$B$1="CZ","Zaměstnanci - přům. náklady na pracovníka","Employees - average per employee")</f>
        <v>Zaměstnanci - přům. náklady na pracovníka</v>
      </c>
      <c r="H23" s="179">
        <f>'Q1'!H23</f>
        <v>48000</v>
      </c>
      <c r="I23" s="180" t="str">
        <f>'Q2'!I23</f>
        <v>48 000</v>
      </c>
      <c r="J23" s="180">
        <f>E28</f>
        <v>49548</v>
      </c>
      <c r="K23" s="181"/>
      <c r="L23" s="196"/>
    </row>
    <row r="24" spans="1:12" ht="16.2" thickBot="1" x14ac:dyDescent="0.35">
      <c r="A24" s="4" t="str">
        <f>IF(Instructions!$B$1="CZ","Konečná zásoba [kg]","Inventory [kg]")</f>
        <v>Konečná zásoba [kg]</v>
      </c>
      <c r="B24" s="122">
        <v>600</v>
      </c>
      <c r="C24" s="123">
        <v>700</v>
      </c>
      <c r="D24" s="1"/>
      <c r="E24" s="214"/>
      <c r="G24" s="233" t="str">
        <f>IF(Instructions!$B$1="CZ","Nedodržení plánované výroby","Production cut-backs")</f>
        <v>Nedodržení plánované výroby</v>
      </c>
      <c r="H24" s="182">
        <f>'Q1'!H24</f>
        <v>0</v>
      </c>
      <c r="I24" s="183">
        <f>'Q2'!I24</f>
        <v>0</v>
      </c>
      <c r="J24" s="183">
        <v>0</v>
      </c>
      <c r="K24" s="184"/>
      <c r="L24" s="185"/>
    </row>
    <row r="25" spans="1:12" ht="16.2" thickBot="1" x14ac:dyDescent="0.35">
      <c r="D25" s="1"/>
      <c r="E25" s="1"/>
      <c r="G25" s="234" t="str">
        <f>IF(Instructions!$B$1="CZ","Suroviny - nákup","Raw materials - purchase")</f>
        <v>Suroviny - nákup</v>
      </c>
      <c r="H25" s="155">
        <f>'Q1'!H25</f>
        <v>1076474</v>
      </c>
      <c r="I25" s="186" t="str">
        <f>'Q2'!I25</f>
        <v>1 373 850</v>
      </c>
      <c r="J25" s="186">
        <f>B46</f>
        <v>1278774</v>
      </c>
      <c r="K25" s="187"/>
      <c r="L25" s="301"/>
    </row>
    <row r="26" spans="1:12" ht="17.399999999999999" x14ac:dyDescent="0.3">
      <c r="A26" s="332" t="str">
        <f>IF(Instructions!$B$1="CZ","LIDSKÉ ZDROJE","HUMAN RESOURCES")</f>
        <v>LIDSKÉ ZDROJE</v>
      </c>
      <c r="B26" s="333"/>
      <c r="C26" s="333"/>
      <c r="D26" s="333"/>
      <c r="E26" s="334"/>
      <c r="G26" s="235" t="str">
        <f>IF(Instructions!$B$1="CZ","Suroviny - sleva","Raw materials - discount")</f>
        <v>Suroviny - sleva</v>
      </c>
      <c r="H26" s="147">
        <f>'Q1'!H26</f>
        <v>0</v>
      </c>
      <c r="I26" s="122">
        <f>'Q2'!I26</f>
        <v>0</v>
      </c>
      <c r="J26" s="122">
        <f>RawData!N140</f>
        <v>0</v>
      </c>
      <c r="K26" s="123"/>
      <c r="L26" s="303"/>
    </row>
    <row r="27" spans="1:12" x14ac:dyDescent="0.3">
      <c r="A27" s="128" t="str">
        <f>IF(Instructions!$B$1="CZ","Základní index","Base index")</f>
        <v>Základní index</v>
      </c>
      <c r="B27" s="1">
        <v>100</v>
      </c>
      <c r="D27" t="str">
        <f>IF(Instructions!$B$1="CZ","Pracovní náklady","Labour costs")</f>
        <v>Pracovní náklady</v>
      </c>
      <c r="E27" s="294">
        <v>1536000</v>
      </c>
      <c r="F27" s="1"/>
      <c r="G27" s="236" t="str">
        <f>IF(Instructions!$B$1="CZ","Suroviny - zásoba","Raw materials - stock")</f>
        <v>Suroviny - zásoba</v>
      </c>
      <c r="H27" s="143">
        <f>'Q1'!H27</f>
        <v>23345</v>
      </c>
      <c r="I27" s="144" t="str">
        <f>'Q2'!I27</f>
        <v>25 800</v>
      </c>
      <c r="J27" s="144">
        <f>B59</f>
        <v>25002</v>
      </c>
      <c r="K27" s="191"/>
      <c r="L27" s="303"/>
    </row>
    <row r="28" spans="1:12" ht="16.2" thickBot="1" x14ac:dyDescent="0.35">
      <c r="A28" s="128" t="str">
        <f>IF(Instructions!$B$1="CZ","Mzdový index","Wage index")</f>
        <v>Mzdový index</v>
      </c>
      <c r="B28" s="1">
        <v>100</v>
      </c>
      <c r="D28" t="str">
        <f>IF(Instructions!$B$1="CZ","Prům. náklady na pracovníka","Average per employee")</f>
        <v>Prům. náklady na pracovníka</v>
      </c>
      <c r="E28" s="294">
        <v>49548</v>
      </c>
      <c r="G28" s="237" t="str">
        <f>IF(Instructions!$B$1="CZ","Suroviny - skladovací náklady","Raw materials - storage costs")</f>
        <v>Suroviny - skladovací náklady</v>
      </c>
      <c r="H28" s="192">
        <f>'Q1'!H28</f>
        <v>650</v>
      </c>
      <c r="I28" s="126">
        <f>'Q2'!I28</f>
        <v>650</v>
      </c>
      <c r="J28" s="126">
        <f>B82</f>
        <v>650</v>
      </c>
      <c r="K28" s="127"/>
      <c r="L28" s="193"/>
    </row>
    <row r="29" spans="1:12" x14ac:dyDescent="0.3">
      <c r="A29" s="128" t="str">
        <f>IF(Instructions!$B$1="CZ","Změna mzdového indexu","Change in wage level")</f>
        <v>Změna mzdového indexu</v>
      </c>
      <c r="B29" s="1">
        <v>0</v>
      </c>
      <c r="E29" s="129"/>
      <c r="G29" s="238" t="str">
        <f>IF(Instructions!$B$1="CZ","Výrobky - zásoba","Products - stock")</f>
        <v>Výrobky - zásoba</v>
      </c>
      <c r="H29" s="155">
        <f>'Q1'!H29</f>
        <v>4626000</v>
      </c>
      <c r="I29" s="186" t="str">
        <f>'Q2'!I29</f>
        <v>4 740 000</v>
      </c>
      <c r="J29" s="186">
        <f>B60</f>
        <v>4728000</v>
      </c>
      <c r="K29" s="156"/>
      <c r="L29" s="142"/>
    </row>
    <row r="30" spans="1:12" ht="16.2" thickBot="1" x14ac:dyDescent="0.35">
      <c r="A30" s="128" t="str">
        <f>IF(Instructions!$B$1="CZ","Vzdělávání","Training")</f>
        <v>Vzdělávání</v>
      </c>
      <c r="B30" s="1">
        <v>0</v>
      </c>
      <c r="E30" s="129"/>
      <c r="G30" s="237" t="str">
        <f>IF(Instructions!$B$1="CZ","Výrobky - skladovací náklady","Products - storage costs")</f>
        <v>Výrobky - skladovací náklady</v>
      </c>
      <c r="H30" s="192">
        <f>'Q1'!H30</f>
        <v>30150</v>
      </c>
      <c r="I30" s="126" t="str">
        <f>'Q2'!I30</f>
        <v>30 750</v>
      </c>
      <c r="J30" s="126">
        <f>B83</f>
        <v>30700</v>
      </c>
      <c r="K30" s="195"/>
      <c r="L30" s="196"/>
    </row>
    <row r="31" spans="1:12" x14ac:dyDescent="0.3">
      <c r="A31" s="128" t="str">
        <f>IF(Instructions!$B$1="CZ","Vliv kokurence","Influence of competition")</f>
        <v>Vliv kokurence</v>
      </c>
      <c r="B31" s="1">
        <v>0</v>
      </c>
      <c r="E31" s="129"/>
      <c r="G31" s="238" t="s">
        <v>17</v>
      </c>
      <c r="H31" s="197">
        <f>'Q1'!H31</f>
        <v>100</v>
      </c>
      <c r="I31" s="198">
        <f>'Q2'!I31</f>
        <v>100</v>
      </c>
      <c r="J31" s="198">
        <f>B32</f>
        <v>100</v>
      </c>
      <c r="K31" s="199"/>
      <c r="L31" s="142"/>
    </row>
    <row r="32" spans="1:12" ht="16.2" thickBot="1" x14ac:dyDescent="0.35">
      <c r="A32" s="130" t="str">
        <f>IF(Instructions!$B$1="CZ","Nový index","New index")</f>
        <v>Nový index</v>
      </c>
      <c r="B32" s="131">
        <v>100</v>
      </c>
      <c r="C32" s="132"/>
      <c r="D32" s="132"/>
      <c r="E32" s="133"/>
      <c r="G32" s="231" t="str">
        <f>IF(Instructions!$B$1="CZ","Průměrný PI na trhu","PI - market average")</f>
        <v>Průměrný PI na trhu</v>
      </c>
      <c r="H32" s="143">
        <f>'Q1'!H32</f>
        <v>100</v>
      </c>
      <c r="I32" s="144">
        <f>'Q2'!I32</f>
        <v>100</v>
      </c>
      <c r="J32" s="125">
        <v>100</v>
      </c>
      <c r="K32" s="145"/>
      <c r="L32" s="200"/>
    </row>
    <row r="33" spans="1:12" x14ac:dyDescent="0.3">
      <c r="G33" s="232" t="str">
        <f>IF(Instructions!$B$1="CZ","Mzdový index","Wage index")</f>
        <v>Mzdový index</v>
      </c>
      <c r="H33" s="147">
        <f>'Q1'!H33</f>
        <v>100</v>
      </c>
      <c r="I33" s="122">
        <f>'Q2'!I33</f>
        <v>100</v>
      </c>
      <c r="J33" s="122">
        <f>B28</f>
        <v>100</v>
      </c>
      <c r="K33" s="148"/>
      <c r="L33" s="200"/>
    </row>
    <row r="34" spans="1:12" ht="18" thickBot="1" x14ac:dyDescent="0.35">
      <c r="A34" s="341" t="s">
        <v>18</v>
      </c>
      <c r="B34" s="341"/>
      <c r="C34" s="134"/>
      <c r="D34" s="134"/>
      <c r="E34" s="134"/>
      <c r="G34" s="239" t="str">
        <f>IF(Instructions!$B$1="CZ","Vzdělávání","Training")</f>
        <v>Vzdělávání</v>
      </c>
      <c r="H34" s="192">
        <f>'Q1'!H34</f>
        <v>0</v>
      </c>
      <c r="I34" s="126">
        <f>'Q2'!I34</f>
        <v>0</v>
      </c>
      <c r="J34" s="126">
        <f>B30</f>
        <v>0</v>
      </c>
      <c r="K34" s="195"/>
      <c r="L34" s="201"/>
    </row>
    <row r="35" spans="1:12" x14ac:dyDescent="0.3">
      <c r="A35" s="224" t="str">
        <f>IF(Instructions!$B$1="CZ","VÝCHOZÍ STAV HOTOVOSTI","OPENING BALANCE")</f>
        <v>VÝCHOZÍ STAV HOTOVOSTI</v>
      </c>
      <c r="B35" s="125">
        <v>1393461</v>
      </c>
      <c r="G35" s="234" t="str">
        <f>IF(Instructions!$B$1="CZ","Úvěry","Credits")</f>
        <v>Úvěry</v>
      </c>
      <c r="H35" s="163">
        <f>'Q1'!H35</f>
        <v>0</v>
      </c>
      <c r="I35" s="164">
        <f>'Q2'!I35</f>
        <v>0</v>
      </c>
      <c r="J35" s="164">
        <f>B37</f>
        <v>0</v>
      </c>
      <c r="K35" s="165"/>
      <c r="L35" s="300"/>
    </row>
    <row r="36" spans="1:12" x14ac:dyDescent="0.3">
      <c r="A36" s="224" t="str">
        <f>IF(Instructions!$B$1="CZ","Tržby","Sales revenues")</f>
        <v>Tržby</v>
      </c>
      <c r="B36" s="125">
        <v>3535360</v>
      </c>
      <c r="C36" s="1"/>
      <c r="G36" s="232" t="str">
        <f>IF(Instructions!$B$1="CZ","Splátky","Repayments")</f>
        <v>Splátky</v>
      </c>
      <c r="H36" s="147">
        <f>'Q1'!H36</f>
        <v>0</v>
      </c>
      <c r="I36" s="122">
        <f>'Q2'!I36</f>
        <v>0</v>
      </c>
      <c r="J36" s="122">
        <f>B45</f>
        <v>0</v>
      </c>
      <c r="K36" s="148"/>
      <c r="L36" s="200"/>
    </row>
    <row r="37" spans="1:12" x14ac:dyDescent="0.3">
      <c r="A37" s="224" t="str">
        <f>IF(Instructions!$B$1="CZ","Investiční úvěry","Investment credits")</f>
        <v>Investiční úvěry</v>
      </c>
      <c r="B37" s="125">
        <v>0</v>
      </c>
      <c r="G37" s="232" t="str">
        <f>IF(Instructions!$B$1="CZ","Překlenovací úvěr","Extended credit")</f>
        <v>Překlenovací úvěr</v>
      </c>
      <c r="H37" s="143">
        <f>'Q1'!H37</f>
        <v>0</v>
      </c>
      <c r="I37" s="144">
        <f>'Q2'!I37</f>
        <v>0</v>
      </c>
      <c r="J37" s="144">
        <f>B38</f>
        <v>0</v>
      </c>
      <c r="K37" s="145"/>
      <c r="L37" s="200"/>
    </row>
    <row r="38" spans="1:12" ht="16.2" thickBot="1" x14ac:dyDescent="0.35">
      <c r="A38" s="224" t="str">
        <f>IF(Instructions!$B$1="CZ","Překlenovací úvěr","Extended credit")</f>
        <v>Překlenovací úvěr</v>
      </c>
      <c r="B38" s="125">
        <v>0</v>
      </c>
      <c r="G38" s="240" t="str">
        <f>IF(Instructions!$B$1="CZ","Hotovost","Cash")</f>
        <v>Hotovost</v>
      </c>
      <c r="H38" s="151">
        <f>'Q1'!H38</f>
        <v>1147756</v>
      </c>
      <c r="I38" s="154" t="str">
        <f>'Q2'!I38</f>
        <v>1 393 461</v>
      </c>
      <c r="J38" s="154">
        <f>B54</f>
        <v>1407722</v>
      </c>
      <c r="K38" s="152"/>
      <c r="L38" s="304"/>
    </row>
    <row r="39" spans="1:12" ht="16.2" thickBot="1" x14ac:dyDescent="0.35">
      <c r="A39" s="224" t="str">
        <f>IF(Instructions!$B$1="CZ","Mimořádné příjmy","Extraordinary incomes")</f>
        <v>Mimořádné příjmy</v>
      </c>
      <c r="B39" s="125">
        <v>0</v>
      </c>
      <c r="G39" s="233" t="str">
        <f>IF(Instructions!$B$1="CZ","Cena akcie","Stockprice")</f>
        <v>Cena akcie</v>
      </c>
      <c r="H39" s="202">
        <f>'Q2'!H39</f>
        <v>66.75</v>
      </c>
      <c r="I39" s="203" t="str">
        <f>'Q2'!I39</f>
        <v>64,33</v>
      </c>
      <c r="J39" s="203" t="str">
        <f>B65</f>
        <v>58,44</v>
      </c>
      <c r="K39" s="204"/>
      <c r="L39" s="185"/>
    </row>
    <row r="40" spans="1:12" x14ac:dyDescent="0.3">
      <c r="A40" s="224" t="str">
        <f>IF(Instructions!$B$1="CZ","PŘÍJMY CELKEM","TOTAL REVENUES")</f>
        <v>PŘÍJMY CELKEM</v>
      </c>
      <c r="B40" s="125">
        <v>3535360</v>
      </c>
    </row>
    <row r="41" spans="1:12" x14ac:dyDescent="0.3">
      <c r="A41" s="224" t="str">
        <f>IF(Instructions!$B$1="CZ","Investice","Investments")</f>
        <v>Investice</v>
      </c>
      <c r="B41" s="125">
        <v>0</v>
      </c>
      <c r="C41" s="1"/>
    </row>
    <row r="42" spans="1:12" x14ac:dyDescent="0.3">
      <c r="A42" s="224" t="str">
        <f>IF(Instructions!$B$1="CZ","Marketingové oddělení","Marketing department")</f>
        <v>Marketingové oddělení</v>
      </c>
      <c r="B42" s="125">
        <v>150000</v>
      </c>
      <c r="C42" s="1"/>
    </row>
    <row r="43" spans="1:12" x14ac:dyDescent="0.3">
      <c r="A43" s="224" t="str">
        <f>IF(Instructions!$B$1="CZ","Průzkumy","Market research")</f>
        <v>Průzkumy</v>
      </c>
      <c r="B43" s="125">
        <v>0</v>
      </c>
      <c r="C43" s="1"/>
    </row>
    <row r="44" spans="1:12" x14ac:dyDescent="0.3">
      <c r="A44" s="224" t="str">
        <f>IF(Instructions!$B$1="CZ","Úroky","Interests")</f>
        <v>Úroky</v>
      </c>
      <c r="B44" s="125">
        <v>0</v>
      </c>
      <c r="C44" s="1"/>
    </row>
    <row r="45" spans="1:12" x14ac:dyDescent="0.3">
      <c r="A45" s="224" t="str">
        <f>IF(Instructions!$B$1="CZ","Splátky","Repayments")</f>
        <v>Splátky</v>
      </c>
      <c r="B45" s="125">
        <v>0</v>
      </c>
      <c r="C45" s="1"/>
    </row>
    <row r="46" spans="1:12" x14ac:dyDescent="0.3">
      <c r="A46" s="224" t="str">
        <f>IF(Instructions!$B$1="CZ","Materiál","Material")</f>
        <v>Materiál</v>
      </c>
      <c r="B46" s="125">
        <v>1278774</v>
      </c>
      <c r="C46" s="1"/>
    </row>
    <row r="47" spans="1:12" x14ac:dyDescent="0.3">
      <c r="A47" s="224" t="str">
        <f>IF(Instructions!$B$1="CZ","Výroba","Production")</f>
        <v>Výroba</v>
      </c>
      <c r="B47" s="125">
        <v>1986000</v>
      </c>
      <c r="C47" s="1"/>
    </row>
    <row r="48" spans="1:12" x14ac:dyDescent="0.3">
      <c r="A48" s="224" t="str">
        <f>IF(Instructions!$B$1="CZ","Neuspokojená poptávka","Out-of-stock costs")</f>
        <v>Neuspokojená poptávka</v>
      </c>
      <c r="B48" s="125">
        <v>74975</v>
      </c>
      <c r="C48" s="1"/>
      <c r="E48" s="1"/>
    </row>
    <row r="49" spans="1:6" x14ac:dyDescent="0.3">
      <c r="A49" s="224" t="str">
        <f>IF(Instructions!$B$1="CZ","Skladování materiálu","Storage costs - raw materials")</f>
        <v>Skladování materiálu</v>
      </c>
      <c r="B49" s="125">
        <v>650</v>
      </c>
      <c r="C49" s="1"/>
      <c r="E49" s="1"/>
    </row>
    <row r="50" spans="1:6" x14ac:dyDescent="0.3">
      <c r="A50" s="224" t="str">
        <f>IF(Instructions!$B$1="CZ","Skladování výrobků","Storage costs - end products")</f>
        <v>Skladování výrobků</v>
      </c>
      <c r="B50" s="125">
        <v>30700</v>
      </c>
      <c r="C50" s="1"/>
      <c r="E50" s="1"/>
    </row>
    <row r="51" spans="1:6" x14ac:dyDescent="0.3">
      <c r="A51" s="224" t="str">
        <f>IF(Instructions!$B$1="CZ","Daně","Taxes")</f>
        <v>Daně</v>
      </c>
      <c r="B51" s="125">
        <v>0</v>
      </c>
    </row>
    <row r="52" spans="1:6" x14ac:dyDescent="0.3">
      <c r="A52" s="224" t="str">
        <f>IF(Instructions!$B$1="CZ","Mimořádné výdaje","Extraordinary expenses")</f>
        <v>Mimořádné výdaje</v>
      </c>
      <c r="B52" s="125">
        <v>0</v>
      </c>
    </row>
    <row r="53" spans="1:6" x14ac:dyDescent="0.3">
      <c r="A53" s="224" t="str">
        <f>IF(Instructions!$B$1="CZ","VÝDAJE CELKEM","TOTAL EXPENSES")</f>
        <v>VÝDAJE CELKEM</v>
      </c>
      <c r="B53" s="125">
        <v>3521099</v>
      </c>
      <c r="E53" s="1"/>
    </row>
    <row r="54" spans="1:6" x14ac:dyDescent="0.3">
      <c r="A54" s="224" t="str">
        <f>IF(Instructions!$B$1="CZ","KONEČNÝ STAV HOTOVOSTI","CASH BALANCE")</f>
        <v>KONEČNÝ STAV HOTOVOSTI</v>
      </c>
      <c r="B54" s="125">
        <v>1407722</v>
      </c>
      <c r="E54" s="1"/>
    </row>
    <row r="55" spans="1:6" ht="16.2" thickBot="1" x14ac:dyDescent="0.35">
      <c r="E55" s="1"/>
      <c r="F55" s="1"/>
    </row>
    <row r="56" spans="1:6" ht="17.399999999999999" x14ac:dyDescent="0.3">
      <c r="A56" s="332" t="str">
        <f>IF(Instructions!$B$1="CZ","ROZVAHA","BALANCE SHEET")</f>
        <v>ROZVAHA</v>
      </c>
      <c r="B56" s="333"/>
      <c r="C56" s="333"/>
      <c r="D56" s="333"/>
      <c r="E56" s="334"/>
    </row>
    <row r="57" spans="1:6" x14ac:dyDescent="0.3">
      <c r="A57" s="128" t="str">
        <f>IF(Instructions!$B$1="CZ","Budovy","Buildings")</f>
        <v>Budovy</v>
      </c>
      <c r="B57" s="297">
        <v>3000000</v>
      </c>
      <c r="D57" t="str">
        <f>IF(Instructions!$B$1="CZ","Vlastní kapitál","Equity")</f>
        <v>Vlastní kapitál</v>
      </c>
      <c r="E57" s="299">
        <v>10960724</v>
      </c>
    </row>
    <row r="58" spans="1:6" x14ac:dyDescent="0.3">
      <c r="A58" s="128" t="str">
        <f>IF(Instructions!$B$1="CZ","Stroje","Machines")</f>
        <v>Stroje</v>
      </c>
      <c r="B58" s="297">
        <v>1800000</v>
      </c>
      <c r="D58" t="str">
        <f>IF(Instructions!$B$1="CZ","Úvěry","Credits")</f>
        <v>Úvěry</v>
      </c>
      <c r="E58" s="299">
        <v>0</v>
      </c>
    </row>
    <row r="59" spans="1:6" x14ac:dyDescent="0.3">
      <c r="A59" s="128" t="str">
        <f>IF(Instructions!$B$1="CZ","Suroviny","Raw materials")</f>
        <v>Suroviny</v>
      </c>
      <c r="B59" s="297">
        <v>25002</v>
      </c>
      <c r="D59" t="str">
        <f>IF(Instructions!$B$1="CZ","Překlenovací úvěr","Extended credit")</f>
        <v>Překlenovací úvěr</v>
      </c>
      <c r="E59" s="299">
        <v>0</v>
      </c>
    </row>
    <row r="60" spans="1:6" x14ac:dyDescent="0.3">
      <c r="A60" s="128" t="str">
        <f>IF(Instructions!$B$1="CZ","Hotové výrobky","End products")</f>
        <v>Hotové výrobky</v>
      </c>
      <c r="B60" s="297">
        <v>4728000</v>
      </c>
      <c r="D60" t="str">
        <f>IF(Instructions!$B$1="CZ","Daně","Taxes")</f>
        <v>Daně</v>
      </c>
      <c r="E60" s="299">
        <v>0</v>
      </c>
    </row>
    <row r="61" spans="1:6" x14ac:dyDescent="0.3">
      <c r="A61" s="128" t="str">
        <f>IF(Instructions!$B$1="CZ","Hotovost","Cash")</f>
        <v>Hotovost</v>
      </c>
      <c r="B61" s="297">
        <v>1407722</v>
      </c>
      <c r="E61" s="294"/>
    </row>
    <row r="62" spans="1:6" ht="16.2" thickBot="1" x14ac:dyDescent="0.35">
      <c r="A62" s="130" t="str">
        <f>IF(Instructions!$B$1="CZ","CELKEM","TOTAL")</f>
        <v>CELKEM</v>
      </c>
      <c r="B62" s="298">
        <v>10960724</v>
      </c>
      <c r="C62" s="132"/>
      <c r="D62" s="132" t="str">
        <f>IF(Instructions!$B$1="CZ","CELKEM","TOTAL")</f>
        <v>CELKEM</v>
      </c>
      <c r="E62" s="295">
        <f>E57+E58+E59+E60</f>
        <v>10960724</v>
      </c>
    </row>
    <row r="63" spans="1:6" ht="16.2" thickBot="1" x14ac:dyDescent="0.35">
      <c r="E63" s="1"/>
    </row>
    <row r="64" spans="1:6" ht="17.399999999999999" x14ac:dyDescent="0.3">
      <c r="A64" s="332" t="s">
        <v>19</v>
      </c>
      <c r="B64" s="334"/>
      <c r="D64" s="1"/>
    </row>
    <row r="65" spans="1:13" x14ac:dyDescent="0.3">
      <c r="A65" s="327" t="str">
        <f>Instructions!B5</f>
        <v>Byte Strategists</v>
      </c>
      <c r="B65" s="283" t="s">
        <v>41</v>
      </c>
    </row>
    <row r="66" spans="1:13" x14ac:dyDescent="0.3">
      <c r="A66" s="327" t="s">
        <v>20</v>
      </c>
      <c r="B66" s="283" t="s">
        <v>41</v>
      </c>
      <c r="M66" s="1"/>
    </row>
    <row r="67" spans="1:13" x14ac:dyDescent="0.3">
      <c r="A67" s="327" t="s">
        <v>21</v>
      </c>
      <c r="B67" s="283" t="s">
        <v>41</v>
      </c>
    </row>
    <row r="68" spans="1:13" x14ac:dyDescent="0.3">
      <c r="A68" s="327" t="s">
        <v>22</v>
      </c>
      <c r="B68" s="283" t="s">
        <v>41</v>
      </c>
    </row>
    <row r="69" spans="1:13" ht="16.2" thickBot="1" x14ac:dyDescent="0.35">
      <c r="A69" s="328" t="s">
        <v>23</v>
      </c>
      <c r="B69" s="283" t="s">
        <v>41</v>
      </c>
    </row>
    <row r="70" spans="1:13" ht="16.2" thickBot="1" x14ac:dyDescent="0.35"/>
    <row r="71" spans="1:13" ht="18" thickBot="1" x14ac:dyDescent="0.35">
      <c r="A71" s="336" t="str">
        <f>IF(Instructions!$B$1="CZ","VÝKAZ ZISKŮ A ZTRÁT","PROFIT AND LOSS ACCOUNT")</f>
        <v>VÝKAZ ZISKŮ A ZTRÁT</v>
      </c>
      <c r="B71" s="337"/>
      <c r="G71" s="7" t="str">
        <f>IF(Instructions!$B$1="CZ","Ziskovost-STOLY","Profitability-DESKS")</f>
        <v>Ziskovost-STOLY</v>
      </c>
      <c r="H71" s="7" t="str">
        <f>IF(Instructions!$B$1="CZ","SKŘÍŇKY","CABINETS")</f>
        <v>SKŘÍŇKY</v>
      </c>
    </row>
    <row r="72" spans="1:13" x14ac:dyDescent="0.3">
      <c r="A72" s="157" t="str">
        <f>IF(Instructions!$B$1="CZ","Tržby","Sales revenues")</f>
        <v>Tržby</v>
      </c>
      <c r="B72" s="293">
        <v>3535360</v>
      </c>
      <c r="D72" s="1"/>
      <c r="G72" s="62" t="str">
        <f>B9</f>
        <v>1 885 000</v>
      </c>
      <c r="H72" s="62" t="str">
        <f>C9</f>
        <v>1 650 360</v>
      </c>
    </row>
    <row r="73" spans="1:13" x14ac:dyDescent="0.3">
      <c r="A73" s="128" t="str">
        <f>IF(Instructions!$B$1="CZ","Náklady prodaných výrobků","Costs of goods sold")</f>
        <v>Náklady prodaných výrobků</v>
      </c>
      <c r="B73" s="294">
        <v>3220639</v>
      </c>
      <c r="D73" s="1"/>
      <c r="G73" s="62" t="e">
        <f>SUM(G74:G76)</f>
        <v>#VALUE!</v>
      </c>
      <c r="H73" s="62" t="e">
        <f>SUM(H74:H76)</f>
        <v>#VALUE!</v>
      </c>
    </row>
    <row r="74" spans="1:13" x14ac:dyDescent="0.3">
      <c r="A74" s="128" t="str">
        <f>IF(Instructions!$B$1="CZ","   Suroviny prodaných výrobků","   Raw materials in sold products")</f>
        <v xml:space="preserve">   Suroviny prodaných výrobků</v>
      </c>
      <c r="B74" s="159">
        <v>1222639</v>
      </c>
      <c r="D74" s="1"/>
      <c r="G74" s="62" t="e">
        <f>'Q1'!B20*Data!F9+Data!F10*'Q1'!C20+(B8*Data!F15-'Q1'!B20)*'Q1'!B22+(B8*Data!F16-'Q1'!C20)*'Q1'!C22</f>
        <v>#VALUE!</v>
      </c>
      <c r="H74" s="62">
        <f>('Q1'!C13-'Q1'!C8)*(Data!G15*Data!F9+Data!F10*Data!G16)+(C8-'Q1'!C13+'Q1'!C8)*('Q1'!B22*Data!G15+Data!G16*'Q1'!C22)</f>
        <v>532723.19999999995</v>
      </c>
    </row>
    <row r="75" spans="1:13" x14ac:dyDescent="0.3">
      <c r="A75" s="128" t="str">
        <f>IF(Instructions!$B$1="CZ","   Výrobní náklady","   Production costs")</f>
        <v xml:space="preserve">   Výrobní náklady</v>
      </c>
      <c r="B75" s="159">
        <v>1986000</v>
      </c>
      <c r="D75" s="1"/>
      <c r="G75" s="62" t="e">
        <f>B8/(B8+C8)*B75</f>
        <v>#VALUE!</v>
      </c>
      <c r="H75" s="62" t="e">
        <f>C8/(B8+C8)*B75</f>
        <v>#VALUE!</v>
      </c>
    </row>
    <row r="76" spans="1:13" x14ac:dyDescent="0.3">
      <c r="A76" s="157" t="str">
        <f>IF(Instructions!$B$1="CZ","   Změna stavu zásob výrobků","   Change of stock - end products")</f>
        <v xml:space="preserve">   Změna stavu zásob výrobků</v>
      </c>
      <c r="B76" s="167">
        <v>12000</v>
      </c>
      <c r="D76" s="1"/>
      <c r="G76" s="62">
        <f>(B13-B16)*Data!B9</f>
        <v>0</v>
      </c>
      <c r="H76" s="62">
        <f>(C13-C16)*Data!B10</f>
        <v>12000</v>
      </c>
    </row>
    <row r="77" spans="1:13" ht="16.2" thickBot="1" x14ac:dyDescent="0.35">
      <c r="A77" s="130" t="str">
        <f>IF(Instructions!$B$1="CZ","Hrubý zisk","Gross result")</f>
        <v>Hrubý zisk</v>
      </c>
      <c r="B77" s="295">
        <v>314721</v>
      </c>
      <c r="D77" s="1"/>
      <c r="G77" s="62" t="e">
        <f>G72-G73</f>
        <v>#VALUE!</v>
      </c>
      <c r="H77" s="62" t="e">
        <f>H72-H73</f>
        <v>#VALUE!</v>
      </c>
    </row>
    <row r="78" spans="1:13" x14ac:dyDescent="0.3">
      <c r="A78" s="128" t="str">
        <f>IF(Instructions!$B$1="CZ","Nepřímé náklady","Indirect costs")</f>
        <v>Nepřímé náklady</v>
      </c>
      <c r="B78" s="294">
        <v>256325</v>
      </c>
      <c r="G78" s="62" t="e">
        <f>SUM(G79:G83)</f>
        <v>#VALUE!</v>
      </c>
      <c r="H78" s="62" t="e">
        <f>SUM(H79:H83)</f>
        <v>#VALUE!</v>
      </c>
    </row>
    <row r="79" spans="1:13" x14ac:dyDescent="0.3">
      <c r="A79" s="128" t="str">
        <f>IF(Instructions!$B$1="CZ","   Průzkum trhu","   Market survey")</f>
        <v xml:space="preserve">   Průzkum trhu</v>
      </c>
      <c r="B79" s="294">
        <v>0</v>
      </c>
      <c r="G79" s="62" t="e">
        <f>B8/(B8+C8)*B79</f>
        <v>#VALUE!</v>
      </c>
      <c r="H79" s="62" t="e">
        <f>C8/(B8+C8)*B79</f>
        <v>#VALUE!</v>
      </c>
    </row>
    <row r="80" spans="1:13" x14ac:dyDescent="0.3">
      <c r="A80" s="128" t="str">
        <f>IF(Instructions!$B$1="CZ","   Marketingové oddělení","   Sales staff")</f>
        <v xml:space="preserve">   Marketingové oddělení</v>
      </c>
      <c r="B80" s="294">
        <v>150000</v>
      </c>
      <c r="G80" s="62" t="e">
        <f>B8/(B8+C8)*B80</f>
        <v>#VALUE!</v>
      </c>
      <c r="H80" s="62" t="e">
        <f>C8/(B8+C8)*B80</f>
        <v>#VALUE!</v>
      </c>
    </row>
    <row r="81" spans="1:8" x14ac:dyDescent="0.3">
      <c r="A81" s="128" t="str">
        <f>IF(Instructions!$B$1="CZ","   Náklady neuspokojené poptávky","   Out-of-stock costs")</f>
        <v xml:space="preserve">   Náklady neuspokojené poptávky</v>
      </c>
      <c r="B81" s="294">
        <v>74975</v>
      </c>
      <c r="G81" s="62" t="e">
        <f>IF(AND(B5&lt;1300,B8-B7&lt;0),(B7-B8)*25,0)</f>
        <v>#VALUE!</v>
      </c>
      <c r="H81" s="62">
        <f>IF(AND(C5&lt;2800,C8-C7&lt;0),(C7-C8)*50,0)</f>
        <v>0</v>
      </c>
    </row>
    <row r="82" spans="1:8" x14ac:dyDescent="0.3">
      <c r="A82" s="128" t="str">
        <f>IF(Instructions!$B$1="CZ","   Skladovací náklady - suroviny","   Storage costs - raw materials")</f>
        <v xml:space="preserve">   Skladovací náklady - suroviny</v>
      </c>
      <c r="B82" s="294">
        <v>650</v>
      </c>
      <c r="G82" s="62" t="e">
        <f>B8/(B8+C8)*B82</f>
        <v>#VALUE!</v>
      </c>
      <c r="H82" s="62" t="e">
        <f>C8/(B8+C8)*B82</f>
        <v>#VALUE!</v>
      </c>
    </row>
    <row r="83" spans="1:8" x14ac:dyDescent="0.3">
      <c r="A83" s="157" t="str">
        <f>IF(Instructions!$B$1="CZ","   Skladovací náklady - výrobky","   Storage costs - end products")</f>
        <v xml:space="preserve">   Skladovací náklady - výrobky</v>
      </c>
      <c r="B83" s="167">
        <v>30700</v>
      </c>
      <c r="G83" s="62">
        <f>B16*Data!F3</f>
        <v>22000</v>
      </c>
      <c r="H83" s="62">
        <f>C16*Data!F3</f>
        <v>8700</v>
      </c>
    </row>
    <row r="84" spans="1:8" ht="16.2" thickBot="1" x14ac:dyDescent="0.35">
      <c r="A84" s="128" t="str">
        <f>IF(Instructions!$B$1="CZ","Provozní zisk","Operating result")</f>
        <v>Provozní zisk</v>
      </c>
      <c r="B84" s="294">
        <v>58396</v>
      </c>
      <c r="C84" s="1"/>
      <c r="G84" s="62" t="e">
        <f>G77-G78</f>
        <v>#VALUE!</v>
      </c>
      <c r="H84" s="62" t="e">
        <f>H77-H78</f>
        <v>#VALUE!</v>
      </c>
    </row>
    <row r="85" spans="1:8" x14ac:dyDescent="0.3">
      <c r="A85" s="190" t="str">
        <f>IF(Instructions!$B$1="CZ","Zaplacené úroky","Capital costs")</f>
        <v>Zaplacené úroky</v>
      </c>
      <c r="B85" s="296">
        <v>0</v>
      </c>
      <c r="G85" s="62" t="e">
        <f>B8/(B8+C8)*B85</f>
        <v>#VALUE!</v>
      </c>
      <c r="H85" s="62" t="e">
        <f>C8/(B8+C8)*B85</f>
        <v>#VALUE!</v>
      </c>
    </row>
    <row r="86" spans="1:8" x14ac:dyDescent="0.3">
      <c r="A86" s="128" t="str">
        <f>IF(Instructions!$B$1="CZ","Mimořádné výdaje","Extraordinary expenses")</f>
        <v>Mimořádné výdaje</v>
      </c>
      <c r="B86" s="294">
        <v>0</v>
      </c>
      <c r="G86" s="62" t="e">
        <f>B8/(B8+C8)*B86</f>
        <v>#VALUE!</v>
      </c>
      <c r="H86" s="62" t="e">
        <f>C8/(B8+C8)*B86</f>
        <v>#VALUE!</v>
      </c>
    </row>
    <row r="87" spans="1:8" x14ac:dyDescent="0.3">
      <c r="A87" s="128" t="str">
        <f>IF(Instructions!$B$1="CZ","Zisk z provozní činnosti před zdaněním","Normal operating result before tax")</f>
        <v>Zisk z provozní činnosti před zdaněním</v>
      </c>
      <c r="B87" s="294">
        <v>58396</v>
      </c>
      <c r="G87" s="62" t="e">
        <f>G84-G85-G86</f>
        <v>#VALUE!</v>
      </c>
      <c r="H87" s="62" t="e">
        <f>H84-H85-H86</f>
        <v>#VALUE!</v>
      </c>
    </row>
    <row r="88" spans="1:8" x14ac:dyDescent="0.3">
      <c r="A88" s="128" t="str">
        <f>IF(Instructions!$B$1="CZ","Daně","Taxes")</f>
        <v>Daně</v>
      </c>
      <c r="B88" s="294">
        <v>0</v>
      </c>
    </row>
    <row r="89" spans="1:8" x14ac:dyDescent="0.3">
      <c r="A89" s="157" t="str">
        <f>IF(Instructions!$B$1="CZ","Zisk z provozní činnosti po zdanění","Normal operating result after tax")</f>
        <v>Zisk z provozní činnosti po zdanění</v>
      </c>
      <c r="B89" s="293">
        <v>58396</v>
      </c>
      <c r="C89" s="194"/>
    </row>
    <row r="90" spans="1:8" x14ac:dyDescent="0.3">
      <c r="A90" s="128" t="str">
        <f>IF(Instructions!$B$1="CZ","Mimořádné příjmy","Extraordinary revenues")</f>
        <v>Mimořádné příjmy</v>
      </c>
      <c r="B90" s="294">
        <v>0</v>
      </c>
      <c r="C90" s="194"/>
    </row>
    <row r="91" spans="1:8" ht="16.2" thickBot="1" x14ac:dyDescent="0.35">
      <c r="A91" s="130" t="str">
        <f>IF(Instructions!$B$1="CZ","Celkový čistý zisk","Net result")</f>
        <v>Celkový čistý zisk</v>
      </c>
      <c r="B91" s="295">
        <v>58396</v>
      </c>
    </row>
  </sheetData>
  <mergeCells count="12">
    <mergeCell ref="A71:B71"/>
    <mergeCell ref="A56:E56"/>
    <mergeCell ref="G1:L1"/>
    <mergeCell ref="A18:C18"/>
    <mergeCell ref="A26:E26"/>
    <mergeCell ref="A34:B34"/>
    <mergeCell ref="A1:E1"/>
    <mergeCell ref="A3:C3"/>
    <mergeCell ref="A11:C11"/>
    <mergeCell ref="D6:E6"/>
    <mergeCell ref="D11:E11"/>
    <mergeCell ref="A64:B64"/>
  </mergeCells>
  <pageMargins left="0.78740157499999996" right="0.78740157499999996" top="0.984251969" bottom="0.984251969" header="0.4921259845" footer="0.4921259845"/>
  <pageSetup paperSize="9" scale="77" orientation="portrait" r:id="rId1"/>
  <headerFooter alignWithMargins="0">
    <oddHeader>&amp;R5. KOLO</oddHeader>
    <oddFooter>Stránka &amp;P</oddFooter>
  </headerFooter>
  <rowBreaks count="1" manualBreakCount="1">
    <brk id="55" max="11" man="1"/>
  </rowBreaks>
  <colBreaks count="1" manualBreakCount="1">
    <brk id="5" max="90" man="1"/>
  </col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M91"/>
  <sheetViews>
    <sheetView topLeftCell="C1" workbookViewId="0">
      <selection activeCell="H72" sqref="H72"/>
    </sheetView>
  </sheetViews>
  <sheetFormatPr defaultColWidth="8.8984375" defaultRowHeight="15.6" x14ac:dyDescent="0.3"/>
  <cols>
    <col min="1" max="1" width="37.09765625" bestFit="1" customWidth="1"/>
    <col min="2" max="2" width="10.09765625" customWidth="1"/>
    <col min="3" max="3" width="12.59765625" bestFit="1" customWidth="1"/>
    <col min="4" max="4" width="25" bestFit="1" customWidth="1"/>
    <col min="5" max="5" width="10.09765625" customWidth="1"/>
    <col min="7" max="7" width="38.09765625" bestFit="1" customWidth="1"/>
    <col min="8" max="8" width="10.59765625" customWidth="1"/>
    <col min="9" max="9" width="13.3984375" bestFit="1" customWidth="1"/>
    <col min="10" max="12" width="10.59765625" customWidth="1"/>
  </cols>
  <sheetData>
    <row r="1" spans="1:12" ht="17.399999999999999" x14ac:dyDescent="0.3">
      <c r="A1" s="335" t="str">
        <f>IF(Instructions!$B$1="CZ",CONCATENATE("FINANČNÍ VÝSLEDKY FIRMY ",Instructions!$B$5),CONCATENATE("FINANCIAL RESULTS FOR COMPANY ",Instructions!$B$5))</f>
        <v>FINANČNÍ VÝSLEDKY FIRMY Byte Strategists</v>
      </c>
      <c r="B1" s="335"/>
      <c r="C1" s="335"/>
      <c r="D1" s="335"/>
      <c r="E1" s="335"/>
      <c r="G1" s="335" t="str">
        <f>IF(Instructions!$B$1="CZ",CONCATENATE("ROČNÍ SOUHRN FIRMY ",Instructions!$B$5),CONCATENATE("FOUR-QUARTER SURVEY FOR COMPANY ",Instructions!$B$5))</f>
        <v>ROČNÍ SOUHRN FIRMY Byte Strategists</v>
      </c>
      <c r="H1" s="335"/>
      <c r="I1" s="335"/>
      <c r="J1" s="335"/>
      <c r="K1" s="335"/>
      <c r="L1" s="335"/>
    </row>
    <row r="2" spans="1:12" ht="16.2" thickBot="1" x14ac:dyDescent="0.35"/>
    <row r="3" spans="1:12" ht="18" thickBot="1" x14ac:dyDescent="0.35">
      <c r="A3" s="338" t="str">
        <f>IF(Instructions!$B$1="CZ","MARKETING A PRODEJ","MARKETING AND SALES")</f>
        <v>MARKETING A PRODEJ</v>
      </c>
      <c r="B3" s="339"/>
      <c r="C3" s="340"/>
      <c r="D3" s="104" t="str">
        <f>IF(Instructions!$B$1="CZ","Čtvrtletí:","Quarter: ")</f>
        <v>Čtvrtletí:</v>
      </c>
      <c r="E3" s="249">
        <v>2</v>
      </c>
      <c r="G3" s="135" t="str">
        <f>IF(Instructions!$B$1="CZ","ČTVRTLETÍ","QUARTER")</f>
        <v>ČTVRTLETÍ</v>
      </c>
      <c r="H3" s="136" t="s">
        <v>31</v>
      </c>
      <c r="I3" s="137" t="s">
        <v>32</v>
      </c>
      <c r="J3" s="137" t="s">
        <v>33</v>
      </c>
      <c r="K3" s="138" t="s">
        <v>34</v>
      </c>
      <c r="L3" s="135" t="str">
        <f>IF(Instructions!$B$1="CZ","CELKEM","TOTAL")</f>
        <v>CELKEM</v>
      </c>
    </row>
    <row r="4" spans="1:12" x14ac:dyDescent="0.3">
      <c r="A4" s="6" t="str">
        <f>IF(Instructions!$B$1="CZ","PRODUKT","PRODUCT")</f>
        <v>PRODUKT</v>
      </c>
      <c r="B4" s="7" t="str">
        <f>IF(Instructions!$B$1="CZ","STOLY","DESKS")</f>
        <v>STOLY</v>
      </c>
      <c r="C4" s="5" t="str">
        <f>IF(Instructions!$B$1="CZ","SKŘÍŇKY","CABINETS")</f>
        <v>SKŘÍŇKY</v>
      </c>
      <c r="G4" s="225" t="str">
        <f>IF(Instructions!$B$1="CZ","Tržby","Sales")</f>
        <v>Tržby</v>
      </c>
      <c r="H4" s="139">
        <f>'Q1'!H4</f>
        <v>3557130</v>
      </c>
      <c r="I4" s="140" t="str">
        <f>B72</f>
        <v>3 786 930</v>
      </c>
      <c r="J4" s="140"/>
      <c r="K4" s="141"/>
      <c r="L4" s="142">
        <f>H4+I4</f>
        <v>7344060</v>
      </c>
    </row>
    <row r="5" spans="1:12" x14ac:dyDescent="0.3">
      <c r="A5" s="3" t="str">
        <f>IF(Instructions!$B$1="CZ","Cena [Kč za ks]","Price [CZK per piece]")</f>
        <v>Cena [Kč za ks]</v>
      </c>
      <c r="B5" s="122" t="s">
        <v>42</v>
      </c>
      <c r="C5" s="123" t="s">
        <v>43</v>
      </c>
      <c r="G5" s="226" t="str">
        <f>IF(Instructions!$B$1="CZ","Náklady prodaných výrobků","Costs of goods sold")</f>
        <v>Náklady prodaných výrobků</v>
      </c>
      <c r="H5" s="143">
        <f>'Q1'!H5</f>
        <v>3128160</v>
      </c>
      <c r="I5" s="144" t="str">
        <f>B73</f>
        <v>2 998 735</v>
      </c>
      <c r="J5" s="144"/>
      <c r="K5" s="145"/>
      <c r="L5" s="146">
        <f>H5+I5</f>
        <v>6126895</v>
      </c>
    </row>
    <row r="6" spans="1:12" x14ac:dyDescent="0.3">
      <c r="A6" s="3" t="str">
        <f>IF(Instructions!$B$1="CZ","Nabídka [ks]","Offer [pcs]")</f>
        <v>Nabídka [ks]</v>
      </c>
      <c r="B6" s="122" t="s">
        <v>44</v>
      </c>
      <c r="C6" s="123">
        <v>490</v>
      </c>
      <c r="D6" s="128"/>
      <c r="G6" s="226" t="str">
        <f>IF(Instructions!$B$1="CZ","Nepřímé náklady","Indirect costs")</f>
        <v>Nepřímé náklady</v>
      </c>
      <c r="H6" s="147">
        <f>'Q1'!H6</f>
        <v>240900</v>
      </c>
      <c r="I6" s="122" t="str">
        <f>B78</f>
        <v>229 375</v>
      </c>
      <c r="J6" s="122"/>
      <c r="K6" s="148"/>
      <c r="L6" s="146">
        <f t="shared" ref="L6:L11" si="0">H6+I6</f>
        <v>470275</v>
      </c>
    </row>
    <row r="7" spans="1:12" x14ac:dyDescent="0.3">
      <c r="A7" s="3" t="str">
        <f>IF(Instructions!$B$1="CZ","Potenciální prodej [ks]","Potential sales [pcs]")</f>
        <v>Potenciální prodej [ks]</v>
      </c>
      <c r="B7" s="122" t="s">
        <v>45</v>
      </c>
      <c r="C7" s="123">
        <v>759</v>
      </c>
      <c r="D7" s="2"/>
      <c r="E7" s="2"/>
      <c r="G7" s="226" t="str">
        <f>IF(Instructions!$B$1="CZ","Provozní zisk","Operating result")</f>
        <v>Provozní zisk</v>
      </c>
      <c r="H7" s="147">
        <f>'Q1'!H7</f>
        <v>188070</v>
      </c>
      <c r="I7" s="122" t="str">
        <f>B84</f>
        <v>558 820</v>
      </c>
      <c r="J7" s="122"/>
      <c r="K7" s="148"/>
      <c r="L7" s="146">
        <f t="shared" si="0"/>
        <v>746890</v>
      </c>
    </row>
    <row r="8" spans="1:12" x14ac:dyDescent="0.3">
      <c r="A8" s="3" t="str">
        <f>IF(Instructions!$B$1="CZ","Skutečný prodej [ks]","Actual sales [pcs]")</f>
        <v>Skutečný prodej [ks]</v>
      </c>
      <c r="B8" s="122" t="s">
        <v>44</v>
      </c>
      <c r="C8" s="123">
        <v>490</v>
      </c>
      <c r="D8" s="1"/>
      <c r="E8" s="1"/>
      <c r="G8" s="226" t="str">
        <f>IF(Instructions!$B$1="CZ","Úroky","Capital costs")</f>
        <v>Úroky</v>
      </c>
      <c r="H8" s="147">
        <f>'Q1'!H8</f>
        <v>0</v>
      </c>
      <c r="I8" s="122">
        <f>B85</f>
        <v>0</v>
      </c>
      <c r="J8" s="122"/>
      <c r="K8" s="148"/>
      <c r="L8" s="146">
        <f t="shared" si="0"/>
        <v>0</v>
      </c>
    </row>
    <row r="9" spans="1:12" ht="16.2" thickBot="1" x14ac:dyDescent="0.35">
      <c r="A9" s="4" t="str">
        <f>IF(Instructions!$B$1="CZ","Tržby [Kč]","Sales [CZK]")</f>
        <v>Tržby [Kč]</v>
      </c>
      <c r="B9" s="10" t="s">
        <v>46</v>
      </c>
      <c r="C9" s="11" t="s">
        <v>47</v>
      </c>
      <c r="G9" s="226" t="str">
        <f>IF(Instructions!$B$1="CZ","Mimořádné výdaje","Extraordinary expenses")</f>
        <v>Mimořádné výdaje</v>
      </c>
      <c r="H9" s="147">
        <f>'Q1'!H9</f>
        <v>0</v>
      </c>
      <c r="I9" s="122">
        <f>IF(B52&lt;0,B52,0)</f>
        <v>0</v>
      </c>
      <c r="J9" s="122"/>
      <c r="K9" s="148"/>
      <c r="L9" s="146">
        <f t="shared" si="0"/>
        <v>0</v>
      </c>
    </row>
    <row r="10" spans="1:12" ht="16.2" thickBot="1" x14ac:dyDescent="0.35">
      <c r="G10" s="226" t="str">
        <f>IF(Instructions!$B$1="CZ","Daně","Taxes")</f>
        <v>Daně</v>
      </c>
      <c r="H10" s="147">
        <f>'Q1'!H10</f>
        <v>0</v>
      </c>
      <c r="I10" s="122">
        <f>B88</f>
        <v>0</v>
      </c>
      <c r="J10" s="122"/>
      <c r="K10" s="148"/>
      <c r="L10" s="146">
        <f t="shared" si="0"/>
        <v>0</v>
      </c>
    </row>
    <row r="11" spans="1:12" ht="17.399999999999999" x14ac:dyDescent="0.3">
      <c r="A11" s="338" t="str">
        <f>IF(Instructions!$B$1="CZ","VÝROBA","PRODUCTION")</f>
        <v>VÝROBA</v>
      </c>
      <c r="B11" s="339"/>
      <c r="C11" s="340"/>
      <c r="D11" s="128"/>
      <c r="G11" s="226" t="str">
        <f>IF(Instructions!$B$1="CZ","Mimořádné příjmy","Extraordinary revenues")</f>
        <v>Mimořádné příjmy</v>
      </c>
      <c r="H11" s="147">
        <f>'Q1'!H11</f>
        <v>0</v>
      </c>
      <c r="I11" s="122">
        <f>IF(B52&gt;0,B52,0)</f>
        <v>0</v>
      </c>
      <c r="J11" s="122"/>
      <c r="K11" s="148"/>
      <c r="L11" s="146">
        <f t="shared" si="0"/>
        <v>0</v>
      </c>
    </row>
    <row r="12" spans="1:12" ht="16.2" thickBot="1" x14ac:dyDescent="0.35">
      <c r="A12" s="6" t="str">
        <f>IF(Instructions!$B$1="CZ","VÝROBEK","PRODUCT")</f>
        <v>VÝROBEK</v>
      </c>
      <c r="B12" s="7" t="str">
        <f>IF(Instructions!$B$1="CZ","STOLY","DESKS")</f>
        <v>STOLY</v>
      </c>
      <c r="C12" s="5" t="str">
        <f>IF(Instructions!$B$1="CZ","SKŘÍŇKY","CABINETS")</f>
        <v>SKŘÍŇKY</v>
      </c>
      <c r="D12" s="2"/>
      <c r="E12" s="2"/>
      <c r="F12" s="2"/>
      <c r="G12" s="227" t="str">
        <f>IF(Instructions!$B$1="CZ","Čistý zisk","Net results")</f>
        <v>Čistý zisk</v>
      </c>
      <c r="H12" s="151">
        <f>'Q1'!H12</f>
        <v>188070</v>
      </c>
      <c r="I12" s="154" t="str">
        <f>B91</f>
        <v>558 820</v>
      </c>
      <c r="J12" s="154"/>
      <c r="K12" s="152"/>
      <c r="L12" s="153">
        <f>H12+I12</f>
        <v>746890</v>
      </c>
    </row>
    <row r="13" spans="1:12" x14ac:dyDescent="0.3">
      <c r="A13" s="3" t="str">
        <f>IF(Instructions!$B$1="CZ","Počáteční zásoba [ks]","Opening stock [pcs]")</f>
        <v>Počáteční zásoba [ks]</v>
      </c>
      <c r="B13" s="122" t="s">
        <v>48</v>
      </c>
      <c r="C13" s="123">
        <v>840</v>
      </c>
      <c r="D13" s="1"/>
      <c r="E13" s="1"/>
      <c r="F13" s="1"/>
      <c r="G13" s="228" t="str">
        <f>IF(Instructions!$B$1="CZ","Průzkum trhu","Market survey")</f>
        <v>Průzkum trhu</v>
      </c>
      <c r="H13" s="155">
        <f>'Q1'!H13</f>
        <v>0</v>
      </c>
      <c r="I13" s="186">
        <f>B79</f>
        <v>0</v>
      </c>
      <c r="J13" s="186"/>
      <c r="K13" s="156"/>
      <c r="L13" s="142">
        <f>H13+I13</f>
        <v>0</v>
      </c>
    </row>
    <row r="14" spans="1:12" x14ac:dyDescent="0.3">
      <c r="A14" s="3" t="str">
        <f>IF(Instructions!$B$1="CZ","Plánovaná výroba [ks]","Planned production [pcs]")</f>
        <v>Plánovaná výroba [ks]</v>
      </c>
      <c r="B14" s="122" t="s">
        <v>48</v>
      </c>
      <c r="C14" s="123">
        <v>525</v>
      </c>
      <c r="D14" s="121"/>
      <c r="E14" s="121"/>
      <c r="F14" s="1"/>
      <c r="G14" s="226" t="str">
        <f>IF(Instructions!$B$1="CZ","Cena stolu","Price of Desks")</f>
        <v>Cena stolu</v>
      </c>
      <c r="H14" s="147">
        <f>'Q1'!H14</f>
        <v>1170</v>
      </c>
      <c r="I14" s="122" t="str">
        <f>B5</f>
        <v>1 190</v>
      </c>
      <c r="J14" s="122"/>
      <c r="K14" s="148"/>
      <c r="L14" s="200"/>
    </row>
    <row r="15" spans="1:12" x14ac:dyDescent="0.3">
      <c r="A15" s="3" t="str">
        <f>IF(Instructions!$B$1="CZ","Skutečná výroba [ks]","Actual production [pcs]")</f>
        <v>Skutečná výroba [ks]</v>
      </c>
      <c r="B15" s="122" t="s">
        <v>48</v>
      </c>
      <c r="C15" s="123">
        <v>525</v>
      </c>
      <c r="D15" s="1"/>
      <c r="E15" s="1"/>
      <c r="F15" s="1"/>
      <c r="G15" s="226" t="str">
        <f>IF(Instructions!$B$1="CZ","Cena skříňky","Price of cabinets")</f>
        <v>Cena skříňky</v>
      </c>
      <c r="H15" s="147">
        <f>'Q1'!H15</f>
        <v>2453</v>
      </c>
      <c r="I15" s="122" t="str">
        <f>C5</f>
        <v>2 507</v>
      </c>
      <c r="J15" s="122"/>
      <c r="K15" s="148"/>
      <c r="L15" s="200"/>
    </row>
    <row r="16" spans="1:12" ht="16.2" thickBot="1" x14ac:dyDescent="0.35">
      <c r="A16" s="4" t="str">
        <f>IF(Instructions!$B$1="CZ","Konečná zásoba [ks]","Inventory [pcs]")</f>
        <v>Konečná zásoba [ks]</v>
      </c>
      <c r="B16" s="122" t="s">
        <v>49</v>
      </c>
      <c r="C16" s="123">
        <v>875</v>
      </c>
      <c r="D16" s="1"/>
      <c r="E16" s="1"/>
      <c r="F16" s="1"/>
      <c r="G16" s="229" t="str">
        <f>IF(Instructions!$B$1="CZ","Náklady neuspokojené poptávky","Out-of-stock costs")</f>
        <v>Náklady neuspokojené poptávky</v>
      </c>
      <c r="H16" s="160">
        <f>'Q1'!H16</f>
        <v>60100</v>
      </c>
      <c r="I16" s="10" t="str">
        <f>B81</f>
        <v>47 975</v>
      </c>
      <c r="J16" s="10"/>
      <c r="K16" s="161"/>
      <c r="L16" s="153">
        <f>H16+I16</f>
        <v>108075</v>
      </c>
    </row>
    <row r="17" spans="1:12" ht="16.2" thickBot="1" x14ac:dyDescent="0.35">
      <c r="D17" s="1"/>
      <c r="E17" s="1"/>
      <c r="F17" s="1"/>
      <c r="G17" s="230" t="str">
        <f>IF(Instructions!$B$1="CZ","Počet strojů","Capacity")</f>
        <v>Počet strojů</v>
      </c>
      <c r="H17" s="163">
        <f>'Q1'!H17</f>
        <v>3</v>
      </c>
      <c r="I17" s="164">
        <v>3</v>
      </c>
      <c r="J17" s="164"/>
      <c r="K17" s="165"/>
      <c r="L17" s="300"/>
    </row>
    <row r="18" spans="1:12" ht="17.399999999999999" x14ac:dyDescent="0.3">
      <c r="A18" s="338" t="str">
        <f>IF(Instructions!$B$1="CZ","ZÁSOBOVÁNÍ","PROCUREMENT")</f>
        <v>ZÁSOBOVÁNÍ</v>
      </c>
      <c r="B18" s="339"/>
      <c r="C18" s="340"/>
      <c r="D18" s="218"/>
      <c r="E18" s="1"/>
      <c r="G18" s="231" t="str">
        <f>IF(Instructions!$B$1="CZ","Výroba - plán [%]","Production - plan [%]")</f>
        <v>Výroba - plán [%]</v>
      </c>
      <c r="H18" s="205"/>
      <c r="I18" s="206"/>
      <c r="J18" s="164"/>
      <c r="K18" s="165"/>
      <c r="L18" s="166"/>
    </row>
    <row r="19" spans="1:12" x14ac:dyDescent="0.3">
      <c r="A19" s="6" t="str">
        <f>IF(Instructions!$B$1="CZ","SUROVINA","RAW MATERIAL")</f>
        <v>SUROVINA</v>
      </c>
      <c r="B19" s="7" t="str">
        <f>IF(Instructions!$B$1="CZ","DŘEVO","WOOD")</f>
        <v>DŘEVO</v>
      </c>
      <c r="C19" s="5" t="str">
        <f>IF(Instructions!$B$1="CZ","KOV","METAL")</f>
        <v>KOV</v>
      </c>
      <c r="E19" s="2"/>
      <c r="G19" s="231" t="str">
        <f>IF(Instructions!$B$1="CZ","Výroba - stutečnost [%]","Production - reality [%]")</f>
        <v>Výroba - stutečnost [%]</v>
      </c>
      <c r="H19" s="205"/>
      <c r="I19" s="209"/>
      <c r="J19" s="150"/>
      <c r="K19" s="178"/>
      <c r="L19" s="158"/>
    </row>
    <row r="20" spans="1:12" x14ac:dyDescent="0.3">
      <c r="A20" s="3" t="str">
        <f>IF(Instructions!$B$1="CZ","Počáteční zásoba [kg]","Opening stock [kg]")</f>
        <v>Počáteční zásoba [kg]</v>
      </c>
      <c r="B20" s="122">
        <v>600</v>
      </c>
      <c r="C20" s="123">
        <v>700</v>
      </c>
      <c r="D20" s="1"/>
      <c r="E20" s="214"/>
      <c r="G20" s="232" t="str">
        <f>IF(Instructions!$B$1="CZ","Zaměstnanci - celkem","Employees - total")</f>
        <v>Zaměstnanci - celkem</v>
      </c>
      <c r="H20" s="163">
        <f>'Q1'!H20</f>
        <v>29</v>
      </c>
      <c r="I20" s="164">
        <f>E27/E28</f>
        <v>31</v>
      </c>
      <c r="J20" s="164"/>
      <c r="K20" s="165"/>
      <c r="L20" s="300"/>
    </row>
    <row r="21" spans="1:12" x14ac:dyDescent="0.3">
      <c r="A21" s="3" t="str">
        <f>IF(Instructions!$B$1="CZ","Nákup [kg]","Purchase [kg]")</f>
        <v>Nákup [kg]</v>
      </c>
      <c r="B21" s="122" t="s">
        <v>50</v>
      </c>
      <c r="C21" s="123" t="s">
        <v>51</v>
      </c>
      <c r="D21" s="1"/>
      <c r="E21" s="214"/>
      <c r="G21" s="232" t="str">
        <f>IF(Instructions!$B$1="CZ","Zaměstnanci - aktivní","Employees - active")</f>
        <v>Zaměstnanci - aktivní</v>
      </c>
      <c r="H21" s="147">
        <f>'Q1'!H21</f>
        <v>27</v>
      </c>
      <c r="I21" s="144">
        <f>IF(B32&lt;90,INT(I20*0.75),IF(B32&lt;100,INT(I20*0.85),IF(B32&lt;110,INT(I20*0.95),I20)))</f>
        <v>29</v>
      </c>
      <c r="J21" s="164"/>
      <c r="K21" s="165"/>
      <c r="L21" s="300"/>
    </row>
    <row r="22" spans="1:12" x14ac:dyDescent="0.3">
      <c r="A22" s="3" t="str">
        <f>IF(Instructions!$B$1="CZ","Cena [Kč za kg]","Price [CZK per kg]")</f>
        <v>Cena [Kč za kg]</v>
      </c>
      <c r="B22" s="217" t="s">
        <v>52</v>
      </c>
      <c r="C22" s="216">
        <v>15</v>
      </c>
      <c r="D22" s="121"/>
      <c r="E22" s="215"/>
      <c r="G22" s="232" t="str">
        <f>IF(Instructions!$B$1="CZ","Zaměstnanci - změna","Employees - change")</f>
        <v>Zaměstnanci - změna</v>
      </c>
      <c r="H22" s="147">
        <f>'Q1'!H22</f>
        <v>0</v>
      </c>
      <c r="I22" s="122">
        <f>I20-H20</f>
        <v>2</v>
      </c>
      <c r="J22" s="122"/>
      <c r="K22" s="148"/>
      <c r="L22" s="200"/>
    </row>
    <row r="23" spans="1:12" ht="16.2" thickBot="1" x14ac:dyDescent="0.35">
      <c r="A23" s="3" t="str">
        <f>IF(Instructions!$B$1="CZ","Spotřeba [kg]","Consumption [kg]")</f>
        <v>Spotřeba [kg]</v>
      </c>
      <c r="B23" s="122" t="s">
        <v>50</v>
      </c>
      <c r="C23" s="123" t="s">
        <v>51</v>
      </c>
      <c r="D23" s="1"/>
      <c r="E23" s="214"/>
      <c r="G23" s="232" t="str">
        <f>IF(Instructions!$B$1="CZ","Zaměstnanci - přům. náklady na pracovníka","Employees - average per employee")</f>
        <v>Zaměstnanci - přům. náklady na pracovníka</v>
      </c>
      <c r="H23" s="179">
        <f>'Q1'!H23</f>
        <v>48000</v>
      </c>
      <c r="I23" s="180" t="str">
        <f>E28</f>
        <v>48 000</v>
      </c>
      <c r="J23" s="180"/>
      <c r="K23" s="181"/>
      <c r="L23" s="196"/>
    </row>
    <row r="24" spans="1:12" ht="16.2" thickBot="1" x14ac:dyDescent="0.35">
      <c r="A24" s="4" t="str">
        <f>IF(Instructions!$B$1="CZ","Konečná zásoba [kg]","Inventory [kg]")</f>
        <v>Konečná zásoba [kg]</v>
      </c>
      <c r="B24" s="122">
        <v>600</v>
      </c>
      <c r="C24" s="123">
        <v>700</v>
      </c>
      <c r="D24" s="1"/>
      <c r="E24" s="214"/>
      <c r="G24" s="233" t="str">
        <f>IF(Instructions!$B$1="CZ","Nedodržení plánované výroby","Production cut-backs")</f>
        <v>Nedodržení plánované výroby</v>
      </c>
      <c r="H24" s="182">
        <f>'Q1'!H24</f>
        <v>0</v>
      </c>
      <c r="I24" s="183">
        <v>0</v>
      </c>
      <c r="J24" s="183"/>
      <c r="K24" s="184"/>
      <c r="L24" s="185"/>
    </row>
    <row r="25" spans="1:12" ht="16.2" thickBot="1" x14ac:dyDescent="0.35">
      <c r="D25" s="1"/>
      <c r="E25" s="1"/>
      <c r="G25" s="234" t="str">
        <f>IF(Instructions!$B$1="CZ","Suroviny - nákup","Raw materials - purchase")</f>
        <v>Suroviny - nákup</v>
      </c>
      <c r="H25" s="155">
        <f>'Q1'!H25</f>
        <v>1076474</v>
      </c>
      <c r="I25" s="186" t="str">
        <f>B46</f>
        <v>1 373 850</v>
      </c>
      <c r="J25" s="186"/>
      <c r="K25" s="187"/>
      <c r="L25" s="301"/>
    </row>
    <row r="26" spans="1:12" ht="17.399999999999999" x14ac:dyDescent="0.3">
      <c r="A26" s="332" t="str">
        <f>IF(Instructions!$B$1="CZ","LIDSKÉ ZDROJE","HUMAN RESOURCES")</f>
        <v>LIDSKÉ ZDROJE</v>
      </c>
      <c r="B26" s="333"/>
      <c r="C26" s="333"/>
      <c r="D26" s="333"/>
      <c r="E26" s="334"/>
      <c r="G26" s="235" t="str">
        <f>IF(Instructions!$B$1="CZ","Suroviny - sleva","Raw materials - discount")</f>
        <v>Suroviny - sleva</v>
      </c>
      <c r="H26" s="143">
        <f>'Q1'!H26</f>
        <v>0</v>
      </c>
      <c r="I26" s="144">
        <f>RawData!N103</f>
        <v>0</v>
      </c>
      <c r="J26" s="164"/>
      <c r="K26" s="208"/>
      <c r="L26" s="302"/>
    </row>
    <row r="27" spans="1:12" x14ac:dyDescent="0.3">
      <c r="A27" s="128" t="str">
        <f>IF(Instructions!$B$1="CZ","Základní index","Base index")</f>
        <v>Základní index</v>
      </c>
      <c r="B27" s="1">
        <v>100</v>
      </c>
      <c r="D27" t="str">
        <f>IF(Instructions!$B$1="CZ","Pracovní náklady","Labour costs")</f>
        <v>Pracovní náklady</v>
      </c>
      <c r="E27" s="294" t="s">
        <v>53</v>
      </c>
      <c r="F27" s="1"/>
      <c r="G27" s="236" t="str">
        <f>IF(Instructions!$B$1="CZ","Suroviny - zásoba","Raw materials - stock")</f>
        <v>Suroviny - zásoba</v>
      </c>
      <c r="H27" s="143">
        <f>'Q1'!H27</f>
        <v>23345</v>
      </c>
      <c r="I27" s="144" t="str">
        <f>B59</f>
        <v>25 800</v>
      </c>
      <c r="J27" s="144"/>
      <c r="K27" s="191"/>
      <c r="L27" s="303"/>
    </row>
    <row r="28" spans="1:12" ht="16.2" thickBot="1" x14ac:dyDescent="0.35">
      <c r="A28" s="128" t="str">
        <f>IF(Instructions!$B$1="CZ","Mzdový index","Wage index")</f>
        <v>Mzdový index</v>
      </c>
      <c r="B28" s="1">
        <v>100</v>
      </c>
      <c r="D28" t="str">
        <f>IF(Instructions!$B$1="CZ","Prům. náklady na pracovníka","Average per employee")</f>
        <v>Prům. náklady na pracovníka</v>
      </c>
      <c r="E28" s="294" t="s">
        <v>54</v>
      </c>
      <c r="G28" s="237" t="str">
        <f>IF(Instructions!$B$1="CZ","Suroviny - skladovací náklady","Raw materials - storage costs")</f>
        <v>Suroviny - skladovací náklady</v>
      </c>
      <c r="H28" s="192">
        <f>'Q1'!H28</f>
        <v>650</v>
      </c>
      <c r="I28" s="126">
        <f>B82</f>
        <v>650</v>
      </c>
      <c r="J28" s="126"/>
      <c r="K28" s="127"/>
      <c r="L28" s="193"/>
    </row>
    <row r="29" spans="1:12" x14ac:dyDescent="0.3">
      <c r="A29" s="128" t="str">
        <f>IF(Instructions!$B$1="CZ","Změna mzdového indexu","Change in wage level")</f>
        <v>Změna mzdového indexu</v>
      </c>
      <c r="B29" s="1">
        <v>0</v>
      </c>
      <c r="E29" s="129"/>
      <c r="G29" s="238" t="str">
        <f>IF(Instructions!$B$1="CZ","Výrobky - zásoba","Products - stock")</f>
        <v>Výrobky - zásoba</v>
      </c>
      <c r="H29" s="155">
        <f>'Q1'!H29</f>
        <v>4626000</v>
      </c>
      <c r="I29" s="186" t="str">
        <f>B60</f>
        <v>4 740 000</v>
      </c>
      <c r="J29" s="186"/>
      <c r="K29" s="156"/>
      <c r="L29" s="142"/>
    </row>
    <row r="30" spans="1:12" ht="16.2" thickBot="1" x14ac:dyDescent="0.35">
      <c r="A30" s="128" t="str">
        <f>IF(Instructions!$B$1="CZ","Vzdělávání","Training")</f>
        <v>Vzdělávání</v>
      </c>
      <c r="B30" s="1">
        <v>0</v>
      </c>
      <c r="E30" s="129"/>
      <c r="G30" s="237" t="str">
        <f>IF(Instructions!$B$1="CZ","Výrobky - skladovací náklady","Products - storage costs")</f>
        <v>Výrobky - skladovací náklady</v>
      </c>
      <c r="H30" s="192">
        <f>'Q1'!H30</f>
        <v>30150</v>
      </c>
      <c r="I30" s="126" t="str">
        <f>B83</f>
        <v>30 750</v>
      </c>
      <c r="J30" s="126"/>
      <c r="K30" s="195"/>
      <c r="L30" s="196"/>
    </row>
    <row r="31" spans="1:12" x14ac:dyDescent="0.3">
      <c r="A31" s="128" t="str">
        <f>IF(Instructions!$B$1="CZ","Vliv kokurence","Influence of competition")</f>
        <v>Vliv kokurence</v>
      </c>
      <c r="B31" s="1">
        <v>0</v>
      </c>
      <c r="E31" s="129"/>
      <c r="G31" s="238" t="s">
        <v>17</v>
      </c>
      <c r="H31" s="197">
        <f>'Q1'!H31</f>
        <v>100</v>
      </c>
      <c r="I31" s="198">
        <f>B32</f>
        <v>100</v>
      </c>
      <c r="J31" s="198"/>
      <c r="K31" s="199"/>
      <c r="L31" s="142"/>
    </row>
    <row r="32" spans="1:12" ht="16.2" thickBot="1" x14ac:dyDescent="0.35">
      <c r="A32" s="130" t="str">
        <f>IF(Instructions!$B$1="CZ","Nový index","New index")</f>
        <v>Nový index</v>
      </c>
      <c r="B32" s="131">
        <v>100</v>
      </c>
      <c r="C32" s="132"/>
      <c r="D32" s="132"/>
      <c r="E32" s="133"/>
      <c r="G32" s="231" t="str">
        <f>IF(Instructions!$B$1="CZ","Průměrný PI na trhu","PI - market average")</f>
        <v>Průměrný PI na trhu</v>
      </c>
      <c r="H32" s="143">
        <f>'Q1'!H32</f>
        <v>100</v>
      </c>
      <c r="I32" s="144">
        <v>100</v>
      </c>
      <c r="J32" s="125"/>
      <c r="K32" s="145"/>
      <c r="L32" s="200"/>
    </row>
    <row r="33" spans="1:12" x14ac:dyDescent="0.3">
      <c r="G33" s="232" t="str">
        <f>IF(Instructions!$B$1="CZ","Mzdový index","Wage index")</f>
        <v>Mzdový index</v>
      </c>
      <c r="H33" s="147">
        <f>'Q1'!H33</f>
        <v>100</v>
      </c>
      <c r="I33" s="122">
        <f>B28</f>
        <v>100</v>
      </c>
      <c r="J33" s="122"/>
      <c r="K33" s="148"/>
      <c r="L33" s="200"/>
    </row>
    <row r="34" spans="1:12" ht="18" thickBot="1" x14ac:dyDescent="0.35">
      <c r="A34" s="341" t="s">
        <v>18</v>
      </c>
      <c r="B34" s="341"/>
      <c r="C34" s="134"/>
      <c r="D34" s="134"/>
      <c r="E34" s="134"/>
      <c r="G34" s="239" t="str">
        <f>IF(Instructions!$B$1="CZ","Vzdělávání","Training")</f>
        <v>Vzdělávání</v>
      </c>
      <c r="H34" s="192">
        <f>'Q1'!H34</f>
        <v>0</v>
      </c>
      <c r="I34" s="126">
        <f>B30</f>
        <v>0</v>
      </c>
      <c r="J34" s="126"/>
      <c r="K34" s="195"/>
      <c r="L34" s="201"/>
    </row>
    <row r="35" spans="1:12" x14ac:dyDescent="0.3">
      <c r="A35" s="224" t="str">
        <f>IF(Instructions!$B$1="CZ","VÝCHOZÍ STAV HOTOVOSTI","OPENING BALANCE")</f>
        <v>VÝCHOZÍ STAV HOTOVOSTI</v>
      </c>
      <c r="B35" s="125" t="s">
        <v>55</v>
      </c>
      <c r="G35" s="234" t="str">
        <f>IF(Instructions!$B$1="CZ","Úvěry","Credits")</f>
        <v>Úvěry</v>
      </c>
      <c r="H35" s="163">
        <f>'Q1'!H35</f>
        <v>0</v>
      </c>
      <c r="I35" s="164">
        <f>B37</f>
        <v>0</v>
      </c>
      <c r="J35" s="164"/>
      <c r="K35" s="165"/>
      <c r="L35" s="300"/>
    </row>
    <row r="36" spans="1:12" x14ac:dyDescent="0.3">
      <c r="A36" s="224" t="str">
        <f>IF(Instructions!$B$1="CZ","Tržby","Sales revenues")</f>
        <v>Tržby</v>
      </c>
      <c r="B36" s="125" t="s">
        <v>56</v>
      </c>
      <c r="C36" s="1"/>
      <c r="G36" s="232" t="str">
        <f>IF(Instructions!$B$1="CZ","Splátky","Repayments")</f>
        <v>Splátky</v>
      </c>
      <c r="H36" s="147">
        <f>'Q1'!H36</f>
        <v>0</v>
      </c>
      <c r="I36" s="122">
        <f>B45</f>
        <v>0</v>
      </c>
      <c r="J36" s="122"/>
      <c r="K36" s="148"/>
      <c r="L36" s="200"/>
    </row>
    <row r="37" spans="1:12" x14ac:dyDescent="0.3">
      <c r="A37" s="224" t="str">
        <f>IF(Instructions!$B$1="CZ","Investiční úvěry","Investment credits")</f>
        <v>Investiční úvěry</v>
      </c>
      <c r="B37" s="125">
        <v>0</v>
      </c>
      <c r="G37" s="232" t="str">
        <f>IF(Instructions!$B$1="CZ","Překlenovací úvěr","Extended credit")</f>
        <v>Překlenovací úvěr</v>
      </c>
      <c r="H37" s="143">
        <f>'Q1'!H37</f>
        <v>0</v>
      </c>
      <c r="I37" s="144">
        <f>B38</f>
        <v>0</v>
      </c>
      <c r="J37" s="144"/>
      <c r="K37" s="145"/>
      <c r="L37" s="200"/>
    </row>
    <row r="38" spans="1:12" ht="16.2" thickBot="1" x14ac:dyDescent="0.35">
      <c r="A38" s="224" t="str">
        <f>IF(Instructions!$B$1="CZ","Překlenovací úvěr","Extended credit")</f>
        <v>Překlenovací úvěr</v>
      </c>
      <c r="B38" s="125">
        <v>0</v>
      </c>
      <c r="G38" s="240" t="str">
        <f>IF(Instructions!$B$1="CZ","Hotovost","Cash")</f>
        <v>Hotovost</v>
      </c>
      <c r="H38" s="151">
        <f>'Q1'!H38</f>
        <v>1147756</v>
      </c>
      <c r="I38" s="154" t="str">
        <f>B54</f>
        <v>1 393 461</v>
      </c>
      <c r="J38" s="154"/>
      <c r="K38" s="152"/>
      <c r="L38" s="304"/>
    </row>
    <row r="39" spans="1:12" ht="16.2" thickBot="1" x14ac:dyDescent="0.35">
      <c r="A39" s="224" t="str">
        <f>IF(Instructions!$B$1="CZ","Mimořádné příjmy","Extraordinary incomes")</f>
        <v>Mimořádné příjmy</v>
      </c>
      <c r="B39" s="125">
        <v>0</v>
      </c>
      <c r="G39" s="233" t="str">
        <f>IF(Instructions!$B$1="CZ","Cena akcie","Stockprice")</f>
        <v>Cena akcie</v>
      </c>
      <c r="H39" s="202">
        <f>'Q1'!H39</f>
        <v>66.75</v>
      </c>
      <c r="I39" s="203" t="str">
        <f>B65</f>
        <v>64,33</v>
      </c>
      <c r="J39" s="203"/>
      <c r="K39" s="204"/>
      <c r="L39" s="185"/>
    </row>
    <row r="40" spans="1:12" x14ac:dyDescent="0.3">
      <c r="A40" s="224" t="str">
        <f>IF(Instructions!$B$1="CZ","PŘÍJMY CELKEM","TOTAL REVENUES")</f>
        <v>PŘÍJMY CELKEM</v>
      </c>
      <c r="B40" s="125" t="s">
        <v>56</v>
      </c>
    </row>
    <row r="41" spans="1:12" x14ac:dyDescent="0.3">
      <c r="A41" s="224" t="str">
        <f>IF(Instructions!$B$1="CZ","Investice","Investments")</f>
        <v>Investice</v>
      </c>
      <c r="B41" s="125">
        <v>0</v>
      </c>
      <c r="C41" s="1"/>
    </row>
    <row r="42" spans="1:12" x14ac:dyDescent="0.3">
      <c r="A42" s="224" t="str">
        <f>IF(Instructions!$B$1="CZ","Marketingové oddělení","Marketing department")</f>
        <v>Marketingové oddělení</v>
      </c>
      <c r="B42" s="125" t="s">
        <v>57</v>
      </c>
      <c r="C42" s="1"/>
    </row>
    <row r="43" spans="1:12" x14ac:dyDescent="0.3">
      <c r="A43" s="224" t="str">
        <f>IF(Instructions!$B$1="CZ","Průzkumy","Market research")</f>
        <v>Průzkumy</v>
      </c>
      <c r="B43" s="125">
        <v>0</v>
      </c>
      <c r="C43" s="1"/>
    </row>
    <row r="44" spans="1:12" x14ac:dyDescent="0.3">
      <c r="A44" s="224" t="str">
        <f>IF(Instructions!$B$1="CZ","Úroky","Interests")</f>
        <v>Úroky</v>
      </c>
      <c r="B44" s="125">
        <v>0</v>
      </c>
      <c r="C44" s="1"/>
    </row>
    <row r="45" spans="1:12" x14ac:dyDescent="0.3">
      <c r="A45" s="224" t="str">
        <f>IF(Instructions!$B$1="CZ","Splátky","Repayments")</f>
        <v>Splátky</v>
      </c>
      <c r="B45" s="125">
        <v>0</v>
      </c>
      <c r="C45" s="1"/>
    </row>
    <row r="46" spans="1:12" x14ac:dyDescent="0.3">
      <c r="A46" s="224" t="str">
        <f>IF(Instructions!$B$1="CZ","Materiál","Material")</f>
        <v>Materiál</v>
      </c>
      <c r="B46" s="125" t="s">
        <v>58</v>
      </c>
      <c r="C46" s="1"/>
    </row>
    <row r="47" spans="1:12" x14ac:dyDescent="0.3">
      <c r="A47" s="224" t="str">
        <f>IF(Instructions!$B$1="CZ","Výroba","Production")</f>
        <v>Výroba</v>
      </c>
      <c r="B47" s="125" t="s">
        <v>59</v>
      </c>
      <c r="C47" s="1"/>
    </row>
    <row r="48" spans="1:12" x14ac:dyDescent="0.3">
      <c r="A48" s="224" t="str">
        <f>IF(Instructions!$B$1="CZ","Neuspokojená poptávka","Out-of-stock costs")</f>
        <v>Neuspokojená poptávka</v>
      </c>
      <c r="B48" s="125" t="s">
        <v>60</v>
      </c>
      <c r="C48" s="1"/>
      <c r="E48" s="1"/>
    </row>
    <row r="49" spans="1:5" x14ac:dyDescent="0.3">
      <c r="A49" s="224" t="str">
        <f>IF(Instructions!$B$1="CZ","Skladování materiálu","Storage costs - raw materials")</f>
        <v>Skladování materiálu</v>
      </c>
      <c r="B49" s="125">
        <v>650</v>
      </c>
      <c r="C49" s="1"/>
      <c r="E49" s="1"/>
    </row>
    <row r="50" spans="1:5" x14ac:dyDescent="0.3">
      <c r="A50" s="224" t="str">
        <f>IF(Instructions!$B$1="CZ","Skladování výrobků","Storage costs - end products")</f>
        <v>Skladování výrobků</v>
      </c>
      <c r="B50" s="125" t="s">
        <v>61</v>
      </c>
      <c r="C50" s="1"/>
      <c r="E50" s="1"/>
    </row>
    <row r="51" spans="1:5" x14ac:dyDescent="0.3">
      <c r="A51" s="224" t="str">
        <f>IF(Instructions!$B$1="CZ","Daně","Taxes")</f>
        <v>Daně</v>
      </c>
      <c r="B51" s="125">
        <v>0</v>
      </c>
    </row>
    <row r="52" spans="1:5" x14ac:dyDescent="0.3">
      <c r="A52" s="224" t="str">
        <f>IF(Instructions!$B$1="CZ","Mimořádné výdaje","Extraordinary expenses")</f>
        <v>Mimořádné výdaje</v>
      </c>
      <c r="B52" s="125">
        <v>0</v>
      </c>
    </row>
    <row r="53" spans="1:5" x14ac:dyDescent="0.3">
      <c r="A53" s="224" t="str">
        <f>IF(Instructions!$B$1="CZ","VÝDAJE CELKEM","TOTAL EXPENSES")</f>
        <v>VÝDAJE CELKEM</v>
      </c>
      <c r="B53" s="125" t="s">
        <v>62</v>
      </c>
      <c r="E53" s="1"/>
    </row>
    <row r="54" spans="1:5" x14ac:dyDescent="0.3">
      <c r="A54" s="224" t="str">
        <f>IF(Instructions!$B$1="CZ","KONEČNÝ STAV HOTOVOSTI","CASH BALANCE")</f>
        <v>KONEČNÝ STAV HOTOVOSTI</v>
      </c>
      <c r="B54" s="125" t="s">
        <v>63</v>
      </c>
      <c r="E54" s="1"/>
    </row>
    <row r="55" spans="1:5" ht="16.2" thickBot="1" x14ac:dyDescent="0.35">
      <c r="E55" s="1"/>
    </row>
    <row r="56" spans="1:5" ht="17.399999999999999" x14ac:dyDescent="0.3">
      <c r="A56" s="332" t="str">
        <f>IF(Instructions!$B$1="CZ","ROZVAHA","BALANCE SHEET")</f>
        <v>ROZVAHA</v>
      </c>
      <c r="B56" s="333"/>
      <c r="C56" s="333"/>
      <c r="D56" s="333"/>
      <c r="E56" s="334"/>
    </row>
    <row r="57" spans="1:5" x14ac:dyDescent="0.3">
      <c r="A57" s="128" t="str">
        <f>IF(Instructions!$B$1="CZ","Budovy","Buildings")</f>
        <v>Budovy</v>
      </c>
      <c r="B57" s="297" t="s">
        <v>64</v>
      </c>
      <c r="D57" t="str">
        <f>IF(Instructions!$B$1="CZ","Vlastní kapitál","Equity")</f>
        <v>Vlastní kapitál</v>
      </c>
      <c r="E57" t="s">
        <v>65</v>
      </c>
    </row>
    <row r="58" spans="1:5" x14ac:dyDescent="0.3">
      <c r="A58" s="128" t="str">
        <f>IF(Instructions!$B$1="CZ","Stroje","Machines")</f>
        <v>Stroje</v>
      </c>
      <c r="B58" s="297" t="s">
        <v>66</v>
      </c>
      <c r="D58" t="str">
        <f>IF(Instructions!$B$1="CZ","Úvěry","Credits")</f>
        <v>Úvěry</v>
      </c>
      <c r="E58">
        <v>0</v>
      </c>
    </row>
    <row r="59" spans="1:5" x14ac:dyDescent="0.3">
      <c r="A59" s="128" t="str">
        <f>IF(Instructions!$B$1="CZ","Suroviny","Raw materials")</f>
        <v>Suroviny</v>
      </c>
      <c r="B59" s="297" t="s">
        <v>51</v>
      </c>
      <c r="D59" t="str">
        <f>IF(Instructions!$B$1="CZ","Překlenovací úvěr","Extended credit")</f>
        <v>Překlenovací úvěr</v>
      </c>
      <c r="E59">
        <v>0</v>
      </c>
    </row>
    <row r="60" spans="1:5" x14ac:dyDescent="0.3">
      <c r="A60" s="128" t="str">
        <f>IF(Instructions!$B$1="CZ","Hotové výrobky","End products")</f>
        <v>Hotové výrobky</v>
      </c>
      <c r="B60" s="297" t="s">
        <v>67</v>
      </c>
      <c r="D60" t="str">
        <f>IF(Instructions!$B$1="CZ","Daně","Taxes")</f>
        <v>Daně</v>
      </c>
      <c r="E60">
        <v>0</v>
      </c>
    </row>
    <row r="61" spans="1:5" x14ac:dyDescent="0.3">
      <c r="A61" s="128" t="str">
        <f>IF(Instructions!$B$1="CZ","Hotovost","Cash")</f>
        <v>Hotovost</v>
      </c>
      <c r="B61" s="297" t="s">
        <v>63</v>
      </c>
      <c r="E61" s="71"/>
    </row>
    <row r="62" spans="1:5" ht="16.2" thickBot="1" x14ac:dyDescent="0.35">
      <c r="A62" s="130" t="str">
        <f>IF(Instructions!$B$1="CZ","CELKEM","TOTAL")</f>
        <v>CELKEM</v>
      </c>
      <c r="B62" s="298" t="s">
        <v>68</v>
      </c>
      <c r="C62" s="132"/>
      <c r="D62" s="132" t="str">
        <f>IF(Instructions!$B$1="CZ","CELKEM","TOTAL")</f>
        <v>CELKEM</v>
      </c>
      <c r="E62" s="149" t="s">
        <v>68</v>
      </c>
    </row>
    <row r="63" spans="1:5" ht="16.2" thickBot="1" x14ac:dyDescent="0.35">
      <c r="E63" s="1"/>
    </row>
    <row r="64" spans="1:5" ht="17.399999999999999" x14ac:dyDescent="0.3">
      <c r="A64" s="332" t="s">
        <v>19</v>
      </c>
      <c r="B64" s="334"/>
      <c r="D64" s="1"/>
    </row>
    <row r="65" spans="1:13" x14ac:dyDescent="0.3">
      <c r="A65" s="3" t="str">
        <f>Instructions!B5</f>
        <v>Byte Strategists</v>
      </c>
      <c r="B65" s="283" t="s">
        <v>69</v>
      </c>
    </row>
    <row r="66" spans="1:13" x14ac:dyDescent="0.3">
      <c r="A66" s="3" t="s">
        <v>20</v>
      </c>
      <c r="B66" s="283" t="s">
        <v>69</v>
      </c>
      <c r="M66" s="1"/>
    </row>
    <row r="67" spans="1:13" x14ac:dyDescent="0.3">
      <c r="A67" s="3" t="s">
        <v>21</v>
      </c>
      <c r="B67" s="283" t="s">
        <v>69</v>
      </c>
    </row>
    <row r="68" spans="1:13" x14ac:dyDescent="0.3">
      <c r="A68" s="3" t="s">
        <v>22</v>
      </c>
      <c r="B68" s="283" t="s">
        <v>69</v>
      </c>
    </row>
    <row r="69" spans="1:13" ht="16.2" thickBot="1" x14ac:dyDescent="0.35">
      <c r="A69" s="4" t="s">
        <v>23</v>
      </c>
      <c r="B69" s="284" t="s">
        <v>69</v>
      </c>
    </row>
    <row r="70" spans="1:13" ht="16.2" thickBot="1" x14ac:dyDescent="0.35"/>
    <row r="71" spans="1:13" ht="18" thickBot="1" x14ac:dyDescent="0.35">
      <c r="A71" s="336" t="str">
        <f>IF(Instructions!$B$1="CZ","VÝKAZ ZISKŮ A ZTRÁT","PROFIT AND LOSS ACCOUNT")</f>
        <v>VÝKAZ ZISKŮ A ZTRÁT</v>
      </c>
      <c r="B71" s="337"/>
      <c r="G71" s="7" t="str">
        <f>IF(Instructions!$B$1="CZ","Ziskovost-STOLY","Profitability-DESKS")</f>
        <v>Ziskovost-STOLY</v>
      </c>
      <c r="H71" s="7" t="str">
        <f>IF(Instructions!$B$1="CZ","SKŘÍŇKY","CABINETS")</f>
        <v>SKŘÍŇKY</v>
      </c>
    </row>
    <row r="72" spans="1:13" x14ac:dyDescent="0.3">
      <c r="A72" s="157" t="str">
        <f>IF(Instructions!$B$1="CZ","Tržby","Sales revenues")</f>
        <v>Tržby</v>
      </c>
      <c r="B72" s="293" t="s">
        <v>56</v>
      </c>
      <c r="D72" s="1"/>
      <c r="G72" s="62" t="str">
        <f>B9</f>
        <v>2 558 500</v>
      </c>
      <c r="H72" s="62" t="str">
        <f>C9</f>
        <v>1 228 430</v>
      </c>
    </row>
    <row r="73" spans="1:13" x14ac:dyDescent="0.3">
      <c r="A73" s="128" t="str">
        <f>IF(Instructions!$B$1="CZ","Náklady prodaných výrobků","Costs of goods sold")</f>
        <v>Náklady prodaných výrobků</v>
      </c>
      <c r="B73" s="294" t="s">
        <v>70</v>
      </c>
      <c r="C73" s="1"/>
      <c r="D73" s="1"/>
      <c r="G73" s="62">
        <f>SUM(G74:G76)</f>
        <v>2327806.4545454546</v>
      </c>
      <c r="H73" s="62">
        <f>SUM(H74:H76)</f>
        <v>670928.54545454541</v>
      </c>
    </row>
    <row r="74" spans="1:13" x14ac:dyDescent="0.3">
      <c r="A74" s="128" t="str">
        <f>IF(Instructions!$B$1="CZ","   Suroviny prodaných výrobků","   Raw materials in sold products")</f>
        <v xml:space="preserve">   Suroviny prodaných výrobků</v>
      </c>
      <c r="B74" s="159" t="s">
        <v>71</v>
      </c>
      <c r="C74" s="1"/>
      <c r="D74" s="1"/>
      <c r="E74" s="1"/>
      <c r="G74" s="62">
        <f>'Q1'!B20*Data!F9+Data!F10*'Q1'!C20+(B8*Data!F15-'Q1'!B20)*'Q1'!B22+(B8*Data!F16-'Q1'!C20)*'Q1'!C22</f>
        <v>779511</v>
      </c>
      <c r="H74" s="62">
        <f>('Q1'!C13-'Q1'!C8)*(Data!G15*Data!F9+Data!F10*Data!G16)+(C8-'Q1'!C13+'Q1'!C8)*('Q1'!B22*Data!G15+Data!G16*'Q1'!C22)</f>
        <v>395224</v>
      </c>
    </row>
    <row r="75" spans="1:13" x14ac:dyDescent="0.3">
      <c r="A75" s="128" t="str">
        <f>IF(Instructions!$B$1="CZ","   Výrobní náklady","   Production costs")</f>
        <v xml:space="preserve">   Výrobní náklady</v>
      </c>
      <c r="B75" s="159" t="s">
        <v>59</v>
      </c>
      <c r="C75" s="1"/>
      <c r="E75" s="1"/>
      <c r="G75" s="62">
        <f>B8/(B8+C8)*B75</f>
        <v>1578295.4545454546</v>
      </c>
      <c r="H75" s="62">
        <f>C8/(B8+C8)*B75</f>
        <v>359704.54545454547</v>
      </c>
    </row>
    <row r="76" spans="1:13" x14ac:dyDescent="0.3">
      <c r="A76" s="157" t="str">
        <f>IF(Instructions!$B$1="CZ","   Změna stavu zásob výrobků","   Change of stock - end products")</f>
        <v xml:space="preserve">   Změna stavu zásob výrobků</v>
      </c>
      <c r="B76" s="167">
        <v>-114000</v>
      </c>
      <c r="C76" s="1"/>
      <c r="D76" s="297"/>
      <c r="G76" s="62">
        <f>(B13-B16)*Data!B9</f>
        <v>-30000</v>
      </c>
      <c r="H76" s="62">
        <f>(C13-C16)*Data!B10</f>
        <v>-84000</v>
      </c>
    </row>
    <row r="77" spans="1:13" ht="16.2" thickBot="1" x14ac:dyDescent="0.35">
      <c r="A77" s="130" t="str">
        <f>IF(Instructions!$B$1="CZ","Hrubý zisk","Gross result")</f>
        <v>Hrubý zisk</v>
      </c>
      <c r="B77" s="295" t="s">
        <v>72</v>
      </c>
      <c r="C77" s="1"/>
      <c r="D77" s="1"/>
      <c r="E77" s="1"/>
      <c r="G77" s="62">
        <f>G72-G73</f>
        <v>230693.54545454541</v>
      </c>
      <c r="H77" s="62">
        <f>H72-H73</f>
        <v>557501.45454545459</v>
      </c>
    </row>
    <row r="78" spans="1:13" x14ac:dyDescent="0.3">
      <c r="A78" s="128" t="str">
        <f>IF(Instructions!$B$1="CZ","Nepřímé náklady","Indirect costs")</f>
        <v>Nepřímé náklady</v>
      </c>
      <c r="B78" s="294" t="s">
        <v>73</v>
      </c>
      <c r="D78" s="1"/>
      <c r="E78" s="1"/>
      <c r="G78" s="62">
        <f>SUM(G79:G83)</f>
        <v>144688.44696969696</v>
      </c>
      <c r="H78" s="62">
        <f>SUM(H79:H83)</f>
        <v>36711.553030303032</v>
      </c>
    </row>
    <row r="79" spans="1:13" x14ac:dyDescent="0.3">
      <c r="A79" s="128" t="str">
        <f>IF(Instructions!$B$1="CZ","   Průzkum trhu","   Market survey")</f>
        <v xml:space="preserve">   Průzkum trhu</v>
      </c>
      <c r="B79" s="294">
        <v>0</v>
      </c>
      <c r="D79" s="1"/>
      <c r="E79" s="1"/>
      <c r="G79" s="62">
        <f>B8/(B8+C8)*B79</f>
        <v>0</v>
      </c>
      <c r="H79" s="62">
        <f>C8/(B8+C8)*B79</f>
        <v>0</v>
      </c>
    </row>
    <row r="80" spans="1:13" x14ac:dyDescent="0.3">
      <c r="A80" s="128" t="str">
        <f>IF(Instructions!$B$1="CZ","   Marketingové oddělení","   Sales staff")</f>
        <v xml:space="preserve">   Marketingové oddělení</v>
      </c>
      <c r="B80" s="294" t="s">
        <v>57</v>
      </c>
      <c r="D80" s="320"/>
      <c r="E80" s="320"/>
      <c r="G80" s="62">
        <f>B8/(B8+C8)*B80</f>
        <v>122159.09090909091</v>
      </c>
      <c r="H80" s="62">
        <f>C8/(B8+C8)*B80</f>
        <v>27840.909090909092</v>
      </c>
    </row>
    <row r="81" spans="1:8" x14ac:dyDescent="0.3">
      <c r="A81" s="128" t="str">
        <f>IF(Instructions!$B$1="CZ","   Náklady neuspokojené poptávky","   Out-of-stock costs")</f>
        <v xml:space="preserve">   Náklady neuspokojené poptávky</v>
      </c>
      <c r="B81" s="294" t="s">
        <v>60</v>
      </c>
      <c r="D81" s="1"/>
      <c r="E81" s="1"/>
      <c r="G81" s="62">
        <f>IF(AND(B5&lt;1300,B8-B7&lt;0),(B7-B8)*25,0)</f>
        <v>0</v>
      </c>
      <c r="H81" s="62">
        <f>IF(AND(C5&lt;2800,C8-C7&lt;0),(C7-C8)*50,0)</f>
        <v>0</v>
      </c>
    </row>
    <row r="82" spans="1:8" x14ac:dyDescent="0.3">
      <c r="A82" s="128" t="str">
        <f>IF(Instructions!$B$1="CZ","   Skladovací náklady - suroviny","   Storage costs - raw materials")</f>
        <v xml:space="preserve">   Skladovací náklady - suroviny</v>
      </c>
      <c r="B82" s="294">
        <v>650</v>
      </c>
      <c r="G82" s="62">
        <f>B8/(B8+C8)*B82</f>
        <v>529.35606060606062</v>
      </c>
      <c r="H82" s="62">
        <f>C8/(B8+C8)*B82</f>
        <v>120.64393939393939</v>
      </c>
    </row>
    <row r="83" spans="1:8" x14ac:dyDescent="0.3">
      <c r="A83" s="157" t="str">
        <f>IF(Instructions!$B$1="CZ","   Skladovací náklady - výrobky","   Storage costs - end products")</f>
        <v xml:space="preserve">   Skladovací náklady - výrobky</v>
      </c>
      <c r="B83" s="167" t="s">
        <v>61</v>
      </c>
      <c r="G83" s="62">
        <f>B16*Data!F3</f>
        <v>22000</v>
      </c>
      <c r="H83" s="62">
        <f>C16*Data!F3</f>
        <v>8750</v>
      </c>
    </row>
    <row r="84" spans="1:8" ht="16.2" thickBot="1" x14ac:dyDescent="0.35">
      <c r="A84" s="128" t="str">
        <f>IF(Instructions!$B$1="CZ","Provozní zisk","Operating result")</f>
        <v>Provozní zisk</v>
      </c>
      <c r="B84" s="294" t="s">
        <v>74</v>
      </c>
      <c r="D84" s="2"/>
      <c r="G84" s="62">
        <f>G77-G78</f>
        <v>86005.098484848451</v>
      </c>
      <c r="H84" s="62">
        <f>H77-H78</f>
        <v>520789.90151515155</v>
      </c>
    </row>
    <row r="85" spans="1:8" x14ac:dyDescent="0.3">
      <c r="A85" s="190" t="str">
        <f>IF(Instructions!$B$1="CZ","Zaplacené úroky","Capital costs")</f>
        <v>Zaplacené úroky</v>
      </c>
      <c r="B85" s="296">
        <v>0</v>
      </c>
      <c r="D85" s="2"/>
      <c r="G85" s="62">
        <f>B8/(B8+C8)*B85</f>
        <v>0</v>
      </c>
      <c r="H85" s="62">
        <f>C8/(B8+C8)*B85</f>
        <v>0</v>
      </c>
    </row>
    <row r="86" spans="1:8" x14ac:dyDescent="0.3">
      <c r="A86" s="128" t="str">
        <f>IF(Instructions!$B$1="CZ","Mimořádné výdaje","Extraordinary expenses")</f>
        <v>Mimořádné výdaje</v>
      </c>
      <c r="B86" s="294">
        <v>0</v>
      </c>
      <c r="G86" s="62">
        <f>B8/(B8+C8)*B86</f>
        <v>0</v>
      </c>
      <c r="H86" s="62">
        <f>C8/(B8+C8)*B86</f>
        <v>0</v>
      </c>
    </row>
    <row r="87" spans="1:8" x14ac:dyDescent="0.3">
      <c r="A87" s="128" t="str">
        <f>IF(Instructions!$B$1="CZ","Zisk z provozní činnosti před zdaněním","Normal operating result before tax")</f>
        <v>Zisk z provozní činnosti před zdaněním</v>
      </c>
      <c r="B87" s="294" t="s">
        <v>74</v>
      </c>
      <c r="G87" s="62">
        <f>G84-G85-G86</f>
        <v>86005.098484848451</v>
      </c>
      <c r="H87" s="62">
        <f>H84-H85-H86</f>
        <v>520789.90151515155</v>
      </c>
    </row>
    <row r="88" spans="1:8" x14ac:dyDescent="0.3">
      <c r="A88" s="128" t="str">
        <f>IF(Instructions!$B$1="CZ","Daně","Taxes")</f>
        <v>Daně</v>
      </c>
      <c r="B88" s="294">
        <v>0</v>
      </c>
    </row>
    <row r="89" spans="1:8" x14ac:dyDescent="0.3">
      <c r="A89" s="157" t="str">
        <f>IF(Instructions!$B$1="CZ","Zisk z provozní činnosti po zdanění","Normal operating result after tax")</f>
        <v>Zisk z provozní činnosti po zdanění</v>
      </c>
      <c r="B89" s="293" t="s">
        <v>74</v>
      </c>
      <c r="C89" s="194"/>
    </row>
    <row r="90" spans="1:8" x14ac:dyDescent="0.3">
      <c r="A90" s="128" t="str">
        <f>IF(Instructions!$B$1="CZ","Mimořádné příjmy","Extraordinary revenues")</f>
        <v>Mimořádné příjmy</v>
      </c>
      <c r="B90" s="294">
        <v>0</v>
      </c>
      <c r="C90" s="194"/>
    </row>
    <row r="91" spans="1:8" ht="16.2" thickBot="1" x14ac:dyDescent="0.35">
      <c r="A91" s="130" t="str">
        <f>IF(Instructions!$B$1="CZ","Celkový čistý zisk","Net result")</f>
        <v>Celkový čistý zisk</v>
      </c>
      <c r="B91" s="295" t="s">
        <v>74</v>
      </c>
    </row>
  </sheetData>
  <mergeCells count="10">
    <mergeCell ref="A71:B71"/>
    <mergeCell ref="A56:E56"/>
    <mergeCell ref="G1:L1"/>
    <mergeCell ref="A18:C18"/>
    <mergeCell ref="A26:E26"/>
    <mergeCell ref="A34:B34"/>
    <mergeCell ref="A3:C3"/>
    <mergeCell ref="A11:C11"/>
    <mergeCell ref="A64:B64"/>
    <mergeCell ref="A1:E1"/>
  </mergeCells>
  <pageMargins left="0.78740157499999996" right="0.78740157499999996" top="0.984251969" bottom="0.984251969" header="0.4921259845" footer="0.4921259845"/>
  <pageSetup paperSize="9" scale="77" orientation="portrait" r:id="rId1"/>
  <headerFooter alignWithMargins="0">
    <oddHeader>&amp;R5. KOLO</oddHeader>
    <oddFooter>Stránka &amp;P</oddFooter>
  </headerFooter>
  <rowBreaks count="1" manualBreakCount="1">
    <brk id="55" max="11" man="1"/>
  </rowBreaks>
  <colBreaks count="1" manualBreakCount="1">
    <brk id="5" max="90" man="1"/>
  </col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L91"/>
  <sheetViews>
    <sheetView topLeftCell="C1" workbookViewId="0">
      <selection activeCell="D34" sqref="D34"/>
    </sheetView>
  </sheetViews>
  <sheetFormatPr defaultColWidth="8.8984375" defaultRowHeight="15.6" x14ac:dyDescent="0.3"/>
  <cols>
    <col min="1" max="1" width="37.09765625" bestFit="1" customWidth="1"/>
    <col min="2" max="2" width="12.09765625" bestFit="1" customWidth="1"/>
    <col min="3" max="3" width="12.59765625" bestFit="1" customWidth="1"/>
    <col min="4" max="4" width="25" bestFit="1" customWidth="1"/>
    <col min="5" max="5" width="12.59765625" customWidth="1"/>
    <col min="7" max="7" width="38.09765625" bestFit="1" customWidth="1"/>
    <col min="8" max="8" width="10.59765625" customWidth="1"/>
    <col min="9" max="9" width="13.3984375" bestFit="1" customWidth="1"/>
    <col min="10" max="12" width="10.59765625" customWidth="1"/>
  </cols>
  <sheetData>
    <row r="1" spans="1:12" ht="17.399999999999999" x14ac:dyDescent="0.3">
      <c r="A1" s="335" t="str">
        <f>IF(Instructions!$B$1="CZ",CONCATENATE("FINANČNÍ VÝSLEDKY FIRMY ",Instructions!$B$5),CONCATENATE("FINANCIAL RESULTS FOR COMPANY ",Instructions!$B$5))</f>
        <v>FINANČNÍ VÝSLEDKY FIRMY Byte Strategists</v>
      </c>
      <c r="B1" s="335"/>
      <c r="C1" s="335"/>
      <c r="D1" s="335"/>
      <c r="E1" s="335"/>
      <c r="G1" s="335" t="str">
        <f>IF(Instructions!$B$1="CZ",CONCATENATE("ROČNÍ SOUHRN FIRMY ",Instructions!$B$5),CONCATENATE("FOUR-QUARTER SURVEY FOR COMPANY ",Instructions!$B$5))</f>
        <v>ROČNÍ SOUHRN FIRMY Byte Strategists</v>
      </c>
      <c r="H1" s="335"/>
      <c r="I1" s="335"/>
      <c r="J1" s="335"/>
      <c r="K1" s="335"/>
      <c r="L1" s="335"/>
    </row>
    <row r="2" spans="1:12" ht="16.2" thickBot="1" x14ac:dyDescent="0.35"/>
    <row r="3" spans="1:12" ht="18" thickBot="1" x14ac:dyDescent="0.35">
      <c r="A3" s="338" t="str">
        <f>IF(Instructions!$B$1="CZ","MARKETING A PRODEJ","MARKETING AND SALES")</f>
        <v>MARKETING A PRODEJ</v>
      </c>
      <c r="B3" s="339"/>
      <c r="C3" s="340"/>
      <c r="D3" s="104" t="str">
        <f>IF(Instructions!$B$1="CZ","Čtvrtletí:","Quarter: ")</f>
        <v>Čtvrtletí:</v>
      </c>
      <c r="E3" s="249">
        <v>1</v>
      </c>
      <c r="G3" s="135" t="str">
        <f>IF(Instructions!$B$1="CZ","ČTVRTLETÍ","QUARTER")</f>
        <v>ČTVRTLETÍ</v>
      </c>
      <c r="H3" s="136" t="s">
        <v>31</v>
      </c>
      <c r="I3" s="137" t="s">
        <v>32</v>
      </c>
      <c r="J3" s="137" t="s">
        <v>33</v>
      </c>
      <c r="K3" s="138" t="s">
        <v>34</v>
      </c>
      <c r="L3" s="135" t="str">
        <f>IF(Instructions!$B$1="CZ","CELKEM","TOTAL")</f>
        <v>CELKEM</v>
      </c>
    </row>
    <row r="4" spans="1:12" x14ac:dyDescent="0.3">
      <c r="A4" s="6" t="s">
        <v>75</v>
      </c>
      <c r="B4" s="7" t="str">
        <f>IF(Instructions!$B$1="CZ","STOLY","DESKS")</f>
        <v>STOLY</v>
      </c>
      <c r="C4" s="5" t="str">
        <f>IF(Instructions!$B$1="CZ","SKŘÍŇKY","CABINETS")</f>
        <v>SKŘÍŇKY</v>
      </c>
      <c r="G4" s="225" t="str">
        <f>IF(Instructions!$B$1="CZ","Tržby","Sales")</f>
        <v>Tržby</v>
      </c>
      <c r="H4" s="139">
        <f>B72</f>
        <v>3557130</v>
      </c>
      <c r="I4" s="140"/>
      <c r="J4" s="140"/>
      <c r="K4" s="141"/>
      <c r="L4" s="142">
        <f t="shared" ref="L4:L10" si="0">H4</f>
        <v>3557130</v>
      </c>
    </row>
    <row r="5" spans="1:12" x14ac:dyDescent="0.3">
      <c r="A5" s="3" t="s">
        <v>76</v>
      </c>
      <c r="B5" s="122">
        <v>1170</v>
      </c>
      <c r="C5" s="123">
        <v>2453</v>
      </c>
      <c r="G5" s="226" t="str">
        <f>IF(Instructions!$B$1="CZ","Náklady prodaných výrobků","Costs of goods sold")</f>
        <v>Náklady prodaných výrobků</v>
      </c>
      <c r="H5" s="143">
        <f>B73</f>
        <v>3128160</v>
      </c>
      <c r="I5" s="144"/>
      <c r="J5" s="144"/>
      <c r="K5" s="145"/>
      <c r="L5" s="146">
        <f t="shared" si="0"/>
        <v>3128160</v>
      </c>
    </row>
    <row r="6" spans="1:12" x14ac:dyDescent="0.3">
      <c r="A6" s="3" t="s">
        <v>77</v>
      </c>
      <c r="B6" s="122">
        <v>2600</v>
      </c>
      <c r="C6" s="123">
        <v>210</v>
      </c>
      <c r="D6" s="342"/>
      <c r="E6" s="343"/>
      <c r="G6" s="226" t="str">
        <f>IF(Instructions!$B$1="CZ","Nepřímé náklady","Indirect costs")</f>
        <v>Nepřímé náklady</v>
      </c>
      <c r="H6" s="147">
        <f>B78</f>
        <v>240900</v>
      </c>
      <c r="I6" s="122"/>
      <c r="J6" s="122"/>
      <c r="K6" s="148"/>
      <c r="L6" s="146">
        <f t="shared" si="0"/>
        <v>240900</v>
      </c>
    </row>
    <row r="7" spans="1:12" x14ac:dyDescent="0.3">
      <c r="A7" s="3" t="s">
        <v>78</v>
      </c>
      <c r="B7" s="122">
        <v>3628</v>
      </c>
      <c r="C7" s="123">
        <v>898</v>
      </c>
      <c r="D7" s="2"/>
      <c r="E7" s="2"/>
      <c r="G7" s="226" t="str">
        <f>IF(Instructions!$B$1="CZ","Provozní zisk","Operating result")</f>
        <v>Provozní zisk</v>
      </c>
      <c r="H7" s="147">
        <f>B84</f>
        <v>188070</v>
      </c>
      <c r="I7" s="122"/>
      <c r="J7" s="122"/>
      <c r="K7" s="148"/>
      <c r="L7" s="146">
        <f t="shared" si="0"/>
        <v>188070</v>
      </c>
    </row>
    <row r="8" spans="1:12" x14ac:dyDescent="0.3">
      <c r="A8" s="3" t="s">
        <v>79</v>
      </c>
      <c r="B8" s="122">
        <v>2600</v>
      </c>
      <c r="C8" s="123">
        <v>210</v>
      </c>
      <c r="D8" s="1"/>
      <c r="E8" s="1"/>
      <c r="G8" s="226" t="str">
        <f>IF(Instructions!$B$1="CZ","Úroky","Capital costs")</f>
        <v>Úroky</v>
      </c>
      <c r="H8" s="147">
        <f>B44</f>
        <v>0</v>
      </c>
      <c r="I8" s="122"/>
      <c r="J8" s="122"/>
      <c r="K8" s="148"/>
      <c r="L8" s="146">
        <f t="shared" si="0"/>
        <v>0</v>
      </c>
    </row>
    <row r="9" spans="1:12" ht="16.2" thickBot="1" x14ac:dyDescent="0.35">
      <c r="A9" s="4" t="s">
        <v>80</v>
      </c>
      <c r="B9" s="10">
        <v>3042000</v>
      </c>
      <c r="C9" s="11">
        <v>515130</v>
      </c>
      <c r="G9" s="226" t="str">
        <f>IF(Instructions!$B$1="CZ","Mimořádné výdaje","Extraordinary expenses")</f>
        <v>Mimořádné výdaje</v>
      </c>
      <c r="H9" s="147">
        <f>IF(B52&lt;0,B52,0)</f>
        <v>0</v>
      </c>
      <c r="I9" s="122"/>
      <c r="J9" s="122"/>
      <c r="K9" s="148"/>
      <c r="L9" s="146">
        <f t="shared" si="0"/>
        <v>0</v>
      </c>
    </row>
    <row r="10" spans="1:12" ht="16.2" thickBot="1" x14ac:dyDescent="0.35">
      <c r="G10" s="226" t="str">
        <f>IF(Instructions!$B$1="CZ","Daně","Taxes")</f>
        <v>Daně</v>
      </c>
      <c r="H10" s="147">
        <f>B88</f>
        <v>0</v>
      </c>
      <c r="I10" s="122"/>
      <c r="J10" s="122"/>
      <c r="K10" s="148"/>
      <c r="L10" s="146">
        <f t="shared" si="0"/>
        <v>0</v>
      </c>
    </row>
    <row r="11" spans="1:12" ht="17.399999999999999" x14ac:dyDescent="0.3">
      <c r="A11" s="338" t="str">
        <f>IF(Instructions!$B$1="CZ","VÝROBA","PRODUCTION")</f>
        <v>VÝROBA</v>
      </c>
      <c r="B11" s="339"/>
      <c r="C11" s="340"/>
      <c r="D11" s="342"/>
      <c r="E11" s="343"/>
      <c r="F11" s="129"/>
      <c r="G11" s="226" t="str">
        <f>IF(Instructions!$B$1="CZ","Mimořádné příjmy","Extraordinary revenues")</f>
        <v>Mimořádné příjmy</v>
      </c>
      <c r="H11" s="151">
        <f>IF(B52&gt;0,B52,0)</f>
        <v>0</v>
      </c>
      <c r="I11" s="154"/>
      <c r="J11" s="154"/>
      <c r="K11" s="152"/>
      <c r="L11" s="153"/>
    </row>
    <row r="12" spans="1:12" ht="16.2" thickBot="1" x14ac:dyDescent="0.35">
      <c r="A12" s="6" t="str">
        <f>IF(Instructions!$B$1="CZ","VÝROBEK","PRODUCT")</f>
        <v>VÝROBEK</v>
      </c>
      <c r="B12" s="7" t="str">
        <f>IF(Instructions!$B$1="CZ","STOLY","DESKS")</f>
        <v>STOLY</v>
      </c>
      <c r="C12" s="5" t="str">
        <f>IF(Instructions!$B$1="CZ","SKŘÍŇKY","CABINETS")</f>
        <v>SKŘÍŇKY</v>
      </c>
      <c r="D12" s="2"/>
      <c r="E12" s="2"/>
      <c r="F12" s="2"/>
      <c r="G12" s="227" t="str">
        <f>IF(Instructions!$B$1="CZ","Čistý zisk","Net results")</f>
        <v>Čistý zisk</v>
      </c>
      <c r="H12" s="151">
        <f>B91</f>
        <v>188070</v>
      </c>
      <c r="I12" s="154"/>
      <c r="J12" s="154"/>
      <c r="K12" s="152"/>
      <c r="L12" s="153">
        <f>H12</f>
        <v>188070</v>
      </c>
    </row>
    <row r="13" spans="1:12" x14ac:dyDescent="0.3">
      <c r="A13" s="3" t="str">
        <f>IF(Instructions!$B$1="CZ","Počáteční zásoba [ks]","Opening stock [pcs]")</f>
        <v>Počáteční zásoba [ks]</v>
      </c>
      <c r="B13" s="122">
        <v>2600</v>
      </c>
      <c r="C13" s="123">
        <v>650</v>
      </c>
      <c r="D13" s="1"/>
      <c r="E13" s="1"/>
      <c r="G13" s="228" t="str">
        <f>IF(Instructions!$B$1="CZ","Průzkum trhu","Market survey")</f>
        <v>Průzkum trhu</v>
      </c>
      <c r="H13" s="155">
        <f>B79</f>
        <v>0</v>
      </c>
      <c r="I13" s="186"/>
      <c r="J13" s="186"/>
      <c r="K13" s="156"/>
      <c r="L13" s="142">
        <f>SUM(H13:K13)</f>
        <v>0</v>
      </c>
    </row>
    <row r="14" spans="1:12" x14ac:dyDescent="0.3">
      <c r="A14" s="3" t="str">
        <f>IF(Instructions!$B$1="CZ","Plánovaná výroba [ks]","Planned production [pcs]")</f>
        <v>Plánovaná výroba [ks]</v>
      </c>
      <c r="B14" s="122">
        <v>2175</v>
      </c>
      <c r="C14" s="123">
        <v>400</v>
      </c>
      <c r="D14" s="121"/>
      <c r="E14" s="121"/>
      <c r="F14" s="1"/>
      <c r="G14" s="226" t="str">
        <f>IF(Instructions!$B$1="CZ","Cena stolu","Price of Desks")</f>
        <v>Cena stolu</v>
      </c>
      <c r="H14" s="147">
        <f>B5</f>
        <v>1170</v>
      </c>
      <c r="I14" s="122"/>
      <c r="J14" s="122"/>
      <c r="K14" s="148"/>
      <c r="L14" s="200"/>
    </row>
    <row r="15" spans="1:12" x14ac:dyDescent="0.3">
      <c r="A15" s="3" t="str">
        <f>IF(Instructions!$B$1="CZ","Skutečná výroba [ks]","Actual production [pcs]")</f>
        <v>Skutečná výroba [ks]</v>
      </c>
      <c r="B15" s="122">
        <v>2175</v>
      </c>
      <c r="C15" s="123">
        <v>400</v>
      </c>
      <c r="D15" s="1"/>
      <c r="E15" s="1"/>
      <c r="F15" s="1"/>
      <c r="G15" s="226" t="str">
        <f>IF(Instructions!$B$1="CZ","Cena skříňky","Price of cabinets")</f>
        <v>Cena skříňky</v>
      </c>
      <c r="H15" s="147">
        <f>C5</f>
        <v>2453</v>
      </c>
      <c r="I15" s="122"/>
      <c r="J15" s="122"/>
      <c r="K15" s="148"/>
      <c r="L15" s="200"/>
    </row>
    <row r="16" spans="1:12" ht="16.2" thickBot="1" x14ac:dyDescent="0.35">
      <c r="A16" s="4" t="str">
        <f>IF(Instructions!$B$1="CZ","Konečná zásoba [ks]","Inventory [pcs]")</f>
        <v>Konečná zásoba [ks]</v>
      </c>
      <c r="B16" s="122">
        <v>2175</v>
      </c>
      <c r="C16" s="123">
        <v>840</v>
      </c>
      <c r="D16" s="1"/>
      <c r="E16" s="1"/>
      <c r="G16" s="229" t="str">
        <f>IF(Instructions!$B$1="CZ","Náklady neuspokojené poptávky","Out-of-stock costs")</f>
        <v>Náklady neuspokojené poptávky</v>
      </c>
      <c r="H16" s="160">
        <f>B81</f>
        <v>60100</v>
      </c>
      <c r="I16" s="10"/>
      <c r="J16" s="10"/>
      <c r="K16" s="161"/>
      <c r="L16" s="196"/>
    </row>
    <row r="17" spans="1:12" ht="16.2" thickBot="1" x14ac:dyDescent="0.35">
      <c r="D17" s="1"/>
      <c r="E17" s="1"/>
      <c r="F17" s="1"/>
      <c r="G17" s="230" t="str">
        <f>IF(Instructions!$B$1="CZ","Počet strojů","Capacity")</f>
        <v>Počet strojů</v>
      </c>
      <c r="H17" s="163">
        <v>3</v>
      </c>
      <c r="I17" s="164"/>
      <c r="J17" s="164"/>
      <c r="K17" s="165"/>
      <c r="L17" s="300"/>
    </row>
    <row r="18" spans="1:12" ht="17.399999999999999" x14ac:dyDescent="0.3">
      <c r="A18" s="338" t="str">
        <f>IF(Instructions!$B$1="CZ","ZÁSOBOVÁNÍ","PROCUREMENT")</f>
        <v>ZÁSOBOVÁNÍ</v>
      </c>
      <c r="B18" s="339"/>
      <c r="C18" s="340"/>
      <c r="D18" s="218"/>
      <c r="E18" s="1"/>
      <c r="G18" s="231" t="str">
        <f>IF(Instructions!$B$1="CZ","Výroba - plán [%]","Production - plan [%]")</f>
        <v>Výroba - plán [%]</v>
      </c>
      <c r="H18" s="168"/>
      <c r="I18" s="164"/>
      <c r="J18" s="164"/>
      <c r="K18" s="165"/>
      <c r="L18" s="166"/>
    </row>
    <row r="19" spans="1:12" ht="16.2" thickBot="1" x14ac:dyDescent="0.35">
      <c r="A19" s="6" t="str">
        <f>IF(Instructions!$B$1="CZ","SUROVINA","RAW MATERIAL")</f>
        <v>SUROVINA</v>
      </c>
      <c r="B19" s="7" t="str">
        <f>IF(Instructions!$B$1="CZ","DŘEVO","WOOD")</f>
        <v>DŘEVO</v>
      </c>
      <c r="C19" s="5" t="str">
        <f>IF(Instructions!$B$1="CZ","KOV","METAL")</f>
        <v>KOV</v>
      </c>
      <c r="E19" s="2"/>
      <c r="G19" s="231" t="str">
        <f>IF(Instructions!$B$1="CZ","Výroba - stutečnost [%]","Production - reality [%]")</f>
        <v>Výroba - stutečnost [%]</v>
      </c>
      <c r="H19" s="169"/>
      <c r="I19" s="170"/>
      <c r="J19" s="170"/>
      <c r="K19" s="171"/>
      <c r="L19" s="172"/>
    </row>
    <row r="20" spans="1:12" x14ac:dyDescent="0.3">
      <c r="A20" s="3" t="str">
        <f>IF(Instructions!$B$1="CZ","Počáteční zásoba [kg]","Opening stock [kg]")</f>
        <v>Počáteční zásoba [kg]</v>
      </c>
      <c r="B20" s="122">
        <v>600</v>
      </c>
      <c r="C20" s="123">
        <v>700</v>
      </c>
      <c r="D20" s="1">
        <f>B20*Data!$F$9</f>
        <v>14400</v>
      </c>
      <c r="E20" s="214">
        <f>C20*Data!$F$10</f>
        <v>10500</v>
      </c>
      <c r="F20" s="1"/>
      <c r="G20" s="232" t="str">
        <f>IF(Instructions!$B$1="CZ","Zaměstnanci - celkem","Employees - total")</f>
        <v>Zaměstnanci - celkem</v>
      </c>
      <c r="H20" s="155">
        <f>E27/E28</f>
        <v>29</v>
      </c>
      <c r="I20" s="173"/>
      <c r="J20" s="173"/>
      <c r="K20" s="174"/>
      <c r="L20" s="175"/>
    </row>
    <row r="21" spans="1:12" x14ac:dyDescent="0.3">
      <c r="A21" s="3" t="str">
        <f>IF(Instructions!$B$1="CZ","Nákup [kg]","Purchase [kg]")</f>
        <v>Nákup [kg]</v>
      </c>
      <c r="B21" s="122">
        <v>35700</v>
      </c>
      <c r="C21" s="123">
        <v>23800</v>
      </c>
      <c r="D21" s="1">
        <f>B21*B22-D24</f>
        <v>648648</v>
      </c>
      <c r="E21" s="214">
        <f>C21*C22-E24</f>
        <v>404481.00000000006</v>
      </c>
      <c r="G21" s="232" t="str">
        <f>IF(Instructions!$B$1="CZ","Zaměstnanci - aktivní","Employees - active")</f>
        <v>Zaměstnanci - aktivní</v>
      </c>
      <c r="H21" s="143">
        <f>IF(B32&lt;90,INT(H20*0.75),IF(B32&lt;100,INT(H20*0.85),IF(B32&lt;110,INT(H20*0.95),H20)))</f>
        <v>27</v>
      </c>
      <c r="I21" s="176"/>
      <c r="J21" s="144"/>
      <c r="K21" s="177"/>
      <c r="L21" s="158"/>
    </row>
    <row r="22" spans="1:12" x14ac:dyDescent="0.3">
      <c r="A22" s="3" t="str">
        <f>IF(Instructions!$B$1="CZ","Cena [Kč za kg]","Price [CZK per kg]")</f>
        <v>Cena [Kč za kg]</v>
      </c>
      <c r="B22" s="217">
        <v>18.48</v>
      </c>
      <c r="C22" s="216">
        <v>17.510000000000002</v>
      </c>
      <c r="D22" s="121"/>
      <c r="E22" s="215"/>
      <c r="G22" s="232" t="str">
        <f>IF(Instructions!$B$1="CZ","Zaměstnanci - změna","Employees - change")</f>
        <v>Zaměstnanci - změna</v>
      </c>
      <c r="H22" s="147">
        <v>0</v>
      </c>
      <c r="I22" s="150"/>
      <c r="J22" s="150"/>
      <c r="K22" s="178"/>
      <c r="L22" s="158"/>
    </row>
    <row r="23" spans="1:12" ht="16.2" thickBot="1" x14ac:dyDescent="0.35">
      <c r="A23" s="3" t="str">
        <f>IF(Instructions!$B$1="CZ","Spotřeba [kg]","Consumption [kg]")</f>
        <v>Spotřeba [kg]</v>
      </c>
      <c r="B23" s="122">
        <v>35700</v>
      </c>
      <c r="C23" s="123">
        <v>23800</v>
      </c>
      <c r="D23" s="1"/>
      <c r="E23" s="214"/>
      <c r="F23" s="1"/>
      <c r="G23" s="232" t="str">
        <f>IF(Instructions!$B$1="CZ","Zaměstnanci - přům. náklady na pracovníka","Employees - average per employee")</f>
        <v>Zaměstnanci - přům. náklady na pracovníka</v>
      </c>
      <c r="H23" s="179">
        <f>E28</f>
        <v>48000</v>
      </c>
      <c r="I23" s="180"/>
      <c r="J23" s="180"/>
      <c r="K23" s="181"/>
      <c r="L23" s="162"/>
    </row>
    <row r="24" spans="1:12" ht="16.2" thickBot="1" x14ac:dyDescent="0.35">
      <c r="A24" s="4" t="str">
        <f>IF(Instructions!$B$1="CZ","Konečná zásoba [kg]","Inventory [kg]")</f>
        <v>Konečná zásoba [kg]</v>
      </c>
      <c r="B24" s="122">
        <v>600</v>
      </c>
      <c r="C24" s="123">
        <v>700</v>
      </c>
      <c r="D24" s="1">
        <f>B24*B22</f>
        <v>11088</v>
      </c>
      <c r="E24" s="214">
        <f>C24*C22</f>
        <v>12257.000000000002</v>
      </c>
      <c r="F24" s="1"/>
      <c r="G24" s="233" t="str">
        <f>IF(Instructions!$B$1="CZ","Nedodržení plánované výroby","Production cut-backs")</f>
        <v>Nedodržení plánované výroby</v>
      </c>
      <c r="H24" s="182">
        <v>0</v>
      </c>
      <c r="I24" s="183"/>
      <c r="J24" s="183"/>
      <c r="K24" s="184"/>
      <c r="L24" s="185"/>
    </row>
    <row r="25" spans="1:12" ht="16.2" thickBot="1" x14ac:dyDescent="0.35">
      <c r="D25" s="1"/>
      <c r="E25" s="1"/>
      <c r="G25" s="234" t="str">
        <f>IF(Instructions!$B$1="CZ","Suroviny - nákup","Raw materials - purchase")</f>
        <v>Suroviny - nákup</v>
      </c>
      <c r="H25" s="155">
        <f>B46</f>
        <v>1076474</v>
      </c>
      <c r="I25" s="186"/>
      <c r="J25" s="186"/>
      <c r="K25" s="187"/>
      <c r="L25" s="188"/>
    </row>
    <row r="26" spans="1:12" ht="17.399999999999999" x14ac:dyDescent="0.3">
      <c r="A26" s="332" t="str">
        <f>IF(Instructions!$B$1="CZ","LIDSKÉ ZDROJE","HUMAN RESOURCES")</f>
        <v>LIDSKÉ ZDROJE</v>
      </c>
      <c r="B26" s="333"/>
      <c r="C26" s="333"/>
      <c r="D26" s="333"/>
      <c r="E26" s="334"/>
      <c r="G26" s="235" t="str">
        <f>IF(Instructions!$B$1="CZ","Suroviny - sleva","Raw materials - discount")</f>
        <v>Suroviny - sleva</v>
      </c>
      <c r="H26" s="143">
        <f>RawData!N66</f>
        <v>0</v>
      </c>
      <c r="I26" s="150"/>
      <c r="J26" s="122"/>
      <c r="K26" s="124"/>
      <c r="L26" s="189"/>
    </row>
    <row r="27" spans="1:12" x14ac:dyDescent="0.3">
      <c r="A27" s="128" t="str">
        <f>IF(Instructions!$B$1="CZ","Základní index","Base index")</f>
        <v>Základní index</v>
      </c>
      <c r="B27" s="1">
        <v>100</v>
      </c>
      <c r="D27" t="str">
        <f>IF(Instructions!$B$1="CZ","Pracovní náklady","Labour costs")</f>
        <v>Pracovní náklady</v>
      </c>
      <c r="E27" s="294">
        <v>1392000</v>
      </c>
      <c r="F27" s="1"/>
      <c r="G27" s="236" t="str">
        <f>IF(Instructions!$B$1="CZ","Suroviny - zásoba","Raw materials - stock")</f>
        <v>Suroviny - zásoba</v>
      </c>
      <c r="H27" s="143">
        <f>RawData!N67</f>
        <v>23345</v>
      </c>
      <c r="I27" s="144"/>
      <c r="J27" s="144"/>
      <c r="K27" s="191"/>
      <c r="L27" s="189"/>
    </row>
    <row r="28" spans="1:12" ht="16.2" thickBot="1" x14ac:dyDescent="0.35">
      <c r="A28" s="128" t="str">
        <f>IF(Instructions!$B$1="CZ","Mzdový index","Wage index")</f>
        <v>Mzdový index</v>
      </c>
      <c r="B28" s="1">
        <v>100</v>
      </c>
      <c r="D28" t="str">
        <f>IF(Instructions!$B$1="CZ","Prům. náklady na pracovníka","Average per employee")</f>
        <v>Prům. náklady na pracovníka</v>
      </c>
      <c r="E28" s="294">
        <v>48000</v>
      </c>
      <c r="F28" s="285"/>
      <c r="G28" s="237" t="str">
        <f>IF(Instructions!$B$1="CZ","Suroviny - skladovací náklady","Raw materials - storage costs")</f>
        <v>Suroviny - skladovací náklady</v>
      </c>
      <c r="H28" s="192">
        <f>B82</f>
        <v>650</v>
      </c>
      <c r="I28" s="126"/>
      <c r="J28" s="126"/>
      <c r="K28" s="127"/>
      <c r="L28" s="193"/>
    </row>
    <row r="29" spans="1:12" x14ac:dyDescent="0.3">
      <c r="A29" s="128" t="str">
        <f>IF(Instructions!$B$1="CZ","Změna mzdového indexu","Change in wage level")</f>
        <v>Změna mzdového indexu</v>
      </c>
      <c r="B29" s="1">
        <v>0</v>
      </c>
      <c r="E29" s="129"/>
      <c r="G29" s="238" t="str">
        <f>IF(Instructions!$B$1="CZ","Výrobky - zásoba","Products - stock")</f>
        <v>Výrobky - zásoba</v>
      </c>
      <c r="H29" s="155">
        <f>B60</f>
        <v>4626000</v>
      </c>
      <c r="I29" s="186"/>
      <c r="J29" s="186"/>
      <c r="K29" s="156"/>
      <c r="L29" s="142"/>
    </row>
    <row r="30" spans="1:12" ht="16.2" thickBot="1" x14ac:dyDescent="0.35">
      <c r="A30" s="128" t="str">
        <f>IF(Instructions!$B$1="CZ","Vzdělávání","Training")</f>
        <v>Vzdělávání</v>
      </c>
      <c r="B30" s="1">
        <v>0</v>
      </c>
      <c r="E30" s="129"/>
      <c r="G30" s="237" t="str">
        <f>IF(Instructions!$B$1="CZ","Výrobky - skladovací náklady","Products - storage costs")</f>
        <v>Výrobky - skladovací náklady</v>
      </c>
      <c r="H30" s="192">
        <f>B83</f>
        <v>30150</v>
      </c>
      <c r="I30" s="126"/>
      <c r="J30" s="126"/>
      <c r="K30" s="195"/>
      <c r="L30" s="196"/>
    </row>
    <row r="31" spans="1:12" x14ac:dyDescent="0.3">
      <c r="A31" s="128" t="str">
        <f>IF(Instructions!$B$1="CZ","Vliv kokurence","Influence of competition")</f>
        <v>Vliv kokurence</v>
      </c>
      <c r="B31" s="1">
        <v>0</v>
      </c>
      <c r="E31" s="129"/>
      <c r="G31" s="238" t="s">
        <v>17</v>
      </c>
      <c r="H31" s="197">
        <f>B32</f>
        <v>100</v>
      </c>
      <c r="I31" s="198"/>
      <c r="J31" s="198"/>
      <c r="K31" s="199"/>
      <c r="L31" s="142"/>
    </row>
    <row r="32" spans="1:12" ht="16.2" thickBot="1" x14ac:dyDescent="0.35">
      <c r="A32" s="130" t="str">
        <f>IF(Instructions!$B$1="CZ","Nový index","New index")</f>
        <v>Nový index</v>
      </c>
      <c r="B32" s="131">
        <v>100</v>
      </c>
      <c r="C32" s="132"/>
      <c r="D32" s="132"/>
      <c r="E32" s="133"/>
      <c r="G32" s="231" t="str">
        <f>IF(Instructions!$B$1="CZ","Průměrný PI na trhu","PI - market average")</f>
        <v>Průměrný PI na trhu</v>
      </c>
      <c r="H32" s="143">
        <v>100</v>
      </c>
      <c r="I32" s="176"/>
      <c r="J32" s="125"/>
      <c r="K32" s="177"/>
      <c r="L32" s="200"/>
    </row>
    <row r="33" spans="1:12" x14ac:dyDescent="0.3">
      <c r="G33" s="232" t="str">
        <f>IF(Instructions!$B$1="CZ","Mzdový index","Wage index")</f>
        <v>Mzdový index</v>
      </c>
      <c r="H33" s="147">
        <f>B28</f>
        <v>100</v>
      </c>
      <c r="I33" s="122"/>
      <c r="J33" s="122"/>
      <c r="K33" s="148"/>
      <c r="L33" s="200"/>
    </row>
    <row r="34" spans="1:12" ht="18" thickBot="1" x14ac:dyDescent="0.35">
      <c r="A34" s="341" t="s">
        <v>18</v>
      </c>
      <c r="B34" s="341"/>
      <c r="C34" s="134"/>
      <c r="D34" s="134"/>
      <c r="E34" s="134"/>
      <c r="G34" s="239" t="str">
        <f>IF(Instructions!$B$1="CZ","Vzdělávání","Training")</f>
        <v>Vzdělávání</v>
      </c>
      <c r="H34" s="192">
        <f>B30</f>
        <v>0</v>
      </c>
      <c r="I34" s="126"/>
      <c r="J34" s="126"/>
      <c r="K34" s="195"/>
      <c r="L34" s="201"/>
    </row>
    <row r="35" spans="1:12" x14ac:dyDescent="0.3">
      <c r="A35" s="224" t="str">
        <f>IF(Instructions!$B$1="CZ","VÝCHOZÍ STAV HOTOVOSTI","OPENING BALANCE")</f>
        <v>VÝCHOZÍ STAV HOTOVOSTI</v>
      </c>
      <c r="B35" s="125">
        <v>750000</v>
      </c>
      <c r="G35" s="234" t="str">
        <f>IF(Instructions!$B$1="CZ","Úvěry","Credits")</f>
        <v>Úvěry</v>
      </c>
      <c r="H35" s="163">
        <f>E58</f>
        <v>0</v>
      </c>
      <c r="I35" s="164"/>
      <c r="J35" s="164"/>
      <c r="K35" s="165"/>
      <c r="L35" s="166"/>
    </row>
    <row r="36" spans="1:12" x14ac:dyDescent="0.3">
      <c r="A36" s="224" t="str">
        <f>IF(Instructions!$B$1="CZ","Tržby","Sales revenues")</f>
        <v>Tržby</v>
      </c>
      <c r="B36" s="125">
        <v>3557130</v>
      </c>
      <c r="C36" s="1"/>
      <c r="G36" s="232" t="str">
        <f>IF(Instructions!$B$1="CZ","Splátky","Repayments")</f>
        <v>Splátky</v>
      </c>
      <c r="H36" s="147">
        <f>B45</f>
        <v>0</v>
      </c>
      <c r="I36" s="122"/>
      <c r="J36" s="122"/>
      <c r="K36" s="148"/>
      <c r="L36" s="158"/>
    </row>
    <row r="37" spans="1:12" x14ac:dyDescent="0.3">
      <c r="A37" s="224" t="str">
        <f>IF(Instructions!$B$1="CZ","Investiční úvěry","Investment credits")</f>
        <v>Investiční úvěry</v>
      </c>
      <c r="B37" s="125">
        <v>0</v>
      </c>
      <c r="G37" s="232" t="str">
        <f>IF(Instructions!$B$1="CZ","Překlenovací úvěr","Extended credit")</f>
        <v>Překlenovací úvěr</v>
      </c>
      <c r="H37" s="143">
        <f>E59</f>
        <v>0</v>
      </c>
      <c r="I37" s="176"/>
      <c r="J37" s="176"/>
      <c r="K37" s="177"/>
      <c r="L37" s="158"/>
    </row>
    <row r="38" spans="1:12" ht="16.2" thickBot="1" x14ac:dyDescent="0.35">
      <c r="A38" s="224" t="str">
        <f>IF(Instructions!$B$1="CZ","Překlenovací úvěr","Extended credit")</f>
        <v>Překlenovací úvěr</v>
      </c>
      <c r="B38" s="125">
        <v>0</v>
      </c>
      <c r="G38" s="240" t="str">
        <f>IF(Instructions!$B$1="CZ","Hotovost","Cash")</f>
        <v>Hotovost</v>
      </c>
      <c r="H38" s="151">
        <f>B54</f>
        <v>1147756</v>
      </c>
      <c r="I38" s="154"/>
      <c r="J38" s="154"/>
      <c r="K38" s="152"/>
      <c r="L38" s="172"/>
    </row>
    <row r="39" spans="1:12" ht="16.2" thickBot="1" x14ac:dyDescent="0.35">
      <c r="A39" s="224" t="str">
        <f>IF(Instructions!$B$1="CZ","Mimořádné příjmy","Extraordinary incomes")</f>
        <v>Mimořádné příjmy</v>
      </c>
      <c r="B39" s="125">
        <v>0</v>
      </c>
      <c r="G39" s="233" t="str">
        <f>IF(Instructions!$B$1="CZ","Cena akcie","Stockprice")</f>
        <v>Cena akcie</v>
      </c>
      <c r="H39" s="202">
        <v>66.75</v>
      </c>
      <c r="I39" s="203"/>
      <c r="J39" s="203"/>
      <c r="K39" s="204"/>
      <c r="L39" s="185"/>
    </row>
    <row r="40" spans="1:12" x14ac:dyDescent="0.3">
      <c r="A40" s="224" t="str">
        <f>IF(Instructions!$B$1="CZ","PŘÍJMY CELKEM","TOTAL REVENUES")</f>
        <v>PŘÍJMY CELKEM</v>
      </c>
      <c r="B40" s="125">
        <v>3557130</v>
      </c>
    </row>
    <row r="41" spans="1:12" x14ac:dyDescent="0.3">
      <c r="A41" s="224" t="str">
        <f>IF(Instructions!$B$1="CZ","Investice","Investments")</f>
        <v>Investice</v>
      </c>
      <c r="B41" s="125">
        <v>0</v>
      </c>
      <c r="C41" s="1"/>
    </row>
    <row r="42" spans="1:12" x14ac:dyDescent="0.3">
      <c r="A42" s="224" t="str">
        <f>IF(Instructions!$B$1="CZ","Marketingové oddělení","Marketing department")</f>
        <v>Marketingové oddělení</v>
      </c>
      <c r="B42" s="125">
        <v>150000</v>
      </c>
      <c r="C42" s="1"/>
      <c r="D42" s="1"/>
    </row>
    <row r="43" spans="1:12" x14ac:dyDescent="0.3">
      <c r="A43" s="224" t="str">
        <f>IF(Instructions!$B$1="CZ","Průzkumy","Market research")</f>
        <v>Průzkumy</v>
      </c>
      <c r="B43" s="125">
        <v>0</v>
      </c>
      <c r="C43" s="1"/>
    </row>
    <row r="44" spans="1:12" x14ac:dyDescent="0.3">
      <c r="A44" s="224" t="str">
        <f>IF(Instructions!$B$1="CZ","Úroky","Interests")</f>
        <v>Úroky</v>
      </c>
      <c r="B44" s="125">
        <v>0</v>
      </c>
      <c r="C44" s="1"/>
    </row>
    <row r="45" spans="1:12" x14ac:dyDescent="0.3">
      <c r="A45" s="224" t="str">
        <f>IF(Instructions!$B$1="CZ","Splátky","Repayments")</f>
        <v>Splátky</v>
      </c>
      <c r="B45" s="125">
        <v>0</v>
      </c>
      <c r="C45" s="1"/>
    </row>
    <row r="46" spans="1:12" x14ac:dyDescent="0.3">
      <c r="A46" s="224" t="str">
        <f>IF(Instructions!$B$1="CZ","Materiál","Material")</f>
        <v>Materiál</v>
      </c>
      <c r="B46" s="125">
        <v>1076474</v>
      </c>
      <c r="C46" s="1"/>
    </row>
    <row r="47" spans="1:12" x14ac:dyDescent="0.3">
      <c r="A47" s="224" t="str">
        <f>IF(Instructions!$B$1="CZ","Výroba","Production")</f>
        <v>Výroba</v>
      </c>
      <c r="B47" s="125">
        <v>1842000</v>
      </c>
      <c r="C47" s="1"/>
    </row>
    <row r="48" spans="1:12" x14ac:dyDescent="0.3">
      <c r="A48" s="224" t="str">
        <f>IF(Instructions!$B$1="CZ","Neuspokojená poptávka","Out-of-stock costs")</f>
        <v>Neuspokojená poptávka</v>
      </c>
      <c r="B48" s="125">
        <v>60100</v>
      </c>
      <c r="C48" s="1"/>
      <c r="E48" s="1"/>
      <c r="F48" s="1"/>
    </row>
    <row r="49" spans="1:5" x14ac:dyDescent="0.3">
      <c r="A49" s="224" t="str">
        <f>IF(Instructions!$B$1="CZ","Skladování materiálu","Storage costs - raw materials")</f>
        <v>Skladování materiálu</v>
      </c>
      <c r="B49" s="125">
        <v>650</v>
      </c>
      <c r="C49" s="1"/>
      <c r="E49" s="1"/>
    </row>
    <row r="50" spans="1:5" x14ac:dyDescent="0.3">
      <c r="A50" s="224" t="str">
        <f>IF(Instructions!$B$1="CZ","Skladování výrobků","Storage costs - end products")</f>
        <v>Skladování výrobků</v>
      </c>
      <c r="B50" s="125">
        <v>30150</v>
      </c>
      <c r="C50" s="1"/>
      <c r="E50" s="1"/>
    </row>
    <row r="51" spans="1:5" x14ac:dyDescent="0.3">
      <c r="A51" s="224" t="str">
        <f>IF(Instructions!$B$1="CZ","Daně","Taxes")</f>
        <v>Daně</v>
      </c>
      <c r="B51" s="125">
        <v>0</v>
      </c>
    </row>
    <row r="52" spans="1:5" x14ac:dyDescent="0.3">
      <c r="A52" s="224" t="str">
        <f>IF(Instructions!$B$1="CZ","Mimořádné výdaje","Extraordinary expenses")</f>
        <v>Mimořádné výdaje</v>
      </c>
      <c r="B52" s="125">
        <v>0</v>
      </c>
    </row>
    <row r="53" spans="1:5" x14ac:dyDescent="0.3">
      <c r="A53" s="224" t="str">
        <f>IF(Instructions!$B$1="CZ","VÝDAJE CELKEM","TOTAL EXPENSES")</f>
        <v>VÝDAJE CELKEM</v>
      </c>
      <c r="B53" s="125">
        <v>3159374</v>
      </c>
      <c r="E53" s="1"/>
    </row>
    <row r="54" spans="1:5" x14ac:dyDescent="0.3">
      <c r="A54" s="224" t="str">
        <f>IF(Instructions!$B$1="CZ","KONEČNÝ STAV HOTOVOSTI","CASH BALANCE")</f>
        <v>KONEČNÝ STAV HOTOVOSTI</v>
      </c>
      <c r="B54" s="125">
        <v>1147756</v>
      </c>
      <c r="E54" s="1"/>
    </row>
    <row r="55" spans="1:5" ht="16.2" thickBot="1" x14ac:dyDescent="0.35">
      <c r="E55" s="1"/>
    </row>
    <row r="56" spans="1:5" ht="17.399999999999999" x14ac:dyDescent="0.3">
      <c r="A56" s="332" t="str">
        <f>IF(Instructions!$B$1="CZ","ROZVAHA","BALANCE SHEET")</f>
        <v>ROZVAHA</v>
      </c>
      <c r="B56" s="333"/>
      <c r="C56" s="333"/>
      <c r="D56" s="333"/>
      <c r="E56" s="334"/>
    </row>
    <row r="57" spans="1:5" x14ac:dyDescent="0.3">
      <c r="A57" s="128" t="str">
        <f>IF(Instructions!$B$1="CZ","Budovy","Buildings")</f>
        <v>Budovy</v>
      </c>
      <c r="B57" s="297">
        <v>3000000</v>
      </c>
      <c r="D57" t="str">
        <f>IF(Instructions!$B$1="CZ","Vlastní kapitál","Equity")</f>
        <v>Vlastní kapitál</v>
      </c>
      <c r="E57" s="299">
        <v>10597101</v>
      </c>
    </row>
    <row r="58" spans="1:5" x14ac:dyDescent="0.3">
      <c r="A58" s="128" t="str">
        <f>IF(Instructions!$B$1="CZ","Stroje","Machines")</f>
        <v>Stroje</v>
      </c>
      <c r="B58" s="297">
        <v>1800000</v>
      </c>
      <c r="D58" t="str">
        <f>IF(Instructions!$B$1="CZ","Úvěry","Credits")</f>
        <v>Úvěry</v>
      </c>
      <c r="E58" s="299">
        <v>0</v>
      </c>
    </row>
    <row r="59" spans="1:5" x14ac:dyDescent="0.3">
      <c r="A59" s="128" t="str">
        <f>IF(Instructions!$B$1="CZ","Suroviny","Raw materials")</f>
        <v>Suroviny</v>
      </c>
      <c r="B59" s="297">
        <v>23345</v>
      </c>
      <c r="D59" t="str">
        <f>IF(Instructions!$B$1="CZ","Překlenovací úvěr","Extended credit")</f>
        <v>Překlenovací úvěr</v>
      </c>
      <c r="E59" s="299">
        <v>0</v>
      </c>
    </row>
    <row r="60" spans="1:5" x14ac:dyDescent="0.3">
      <c r="A60" s="128" t="str">
        <f>IF(Instructions!$B$1="CZ","Hotové výrobky","End products")</f>
        <v>Hotové výrobky</v>
      </c>
      <c r="B60" s="297">
        <v>4626000</v>
      </c>
      <c r="D60" t="str">
        <f>IF(Instructions!$B$1="CZ","Daně","Taxes")</f>
        <v>Daně</v>
      </c>
      <c r="E60" s="299">
        <v>0</v>
      </c>
    </row>
    <row r="61" spans="1:5" x14ac:dyDescent="0.3">
      <c r="A61" s="128" t="str">
        <f>IF(Instructions!$B$1="CZ","Hotovost","Cash")</f>
        <v>Hotovost</v>
      </c>
      <c r="B61" s="297">
        <v>1147756</v>
      </c>
      <c r="E61" s="294"/>
    </row>
    <row r="62" spans="1:5" ht="16.2" thickBot="1" x14ac:dyDescent="0.35">
      <c r="A62" s="130" t="str">
        <f>IF(Instructions!$B$1="CZ","CELKEM","TOTAL")</f>
        <v>CELKEM</v>
      </c>
      <c r="B62" s="298">
        <v>10597101</v>
      </c>
      <c r="C62" s="132"/>
      <c r="D62" s="132" t="str">
        <f>IF(Instructions!$B$1="CZ","CELKEM","TOTAL")</f>
        <v>CELKEM</v>
      </c>
      <c r="E62" s="295">
        <v>10597101</v>
      </c>
    </row>
    <row r="63" spans="1:5" ht="16.2" thickBot="1" x14ac:dyDescent="0.35">
      <c r="E63" s="1"/>
    </row>
    <row r="64" spans="1:5" ht="17.399999999999999" x14ac:dyDescent="0.3">
      <c r="A64" s="332" t="s">
        <v>19</v>
      </c>
      <c r="B64" s="334"/>
      <c r="D64" s="1"/>
    </row>
    <row r="65" spans="1:8" x14ac:dyDescent="0.3">
      <c r="A65" s="3" t="str">
        <f>Instructions!B5</f>
        <v>Byte Strategists</v>
      </c>
      <c r="B65" s="283">
        <v>66.760000000000005</v>
      </c>
    </row>
    <row r="66" spans="1:8" x14ac:dyDescent="0.3">
      <c r="A66" s="3" t="s">
        <v>20</v>
      </c>
      <c r="B66" s="283">
        <v>66.760000000000005</v>
      </c>
    </row>
    <row r="67" spans="1:8" x14ac:dyDescent="0.3">
      <c r="A67" s="3" t="s">
        <v>21</v>
      </c>
      <c r="B67" s="283">
        <v>66.760000000000005</v>
      </c>
    </row>
    <row r="68" spans="1:8" x14ac:dyDescent="0.3">
      <c r="A68" s="3" t="s">
        <v>22</v>
      </c>
      <c r="B68" s="283">
        <v>66.760000000000005</v>
      </c>
    </row>
    <row r="69" spans="1:8" ht="16.2" thickBot="1" x14ac:dyDescent="0.35">
      <c r="A69" s="4" t="s">
        <v>23</v>
      </c>
      <c r="B69" s="283">
        <v>66.760000000000005</v>
      </c>
    </row>
    <row r="70" spans="1:8" ht="16.2" thickBot="1" x14ac:dyDescent="0.35"/>
    <row r="71" spans="1:8" ht="18" thickBot="1" x14ac:dyDescent="0.35">
      <c r="A71" s="336" t="str">
        <f>IF(Instructions!$B$1="CZ","VÝKAZ ZISKŮ A ZTRÁT","PROFIT AND LOSS ACCOUNT")</f>
        <v>VÝKAZ ZISKŮ A ZTRÁT</v>
      </c>
      <c r="B71" s="337"/>
      <c r="G71" s="7" t="str">
        <f>IF(Instructions!$B$1="CZ","Ziskovost-STOLY","Profitability-DESKS")</f>
        <v>Ziskovost-STOLY</v>
      </c>
      <c r="H71" s="7" t="str">
        <f>IF(Instructions!$B$1="CZ","SKŘÍŇKY","CABINETS")</f>
        <v>SKŘÍŇKY</v>
      </c>
    </row>
    <row r="72" spans="1:8" x14ac:dyDescent="0.3">
      <c r="A72" s="157" t="str">
        <f>IF(Instructions!$B$1="CZ","Tržby","Sales revenues")</f>
        <v>Tržby</v>
      </c>
      <c r="B72" s="293">
        <v>3557130</v>
      </c>
      <c r="C72" s="1"/>
      <c r="G72" s="62">
        <f>B9</f>
        <v>3042000</v>
      </c>
      <c r="H72" s="62">
        <f>C9</f>
        <v>515130</v>
      </c>
    </row>
    <row r="73" spans="1:8" x14ac:dyDescent="0.3">
      <c r="A73" s="128" t="str">
        <f>IF(Instructions!$B$1="CZ","Náklady prodaných výrobků","Costs of goods sold")</f>
        <v>Náklady prodaných výrobků</v>
      </c>
      <c r="B73" s="294">
        <v>3128160</v>
      </c>
      <c r="C73" s="1"/>
      <c r="G73" s="62">
        <f>SUM(G74:G76)</f>
        <v>3275141.6370106759</v>
      </c>
      <c r="H73" s="62">
        <f>SUM(H74:H76)</f>
        <v>-146981.6370106762</v>
      </c>
    </row>
    <row r="74" spans="1:8" x14ac:dyDescent="0.3">
      <c r="A74" s="128" t="str">
        <f>IF(Instructions!$B$1="CZ","   Suroviny prodaných výrobků","   Raw materials in sold products")</f>
        <v xml:space="preserve">   Suroviny prodaných výrobků</v>
      </c>
      <c r="B74" s="159">
        <v>1232160</v>
      </c>
      <c r="C74" s="1"/>
      <c r="G74" s="62">
        <f>B8*Data!F9*Data!F15+B8*Data!F10*Data!F16</f>
        <v>1060800</v>
      </c>
      <c r="H74" s="62">
        <f>C8*Data!F9*Data!G15+C8*Data!F10*Data!G16</f>
        <v>171360</v>
      </c>
    </row>
    <row r="75" spans="1:8" x14ac:dyDescent="0.3">
      <c r="A75" s="128" t="str">
        <f>IF(Instructions!$B$1="CZ","   Výrobní náklady","   Production costs")</f>
        <v xml:space="preserve">   Výrobní náklady</v>
      </c>
      <c r="B75" s="159">
        <v>1842000</v>
      </c>
      <c r="C75" s="1"/>
      <c r="G75" s="62">
        <f>B8/(B8+C8)*B75</f>
        <v>1704341.6370106761</v>
      </c>
      <c r="H75" s="62">
        <f>C8/(B8+C8)*B75</f>
        <v>137658.36298932382</v>
      </c>
    </row>
    <row r="76" spans="1:8" x14ac:dyDescent="0.3">
      <c r="A76" s="157" t="str">
        <f>IF(Instructions!$B$1="CZ","   Změna stavu zásob výrobků","   Change of stock - end products")</f>
        <v xml:space="preserve">   Změna stavu zásob výrobků</v>
      </c>
      <c r="B76" s="167">
        <v>54000</v>
      </c>
      <c r="C76" s="1"/>
      <c r="E76" s="1"/>
      <c r="G76" s="62">
        <f>(B13-B16)*Data!B9</f>
        <v>510000</v>
      </c>
      <c r="H76" s="62">
        <f>(C13-C16)*Data!B10</f>
        <v>-456000</v>
      </c>
    </row>
    <row r="77" spans="1:8" ht="16.2" thickBot="1" x14ac:dyDescent="0.35">
      <c r="A77" s="130" t="str">
        <f>IF(Instructions!$B$1="CZ","Hrubý zisk","Gross result")</f>
        <v>Hrubý zisk</v>
      </c>
      <c r="B77" s="295">
        <v>428970</v>
      </c>
      <c r="C77" s="1"/>
      <c r="G77" s="62">
        <f>G72-G73</f>
        <v>-233141.63701067585</v>
      </c>
      <c r="H77" s="62">
        <f>H72-H73</f>
        <v>662111.6370106762</v>
      </c>
    </row>
    <row r="78" spans="1:8" x14ac:dyDescent="0.3">
      <c r="A78" s="128" t="str">
        <f>IF(Instructions!$B$1="CZ","Nepřímé náklady","Indirect costs")</f>
        <v>Nepřímé náklady</v>
      </c>
      <c r="B78" s="294">
        <v>240900</v>
      </c>
      <c r="C78" s="1"/>
      <c r="G78" s="62">
        <f>SUM(G79:G83)</f>
        <v>186841.45907473311</v>
      </c>
      <c r="H78" s="62">
        <f>SUM(H79:H83)</f>
        <v>54058.540925266905</v>
      </c>
    </row>
    <row r="79" spans="1:8" x14ac:dyDescent="0.3">
      <c r="A79" s="128" t="str">
        <f>IF(Instructions!$B$1="CZ","   Průzkum trhu","   Market survey")</f>
        <v xml:space="preserve">   Průzkum trhu</v>
      </c>
      <c r="B79" s="294">
        <v>0</v>
      </c>
      <c r="C79" s="1"/>
      <c r="G79" s="62">
        <f>B8/(B8+C8)*B79</f>
        <v>0</v>
      </c>
      <c r="H79" s="62">
        <f>C8/(B8+C8)*B79</f>
        <v>0</v>
      </c>
    </row>
    <row r="80" spans="1:8" x14ac:dyDescent="0.3">
      <c r="A80" s="128" t="str">
        <f>IF(Instructions!$B$1="CZ","   Marketingové oddělení","   Sales staff")</f>
        <v xml:space="preserve">   Marketingové oddělení</v>
      </c>
      <c r="B80" s="294">
        <v>150000</v>
      </c>
      <c r="C80" s="1"/>
      <c r="G80" s="62">
        <f>B8/(B8+C8)*B80</f>
        <v>138790.03558718861</v>
      </c>
      <c r="H80" s="62">
        <f>C8/(B8+C8)*B80</f>
        <v>11209.964412811387</v>
      </c>
    </row>
    <row r="81" spans="1:8" x14ac:dyDescent="0.3">
      <c r="A81" s="128" t="str">
        <f>IF(Instructions!$B$1="CZ","   Náklady neuspokojené poptávky","   Out-of-stock costs")</f>
        <v xml:space="preserve">   Náklady neuspokojené poptávky</v>
      </c>
      <c r="B81" s="294">
        <v>60100</v>
      </c>
      <c r="C81" s="1"/>
      <c r="G81" s="62">
        <f>IF(AND(B5&lt;1300,B8-B7&lt;0),(B7-B8)*25,0)</f>
        <v>25700</v>
      </c>
      <c r="H81" s="62">
        <f>IF(AND(C5&lt;2800,C8-C7&lt;0),(C7-C8)*50,0)</f>
        <v>34400</v>
      </c>
    </row>
    <row r="82" spans="1:8" x14ac:dyDescent="0.3">
      <c r="A82" s="128" t="str">
        <f>IF(Instructions!$B$1="CZ","   Skladovací náklady - suroviny","   Storage costs - raw materials")</f>
        <v xml:space="preserve">   Skladovací náklady - suroviny</v>
      </c>
      <c r="B82" s="294">
        <v>650</v>
      </c>
      <c r="C82" s="1"/>
      <c r="G82" s="62">
        <f>B8/(B8+C8)*B82</f>
        <v>601.42348754448403</v>
      </c>
      <c r="H82" s="62">
        <f>C8/(B8+C8)*B82</f>
        <v>48.57651245551601</v>
      </c>
    </row>
    <row r="83" spans="1:8" x14ac:dyDescent="0.3">
      <c r="A83" s="157" t="str">
        <f>IF(Instructions!$B$1="CZ","   Skladovací náklady - výrobky","   Storage costs - end products")</f>
        <v xml:space="preserve">   Skladovací náklady - výrobky</v>
      </c>
      <c r="B83" s="167">
        <v>30150</v>
      </c>
      <c r="C83" s="1"/>
      <c r="G83" s="62">
        <f>B16*Data!F3</f>
        <v>21750</v>
      </c>
      <c r="H83" s="62">
        <f>C16*Data!F3</f>
        <v>8400</v>
      </c>
    </row>
    <row r="84" spans="1:8" ht="16.2" thickBot="1" x14ac:dyDescent="0.35">
      <c r="A84" s="128" t="str">
        <f>IF(Instructions!$B$1="CZ","Provozní zisk","Operating result")</f>
        <v>Provozní zisk</v>
      </c>
      <c r="B84" s="294">
        <v>188070</v>
      </c>
      <c r="C84" s="1"/>
      <c r="G84" s="62">
        <f>G77-G78</f>
        <v>-419983.09608540894</v>
      </c>
      <c r="H84" s="62">
        <f>H77-H78</f>
        <v>608053.09608540928</v>
      </c>
    </row>
    <row r="85" spans="1:8" x14ac:dyDescent="0.3">
      <c r="A85" s="190" t="str">
        <f>IF(Instructions!$B$1="CZ","Zaplacené úroky","Capital costs")</f>
        <v>Zaplacené úroky</v>
      </c>
      <c r="B85" s="296">
        <v>0</v>
      </c>
      <c r="C85" s="1"/>
      <c r="G85" s="62">
        <f>B8/(B8+C8)*B85</f>
        <v>0</v>
      </c>
      <c r="H85" s="62">
        <f>C8/(B8+C8)*B85</f>
        <v>0</v>
      </c>
    </row>
    <row r="86" spans="1:8" x14ac:dyDescent="0.3">
      <c r="A86" s="128" t="str">
        <f>IF(Instructions!$B$1="CZ","Mimořádné výdaje","Extraordinary expenses")</f>
        <v>Mimořádné výdaje</v>
      </c>
      <c r="B86" s="294">
        <v>0</v>
      </c>
      <c r="C86" s="1"/>
      <c r="G86" s="62">
        <f>B8/(B8+C8)*B86</f>
        <v>0</v>
      </c>
      <c r="H86" s="62">
        <f>C8/(B8+C8)*B86</f>
        <v>0</v>
      </c>
    </row>
    <row r="87" spans="1:8" x14ac:dyDescent="0.3">
      <c r="A87" s="128" t="str">
        <f>IF(Instructions!$B$1="CZ","Zisk z provozní činnosti před zdaněním","Normal operating result before tax")</f>
        <v>Zisk z provozní činnosti před zdaněním</v>
      </c>
      <c r="B87" s="294">
        <v>188070</v>
      </c>
      <c r="C87" s="1"/>
      <c r="G87" s="62">
        <f>G84-G85-G86</f>
        <v>-419983.09608540894</v>
      </c>
      <c r="H87" s="62">
        <f>H84-H85-H86</f>
        <v>608053.09608540928</v>
      </c>
    </row>
    <row r="88" spans="1:8" x14ac:dyDescent="0.3">
      <c r="A88" s="128" t="str">
        <f>IF(Instructions!$B$1="CZ","Daně","Taxes")</f>
        <v>Daně</v>
      </c>
      <c r="B88" s="294">
        <v>0</v>
      </c>
      <c r="C88" s="1"/>
    </row>
    <row r="89" spans="1:8" x14ac:dyDescent="0.3">
      <c r="A89" s="157" t="str">
        <f>IF(Instructions!$B$1="CZ","Zisk z provozní činnosti po zdanění","Normal operating result after tax")</f>
        <v>Zisk z provozní činnosti po zdanění</v>
      </c>
      <c r="B89" s="293">
        <v>188070</v>
      </c>
      <c r="C89" s="1"/>
    </row>
    <row r="90" spans="1:8" x14ac:dyDescent="0.3">
      <c r="A90" s="128" t="str">
        <f>IF(Instructions!$B$1="CZ","Mimořádné příjmy","Extraordinary revenues")</f>
        <v>Mimořádné příjmy</v>
      </c>
      <c r="B90" s="294">
        <v>0</v>
      </c>
      <c r="C90" s="1"/>
    </row>
    <row r="91" spans="1:8" ht="16.2" thickBot="1" x14ac:dyDescent="0.35">
      <c r="A91" s="130" t="str">
        <f>IF(Instructions!$B$1="CZ","Celkový čistý zisk","Net result")</f>
        <v>Celkový čistý zisk</v>
      </c>
      <c r="B91" s="295">
        <v>188070</v>
      </c>
      <c r="C91" s="1"/>
    </row>
  </sheetData>
  <mergeCells count="12">
    <mergeCell ref="A56:E56"/>
    <mergeCell ref="G1:L1"/>
    <mergeCell ref="A71:B71"/>
    <mergeCell ref="A18:C18"/>
    <mergeCell ref="A26:E26"/>
    <mergeCell ref="A34:B34"/>
    <mergeCell ref="A1:E1"/>
    <mergeCell ref="A3:C3"/>
    <mergeCell ref="A11:C11"/>
    <mergeCell ref="D6:E6"/>
    <mergeCell ref="D11:E11"/>
    <mergeCell ref="A64:B64"/>
  </mergeCells>
  <pageMargins left="0.78740157499999996" right="0.78740157499999996" top="0.984251969" bottom="0.984251969" header="0.4921259845" footer="0.4921259845"/>
  <pageSetup paperSize="9" scale="77" orientation="portrait" r:id="rId1"/>
  <headerFooter alignWithMargins="0">
    <oddHeader>&amp;R5. KOLO</oddHeader>
    <oddFooter>Stránka &amp;P</oddFooter>
  </headerFooter>
  <rowBreaks count="1" manualBreakCount="1">
    <brk id="55" max="11" man="1"/>
  </rowBreaks>
  <colBreaks count="1" manualBreakCount="1">
    <brk id="5" max="90" man="1"/>
  </col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CF5036-293E-4409-94C0-D3A3F79BD45F}">
  <dimension ref="A1:P247"/>
  <sheetViews>
    <sheetView zoomScaleNormal="100" workbookViewId="0">
      <selection activeCell="E13" sqref="E13"/>
    </sheetView>
  </sheetViews>
  <sheetFormatPr defaultColWidth="8.59765625" defaultRowHeight="14.4" x14ac:dyDescent="0.3"/>
  <cols>
    <col min="1" max="4" width="16.09765625" style="281" bestFit="1" customWidth="1"/>
    <col min="5" max="5" width="25.8984375" style="281" customWidth="1"/>
    <col min="6" max="13" width="8.59765625" style="281"/>
    <col min="14" max="14" width="8.59765625" style="281" customWidth="1"/>
    <col min="15" max="16384" width="8.59765625" style="281"/>
  </cols>
  <sheetData>
    <row r="1" spans="1:16" x14ac:dyDescent="0.3">
      <c r="A1" s="281" t="s">
        <v>81</v>
      </c>
      <c r="B1" s="281">
        <v>2</v>
      </c>
      <c r="C1" s="281">
        <v>3</v>
      </c>
      <c r="D1" s="281">
        <v>4</v>
      </c>
      <c r="E1" s="281">
        <v>5</v>
      </c>
      <c r="F1" s="281">
        <v>6</v>
      </c>
      <c r="G1" s="281">
        <v>7</v>
      </c>
      <c r="H1" s="281">
        <v>8</v>
      </c>
      <c r="I1" s="281">
        <v>9</v>
      </c>
      <c r="J1" s="281">
        <v>10</v>
      </c>
      <c r="K1" s="281">
        <v>11</v>
      </c>
      <c r="L1" s="281">
        <v>12</v>
      </c>
      <c r="N1" s="321">
        <v>2023</v>
      </c>
      <c r="O1" s="281">
        <v>2024</v>
      </c>
      <c r="P1" s="281">
        <v>2025</v>
      </c>
    </row>
    <row r="2" spans="1:16" ht="15.6" x14ac:dyDescent="0.3">
      <c r="A2" s="281" t="s">
        <v>82</v>
      </c>
      <c r="B2" s="281" t="s">
        <v>82</v>
      </c>
      <c r="C2" s="281" t="s">
        <v>82</v>
      </c>
      <c r="D2" s="281" t="s">
        <v>123</v>
      </c>
      <c r="E2" s="281" t="s">
        <v>82</v>
      </c>
      <c r="F2" s="281" t="s">
        <v>82</v>
      </c>
      <c r="G2" s="281" t="s">
        <v>82</v>
      </c>
      <c r="H2" s="281" t="s">
        <v>82</v>
      </c>
      <c r="I2" s="281" t="s">
        <v>82</v>
      </c>
      <c r="J2" s="281" t="s">
        <v>82</v>
      </c>
      <c r="K2" s="281" t="s">
        <v>82</v>
      </c>
      <c r="L2" s="281" t="s">
        <v>82</v>
      </c>
      <c r="N2" s="317" t="s">
        <v>84</v>
      </c>
      <c r="O2" s="317" t="s">
        <v>83</v>
      </c>
      <c r="P2" s="317" t="s">
        <v>83</v>
      </c>
    </row>
    <row r="3" spans="1:16" ht="15.6" x14ac:dyDescent="0.3">
      <c r="D3" s="281" t="s">
        <v>75</v>
      </c>
      <c r="N3" s="288" t="s">
        <v>85</v>
      </c>
    </row>
    <row r="4" spans="1:16" ht="15.6" x14ac:dyDescent="0.3">
      <c r="D4" s="281" t="s">
        <v>76</v>
      </c>
      <c r="N4" s="288" t="s">
        <v>86</v>
      </c>
    </row>
    <row r="5" spans="1:16" ht="15.6" x14ac:dyDescent="0.3">
      <c r="D5" s="281" t="s">
        <v>77</v>
      </c>
      <c r="N5" s="288" t="s">
        <v>87</v>
      </c>
    </row>
    <row r="6" spans="1:16" ht="15.6" x14ac:dyDescent="0.3">
      <c r="D6" s="281" t="s">
        <v>78</v>
      </c>
      <c r="N6" s="288" t="s">
        <v>88</v>
      </c>
    </row>
    <row r="7" spans="1:16" ht="15.6" x14ac:dyDescent="0.3">
      <c r="D7" s="281" t="s">
        <v>79</v>
      </c>
      <c r="N7" s="288" t="s">
        <v>89</v>
      </c>
    </row>
    <row r="8" spans="1:16" ht="15.6" x14ac:dyDescent="0.3">
      <c r="D8" s="281" t="s">
        <v>80</v>
      </c>
      <c r="N8" s="288" t="s">
        <v>90</v>
      </c>
    </row>
    <row r="9" spans="1:16" ht="15.6" x14ac:dyDescent="0.3">
      <c r="D9" s="281" t="s">
        <v>124</v>
      </c>
      <c r="N9" s="288" t="s">
        <v>91</v>
      </c>
    </row>
    <row r="10" spans="1:16" ht="15.6" x14ac:dyDescent="0.3">
      <c r="A10" s="282"/>
      <c r="B10" s="282"/>
      <c r="C10" s="282"/>
      <c r="D10" s="282">
        <v>1250</v>
      </c>
      <c r="N10" s="288" t="s">
        <v>92</v>
      </c>
    </row>
    <row r="11" spans="1:16" ht="15.6" x14ac:dyDescent="0.3">
      <c r="A11" s="282"/>
      <c r="B11" s="282"/>
      <c r="C11" s="282"/>
      <c r="D11" s="282">
        <v>1930</v>
      </c>
      <c r="N11" s="288" t="s">
        <v>93</v>
      </c>
    </row>
    <row r="12" spans="1:16" ht="15.6" x14ac:dyDescent="0.3">
      <c r="A12" s="282"/>
      <c r="B12" s="282"/>
      <c r="C12" s="282"/>
      <c r="D12" s="282">
        <v>2773</v>
      </c>
      <c r="N12" s="288" t="s">
        <v>94</v>
      </c>
    </row>
    <row r="13" spans="1:16" ht="15.6" x14ac:dyDescent="0.3">
      <c r="A13" s="282"/>
      <c r="B13" s="282"/>
      <c r="C13" s="282"/>
      <c r="D13" s="282">
        <v>1930</v>
      </c>
      <c r="N13" s="288" t="s">
        <v>95</v>
      </c>
    </row>
    <row r="14" spans="1:16" ht="15.6" x14ac:dyDescent="0.3">
      <c r="A14" s="282"/>
      <c r="B14" s="282"/>
      <c r="C14" s="282"/>
      <c r="D14" s="282">
        <v>2412500</v>
      </c>
      <c r="N14" s="288" t="s">
        <v>96</v>
      </c>
    </row>
    <row r="15" spans="1:16" ht="15.6" x14ac:dyDescent="0.3">
      <c r="D15" s="281" t="s">
        <v>125</v>
      </c>
      <c r="N15" s="288" t="s">
        <v>97</v>
      </c>
    </row>
    <row r="16" spans="1:16" ht="15.6" x14ac:dyDescent="0.3">
      <c r="A16" s="282"/>
      <c r="B16" s="282"/>
      <c r="C16" s="282"/>
      <c r="D16" s="282">
        <v>2667</v>
      </c>
      <c r="N16" s="288" t="s">
        <v>98</v>
      </c>
    </row>
    <row r="17" spans="1:14" ht="15.6" x14ac:dyDescent="0.3">
      <c r="D17" s="281">
        <v>570</v>
      </c>
      <c r="N17" s="288" t="s">
        <v>99</v>
      </c>
    </row>
    <row r="18" spans="1:14" ht="15.6" x14ac:dyDescent="0.3">
      <c r="D18" s="281">
        <v>559</v>
      </c>
      <c r="N18" s="288" t="s">
        <v>100</v>
      </c>
    </row>
    <row r="19" spans="1:14" ht="15.6" x14ac:dyDescent="0.3">
      <c r="D19" s="281">
        <v>559</v>
      </c>
      <c r="N19" s="288" t="s">
        <v>101</v>
      </c>
    </row>
    <row r="20" spans="1:14" ht="15.6" x14ac:dyDescent="0.3">
      <c r="A20" s="282"/>
      <c r="B20" s="282"/>
      <c r="C20" s="282"/>
      <c r="D20" s="282">
        <v>1490853</v>
      </c>
      <c r="N20" s="288" t="s">
        <v>102</v>
      </c>
    </row>
    <row r="21" spans="1:14" ht="15.6" x14ac:dyDescent="0.3">
      <c r="D21" s="281" t="s">
        <v>99</v>
      </c>
      <c r="N21" s="288" t="s">
        <v>103</v>
      </c>
    </row>
    <row r="22" spans="1:14" ht="15.6" x14ac:dyDescent="0.3">
      <c r="D22" s="281" t="s">
        <v>126</v>
      </c>
      <c r="N22" s="288" t="s">
        <v>104</v>
      </c>
    </row>
    <row r="23" spans="1:14" ht="15.6" x14ac:dyDescent="0.3">
      <c r="D23" s="281" t="s">
        <v>127</v>
      </c>
      <c r="N23" s="288" t="s">
        <v>105</v>
      </c>
    </row>
    <row r="24" spans="1:14" ht="15.6" x14ac:dyDescent="0.3">
      <c r="D24" s="281" t="s">
        <v>128</v>
      </c>
      <c r="N24" s="288" t="s">
        <v>106</v>
      </c>
    </row>
    <row r="25" spans="1:14" ht="15.6" x14ac:dyDescent="0.3">
      <c r="D25" s="281" t="s">
        <v>129</v>
      </c>
      <c r="N25" s="288" t="s">
        <v>107</v>
      </c>
    </row>
    <row r="26" spans="1:14" ht="15.6" x14ac:dyDescent="0.3">
      <c r="D26" s="281" t="s">
        <v>130</v>
      </c>
      <c r="N26" s="288" t="s">
        <v>108</v>
      </c>
    </row>
    <row r="27" spans="1:14" ht="15.6" x14ac:dyDescent="0.3">
      <c r="D27" s="281" t="s">
        <v>124</v>
      </c>
      <c r="N27" s="288" t="s">
        <v>109</v>
      </c>
    </row>
    <row r="28" spans="1:14" ht="15.6" x14ac:dyDescent="0.3">
      <c r="A28" s="282"/>
      <c r="B28" s="282"/>
      <c r="C28" s="282"/>
      <c r="D28" s="282">
        <v>2200</v>
      </c>
      <c r="N28" s="288" t="s">
        <v>110</v>
      </c>
    </row>
    <row r="29" spans="1:14" ht="15.6" x14ac:dyDescent="0.3">
      <c r="A29" s="282"/>
      <c r="B29" s="282"/>
      <c r="C29" s="282"/>
      <c r="D29" s="282">
        <v>1900</v>
      </c>
      <c r="N29" s="288" t="s">
        <v>111</v>
      </c>
    </row>
    <row r="30" spans="1:14" ht="15.6" x14ac:dyDescent="0.3">
      <c r="A30" s="282"/>
      <c r="B30" s="282"/>
      <c r="C30" s="282"/>
      <c r="D30" s="282">
        <v>1900</v>
      </c>
      <c r="N30" s="288" t="s">
        <v>112</v>
      </c>
    </row>
    <row r="31" spans="1:14" ht="15.6" x14ac:dyDescent="0.3">
      <c r="A31" s="282"/>
      <c r="B31" s="282"/>
      <c r="C31" s="282"/>
      <c r="D31" s="282">
        <v>2170</v>
      </c>
      <c r="N31" s="288" t="s">
        <v>113</v>
      </c>
    </row>
    <row r="32" spans="1:14" ht="15.6" x14ac:dyDescent="0.3">
      <c r="D32" s="281" t="s">
        <v>125</v>
      </c>
      <c r="N32" s="288" t="s">
        <v>111</v>
      </c>
    </row>
    <row r="33" spans="1:14" ht="15.6" x14ac:dyDescent="0.3">
      <c r="D33" s="281">
        <v>870</v>
      </c>
      <c r="N33" s="288" t="s">
        <v>112</v>
      </c>
    </row>
    <row r="34" spans="1:14" ht="15.6" x14ac:dyDescent="0.3">
      <c r="D34" s="281">
        <v>600</v>
      </c>
      <c r="N34" s="288" t="s">
        <v>17</v>
      </c>
    </row>
    <row r="35" spans="1:14" ht="15.6" x14ac:dyDescent="0.3">
      <c r="D35" s="281">
        <v>600</v>
      </c>
      <c r="N35" s="288" t="s">
        <v>114</v>
      </c>
    </row>
    <row r="36" spans="1:14" ht="15.6" x14ac:dyDescent="0.3">
      <c r="D36" s="281">
        <v>911</v>
      </c>
      <c r="N36" s="288" t="s">
        <v>115</v>
      </c>
    </row>
    <row r="37" spans="1:14" ht="15.6" x14ac:dyDescent="0.3">
      <c r="D37" s="281" t="s">
        <v>131</v>
      </c>
      <c r="N37" s="288" t="s">
        <v>116</v>
      </c>
    </row>
    <row r="38" spans="1:14" ht="15.6" x14ac:dyDescent="0.3">
      <c r="D38" s="281" t="s">
        <v>132</v>
      </c>
      <c r="N38" s="288" t="s">
        <v>117</v>
      </c>
    </row>
    <row r="39" spans="1:14" ht="15.6" x14ac:dyDescent="0.3">
      <c r="D39" s="281" t="s">
        <v>133</v>
      </c>
      <c r="N39" s="288" t="s">
        <v>118</v>
      </c>
    </row>
    <row r="40" spans="1:14" ht="15.6" x14ac:dyDescent="0.3">
      <c r="D40" s="281" t="s">
        <v>134</v>
      </c>
      <c r="N40" s="288" t="s">
        <v>119</v>
      </c>
    </row>
    <row r="41" spans="1:14" ht="15.6" x14ac:dyDescent="0.3">
      <c r="D41" s="281" t="s">
        <v>135</v>
      </c>
      <c r="N41" s="288" t="s">
        <v>120</v>
      </c>
    </row>
    <row r="42" spans="1:14" ht="15.6" x14ac:dyDescent="0.3">
      <c r="D42" s="281" t="s">
        <v>136</v>
      </c>
      <c r="N42" s="288" t="s">
        <v>121</v>
      </c>
    </row>
    <row r="43" spans="1:14" ht="15.6" x14ac:dyDescent="0.3">
      <c r="D43" s="281" t="s">
        <v>137</v>
      </c>
      <c r="N43" s="287">
        <v>1</v>
      </c>
    </row>
    <row r="44" spans="1:14" ht="15.6" x14ac:dyDescent="0.3">
      <c r="D44" s="281" t="s">
        <v>138</v>
      </c>
      <c r="N44" s="307">
        <v>3557130</v>
      </c>
    </row>
    <row r="45" spans="1:14" ht="15.6" x14ac:dyDescent="0.3">
      <c r="D45" s="281">
        <v>600</v>
      </c>
      <c r="N45" s="307">
        <v>3128160</v>
      </c>
    </row>
    <row r="46" spans="1:14" ht="15.6" x14ac:dyDescent="0.3">
      <c r="A46" s="282"/>
      <c r="B46" s="282"/>
      <c r="C46" s="282"/>
      <c r="D46" s="282">
        <v>37200</v>
      </c>
      <c r="N46" s="307">
        <v>240900</v>
      </c>
    </row>
    <row r="47" spans="1:14" ht="15.6" x14ac:dyDescent="0.3">
      <c r="D47" s="322">
        <v>24</v>
      </c>
      <c r="N47" s="307">
        <v>188070</v>
      </c>
    </row>
    <row r="48" spans="1:14" ht="15.6" x14ac:dyDescent="0.3">
      <c r="A48" s="282"/>
      <c r="B48" s="282"/>
      <c r="C48" s="282"/>
      <c r="D48" s="282">
        <v>37200</v>
      </c>
      <c r="N48" s="289">
        <v>0</v>
      </c>
    </row>
    <row r="49" spans="1:14" ht="15.6" x14ac:dyDescent="0.3">
      <c r="D49" s="281">
        <v>600</v>
      </c>
      <c r="N49" s="289">
        <v>0</v>
      </c>
    </row>
    <row r="50" spans="1:14" ht="15.6" x14ac:dyDescent="0.3">
      <c r="D50" s="281" t="s">
        <v>139</v>
      </c>
      <c r="N50" s="289">
        <v>0</v>
      </c>
    </row>
    <row r="51" spans="1:14" ht="15.6" x14ac:dyDescent="0.3">
      <c r="D51" s="281">
        <v>700</v>
      </c>
      <c r="N51" s="289">
        <v>0</v>
      </c>
    </row>
    <row r="52" spans="1:14" ht="15.6" x14ac:dyDescent="0.3">
      <c r="A52" s="282"/>
      <c r="B52" s="282"/>
      <c r="C52" s="282"/>
      <c r="D52" s="282">
        <v>24800</v>
      </c>
      <c r="N52" s="307">
        <v>188070</v>
      </c>
    </row>
    <row r="53" spans="1:14" ht="15.6" x14ac:dyDescent="0.3">
      <c r="B53" s="292"/>
      <c r="D53" s="281">
        <v>12.38</v>
      </c>
      <c r="N53" s="289">
        <v>0</v>
      </c>
    </row>
    <row r="54" spans="1:14" ht="15.6" x14ac:dyDescent="0.3">
      <c r="A54" s="282"/>
      <c r="B54" s="282"/>
      <c r="C54" s="282"/>
      <c r="D54" s="282">
        <v>24800</v>
      </c>
      <c r="N54" s="307">
        <v>1170</v>
      </c>
    </row>
    <row r="55" spans="1:14" ht="15.6" x14ac:dyDescent="0.3">
      <c r="D55" s="281">
        <v>700</v>
      </c>
      <c r="N55" s="307">
        <v>2453</v>
      </c>
    </row>
    <row r="56" spans="1:14" ht="15.6" x14ac:dyDescent="0.3">
      <c r="D56" s="281" t="s">
        <v>140</v>
      </c>
      <c r="N56" s="307">
        <v>60100</v>
      </c>
    </row>
    <row r="57" spans="1:14" ht="15.6" x14ac:dyDescent="0.3">
      <c r="D57" s="281" t="s">
        <v>141</v>
      </c>
      <c r="N57" s="289">
        <v>3</v>
      </c>
    </row>
    <row r="58" spans="1:14" ht="15.6" x14ac:dyDescent="0.3">
      <c r="D58" s="281" t="s">
        <v>115</v>
      </c>
      <c r="N58" s="289">
        <v>83</v>
      </c>
    </row>
    <row r="59" spans="1:14" ht="15.6" x14ac:dyDescent="0.3">
      <c r="D59" s="281" t="s">
        <v>142</v>
      </c>
      <c r="N59" s="289">
        <v>100</v>
      </c>
    </row>
    <row r="60" spans="1:14" ht="15.6" x14ac:dyDescent="0.3">
      <c r="D60" s="281" t="s">
        <v>116</v>
      </c>
      <c r="N60" s="289">
        <v>29</v>
      </c>
    </row>
    <row r="61" spans="1:14" ht="15.6" x14ac:dyDescent="0.3">
      <c r="D61" s="281" t="s">
        <v>143</v>
      </c>
      <c r="N61" s="289">
        <v>27</v>
      </c>
    </row>
    <row r="62" spans="1:14" ht="15.6" x14ac:dyDescent="0.3">
      <c r="D62" s="281" t="s">
        <v>144</v>
      </c>
      <c r="N62" s="289">
        <v>0</v>
      </c>
    </row>
    <row r="63" spans="1:14" ht="15.6" x14ac:dyDescent="0.3">
      <c r="D63" s="281" t="s">
        <v>145</v>
      </c>
      <c r="N63" s="307">
        <v>48000</v>
      </c>
    </row>
    <row r="64" spans="1:14" ht="15.6" x14ac:dyDescent="0.3">
      <c r="D64" s="281" t="s">
        <v>146</v>
      </c>
      <c r="N64" s="289">
        <v>0</v>
      </c>
    </row>
    <row r="65" spans="1:14" ht="15.6" x14ac:dyDescent="0.3">
      <c r="D65" s="281">
        <v>100</v>
      </c>
      <c r="N65" s="307">
        <v>1076474</v>
      </c>
    </row>
    <row r="66" spans="1:14" ht="15.6" x14ac:dyDescent="0.3">
      <c r="D66" s="281">
        <v>100</v>
      </c>
      <c r="N66" s="289">
        <v>0</v>
      </c>
    </row>
    <row r="67" spans="1:14" ht="15.6" x14ac:dyDescent="0.3">
      <c r="D67" s="281">
        <v>0</v>
      </c>
      <c r="N67" s="307">
        <v>23345</v>
      </c>
    </row>
    <row r="68" spans="1:14" ht="15.6" x14ac:dyDescent="0.3">
      <c r="D68" s="281" t="s">
        <v>147</v>
      </c>
      <c r="N68" s="289">
        <v>650</v>
      </c>
    </row>
    <row r="69" spans="1:14" ht="15.6" x14ac:dyDescent="0.3">
      <c r="D69" s="281">
        <v>0</v>
      </c>
      <c r="N69" s="307">
        <v>4626000</v>
      </c>
    </row>
    <row r="70" spans="1:14" ht="15.6" x14ac:dyDescent="0.3">
      <c r="D70" s="281">
        <v>100</v>
      </c>
      <c r="N70" s="307">
        <v>30150</v>
      </c>
    </row>
    <row r="71" spans="1:14" ht="15.6" x14ac:dyDescent="0.3">
      <c r="A71" s="282"/>
      <c r="B71" s="282"/>
      <c r="C71" s="282"/>
      <c r="D71" s="282">
        <v>1440000</v>
      </c>
      <c r="N71" s="289">
        <v>100</v>
      </c>
    </row>
    <row r="72" spans="1:14" ht="15.6" x14ac:dyDescent="0.3">
      <c r="A72" s="282"/>
      <c r="B72" s="282"/>
      <c r="C72" s="282"/>
      <c r="D72" s="282">
        <v>46452</v>
      </c>
      <c r="N72" s="289">
        <v>100</v>
      </c>
    </row>
    <row r="73" spans="1:14" ht="15.6" x14ac:dyDescent="0.3">
      <c r="D73" s="281" t="s">
        <v>148</v>
      </c>
      <c r="N73" s="289">
        <v>100</v>
      </c>
    </row>
    <row r="74" spans="1:14" ht="15.6" x14ac:dyDescent="0.3">
      <c r="D74" s="281" t="s">
        <v>149</v>
      </c>
      <c r="N74" s="289">
        <v>0</v>
      </c>
    </row>
    <row r="75" spans="1:14" ht="15.6" x14ac:dyDescent="0.3">
      <c r="D75" s="281" t="s">
        <v>85</v>
      </c>
      <c r="N75" s="289">
        <v>0</v>
      </c>
    </row>
    <row r="76" spans="1:14" ht="15.6" x14ac:dyDescent="0.3">
      <c r="D76" s="281" t="s">
        <v>150</v>
      </c>
      <c r="N76" s="289">
        <v>0</v>
      </c>
    </row>
    <row r="77" spans="1:14" ht="15.6" x14ac:dyDescent="0.3">
      <c r="D77" s="281" t="s">
        <v>119</v>
      </c>
      <c r="N77" s="289">
        <v>0</v>
      </c>
    </row>
    <row r="78" spans="1:14" ht="15.6" x14ac:dyDescent="0.3">
      <c r="D78" s="281" t="s">
        <v>92</v>
      </c>
      <c r="N78" s="307">
        <v>1147756</v>
      </c>
    </row>
    <row r="79" spans="1:14" ht="15.6" x14ac:dyDescent="0.3">
      <c r="D79" s="281" t="s">
        <v>151</v>
      </c>
      <c r="N79" s="289">
        <v>66.760000000000005</v>
      </c>
    </row>
    <row r="80" spans="1:14" ht="15.6" x14ac:dyDescent="0.3">
      <c r="D80" s="281" t="s">
        <v>152</v>
      </c>
      <c r="N80" s="289">
        <v>2</v>
      </c>
    </row>
    <row r="81" spans="1:14" ht="15.6" x14ac:dyDescent="0.3">
      <c r="D81" s="281" t="s">
        <v>153</v>
      </c>
      <c r="N81" s="307">
        <v>3786930</v>
      </c>
    </row>
    <row r="82" spans="1:14" ht="15.6" x14ac:dyDescent="0.3">
      <c r="D82" s="281" t="s">
        <v>154</v>
      </c>
      <c r="N82" s="307">
        <v>2998735</v>
      </c>
    </row>
    <row r="83" spans="1:14" ht="15.6" x14ac:dyDescent="0.3">
      <c r="D83" s="281" t="s">
        <v>89</v>
      </c>
      <c r="N83" s="307">
        <v>229375</v>
      </c>
    </row>
    <row r="84" spans="1:14" ht="15.6" x14ac:dyDescent="0.3">
      <c r="D84" s="281" t="s">
        <v>118</v>
      </c>
      <c r="N84" s="308">
        <v>558820</v>
      </c>
    </row>
    <row r="85" spans="1:14" ht="15.6" x14ac:dyDescent="0.3">
      <c r="D85" s="281" t="s">
        <v>155</v>
      </c>
      <c r="N85" s="289">
        <v>0</v>
      </c>
    </row>
    <row r="86" spans="1:14" ht="15.6" x14ac:dyDescent="0.3">
      <c r="D86" s="281" t="s">
        <v>99</v>
      </c>
      <c r="N86" s="289">
        <v>0</v>
      </c>
    </row>
    <row r="87" spans="1:14" ht="15.6" x14ac:dyDescent="0.3">
      <c r="D87" s="281" t="s">
        <v>156</v>
      </c>
      <c r="N87" s="289">
        <v>0</v>
      </c>
    </row>
    <row r="88" spans="1:14" ht="15.6" x14ac:dyDescent="0.3">
      <c r="D88" s="281" t="s">
        <v>157</v>
      </c>
      <c r="N88" s="289">
        <v>0</v>
      </c>
    </row>
    <row r="89" spans="1:14" ht="15.6" x14ac:dyDescent="0.3">
      <c r="D89" s="281" t="s">
        <v>158</v>
      </c>
      <c r="N89" s="307">
        <v>558820</v>
      </c>
    </row>
    <row r="90" spans="1:14" ht="15.6" x14ac:dyDescent="0.3">
      <c r="D90" s="281" t="s">
        <v>91</v>
      </c>
      <c r="N90" s="289">
        <v>0</v>
      </c>
    </row>
    <row r="91" spans="1:14" ht="15.6" x14ac:dyDescent="0.3">
      <c r="D91" s="281" t="s">
        <v>90</v>
      </c>
      <c r="N91" s="307">
        <v>1190</v>
      </c>
    </row>
    <row r="92" spans="1:14" ht="15.6" x14ac:dyDescent="0.3">
      <c r="D92" s="281" t="s">
        <v>159</v>
      </c>
      <c r="N92" s="307">
        <v>2507</v>
      </c>
    </row>
    <row r="93" spans="1:14" ht="15.6" x14ac:dyDescent="0.3">
      <c r="D93" s="281" t="s">
        <v>160</v>
      </c>
      <c r="N93" s="307">
        <v>47975</v>
      </c>
    </row>
    <row r="94" spans="1:14" ht="15.6" x14ac:dyDescent="0.3">
      <c r="A94" s="282"/>
      <c r="B94" s="282"/>
      <c r="C94" s="282"/>
      <c r="D94" s="282">
        <v>1407722</v>
      </c>
      <c r="N94" s="289">
        <v>3</v>
      </c>
    </row>
    <row r="95" spans="1:14" ht="15.6" x14ac:dyDescent="0.3">
      <c r="A95" s="282"/>
      <c r="B95" s="282"/>
      <c r="C95" s="282"/>
      <c r="D95" s="282">
        <v>3903353</v>
      </c>
      <c r="N95" s="289">
        <v>100</v>
      </c>
    </row>
    <row r="96" spans="1:14" ht="15.6" x14ac:dyDescent="0.3">
      <c r="D96" s="281">
        <v>0</v>
      </c>
      <c r="N96" s="289">
        <v>100</v>
      </c>
    </row>
    <row r="97" spans="1:14" ht="15.6" x14ac:dyDescent="0.3">
      <c r="D97" s="281">
        <v>0</v>
      </c>
      <c r="N97" s="289">
        <v>29</v>
      </c>
    </row>
    <row r="98" spans="1:14" ht="15.6" x14ac:dyDescent="0.3">
      <c r="D98" s="281">
        <v>0</v>
      </c>
      <c r="N98" s="289">
        <v>27</v>
      </c>
    </row>
    <row r="99" spans="1:14" ht="15.6" x14ac:dyDescent="0.3">
      <c r="A99" s="282"/>
      <c r="B99" s="282"/>
      <c r="C99" s="282"/>
      <c r="D99" s="282">
        <v>3903353</v>
      </c>
      <c r="N99" s="289">
        <v>2</v>
      </c>
    </row>
    <row r="100" spans="1:14" ht="15.6" x14ac:dyDescent="0.3">
      <c r="D100" s="281">
        <v>0</v>
      </c>
      <c r="N100" s="307">
        <v>48000</v>
      </c>
    </row>
    <row r="101" spans="1:14" ht="15.6" x14ac:dyDescent="0.3">
      <c r="A101" s="282"/>
      <c r="B101" s="282"/>
      <c r="C101" s="282"/>
      <c r="D101" s="282">
        <v>150000</v>
      </c>
      <c r="N101" s="289">
        <v>0</v>
      </c>
    </row>
    <row r="102" spans="1:14" ht="15.6" x14ac:dyDescent="0.3">
      <c r="D102" s="282">
        <v>164000</v>
      </c>
      <c r="N102" s="307">
        <v>1373850</v>
      </c>
    </row>
    <row r="103" spans="1:14" ht="15.6" x14ac:dyDescent="0.3">
      <c r="D103" s="281">
        <v>0</v>
      </c>
      <c r="N103" s="289">
        <v>0</v>
      </c>
    </row>
    <row r="104" spans="1:14" ht="15.6" x14ac:dyDescent="0.3">
      <c r="D104" s="281">
        <v>0</v>
      </c>
      <c r="N104" s="307">
        <v>25800</v>
      </c>
    </row>
    <row r="105" spans="1:14" ht="15.6" x14ac:dyDescent="0.3">
      <c r="A105" s="282"/>
      <c r="B105" s="282"/>
      <c r="C105" s="282"/>
      <c r="D105" s="282">
        <v>1199824</v>
      </c>
      <c r="N105" s="289">
        <v>650</v>
      </c>
    </row>
    <row r="106" spans="1:14" ht="15.6" x14ac:dyDescent="0.3">
      <c r="A106" s="282"/>
      <c r="B106" s="282"/>
      <c r="C106" s="282"/>
      <c r="D106" s="282">
        <v>1890000</v>
      </c>
      <c r="N106" s="307">
        <v>4740000</v>
      </c>
    </row>
    <row r="107" spans="1:14" ht="15.6" x14ac:dyDescent="0.3">
      <c r="A107" s="282"/>
      <c r="B107" s="282"/>
      <c r="C107" s="282"/>
      <c r="D107" s="282">
        <v>21075</v>
      </c>
      <c r="N107" s="307">
        <v>30750</v>
      </c>
    </row>
    <row r="108" spans="1:14" ht="15.6" x14ac:dyDescent="0.3">
      <c r="D108" s="281">
        <v>650</v>
      </c>
      <c r="N108" s="289">
        <v>100</v>
      </c>
    </row>
    <row r="109" spans="1:14" ht="15.6" x14ac:dyDescent="0.3">
      <c r="A109" s="282"/>
      <c r="B109" s="282"/>
      <c r="C109" s="282"/>
      <c r="D109" s="282">
        <v>30810</v>
      </c>
      <c r="N109" s="289">
        <v>100</v>
      </c>
    </row>
    <row r="110" spans="1:14" ht="15.6" x14ac:dyDescent="0.3">
      <c r="D110" s="281">
        <v>0</v>
      </c>
      <c r="N110" s="289">
        <v>100</v>
      </c>
    </row>
    <row r="111" spans="1:14" ht="15.6" x14ac:dyDescent="0.3">
      <c r="D111" s="281">
        <v>0</v>
      </c>
      <c r="N111" s="289">
        <v>0</v>
      </c>
    </row>
    <row r="112" spans="1:14" ht="15.6" x14ac:dyDescent="0.3">
      <c r="A112" s="282"/>
      <c r="B112" s="282"/>
      <c r="C112" s="282"/>
      <c r="D112" s="282">
        <v>3456359</v>
      </c>
      <c r="N112" s="289">
        <v>0</v>
      </c>
    </row>
    <row r="113" spans="1:14" ht="15.6" x14ac:dyDescent="0.3">
      <c r="A113" s="282"/>
      <c r="B113" s="282"/>
      <c r="C113" s="282"/>
      <c r="D113" s="282">
        <v>1854716</v>
      </c>
      <c r="N113" s="289">
        <v>0</v>
      </c>
    </row>
    <row r="114" spans="1:14" ht="15.6" x14ac:dyDescent="0.3">
      <c r="D114" s="281" t="s">
        <v>161</v>
      </c>
      <c r="N114" s="289">
        <v>0</v>
      </c>
    </row>
    <row r="115" spans="1:14" ht="15.6" x14ac:dyDescent="0.3">
      <c r="D115" s="281" t="s">
        <v>162</v>
      </c>
      <c r="N115" s="307">
        <v>1393461</v>
      </c>
    </row>
    <row r="116" spans="1:14" ht="15.6" x14ac:dyDescent="0.3">
      <c r="D116" s="281" t="s">
        <v>163</v>
      </c>
      <c r="N116" s="289">
        <v>64.33</v>
      </c>
    </row>
    <row r="117" spans="1:14" ht="15.6" x14ac:dyDescent="0.3">
      <c r="D117" s="281" t="s">
        <v>108</v>
      </c>
      <c r="N117" s="289">
        <v>3</v>
      </c>
    </row>
    <row r="118" spans="1:14" ht="15.6" x14ac:dyDescent="0.3">
      <c r="D118" s="281" t="s">
        <v>164</v>
      </c>
      <c r="N118" s="307">
        <v>3535360</v>
      </c>
    </row>
    <row r="119" spans="1:14" ht="15.6" x14ac:dyDescent="0.3">
      <c r="D119" s="281" t="s">
        <v>120</v>
      </c>
      <c r="N119" s="307">
        <v>3220639</v>
      </c>
    </row>
    <row r="120" spans="1:14" ht="15.6" x14ac:dyDescent="0.3">
      <c r="D120" s="281" t="s">
        <v>122</v>
      </c>
      <c r="N120" s="307">
        <v>256325</v>
      </c>
    </row>
    <row r="121" spans="1:14" ht="15.6" x14ac:dyDescent="0.3">
      <c r="A121" s="282"/>
      <c r="B121" s="282"/>
      <c r="C121" s="282"/>
      <c r="D121" s="282">
        <v>3000000</v>
      </c>
      <c r="N121" s="307">
        <v>58396</v>
      </c>
    </row>
    <row r="122" spans="1:14" ht="15.6" x14ac:dyDescent="0.3">
      <c r="A122" s="282"/>
      <c r="B122" s="282"/>
      <c r="C122" s="282"/>
      <c r="D122" s="282">
        <v>1800000</v>
      </c>
      <c r="N122" s="289">
        <v>0</v>
      </c>
    </row>
    <row r="123" spans="1:14" ht="15.6" x14ac:dyDescent="0.3">
      <c r="A123" s="282"/>
      <c r="B123" s="282"/>
      <c r="C123" s="282"/>
      <c r="D123" s="282">
        <v>23066</v>
      </c>
      <c r="N123" s="289">
        <v>0</v>
      </c>
    </row>
    <row r="124" spans="1:14" ht="15.6" x14ac:dyDescent="0.3">
      <c r="A124" s="282"/>
      <c r="B124" s="282"/>
      <c r="C124" s="282"/>
      <c r="D124" s="282">
        <v>4790400</v>
      </c>
      <c r="N124" s="289">
        <v>0</v>
      </c>
    </row>
    <row r="125" spans="1:14" ht="15.6" x14ac:dyDescent="0.3">
      <c r="A125" s="282"/>
      <c r="B125" s="282"/>
      <c r="C125" s="282"/>
      <c r="D125" s="282">
        <v>1854716</v>
      </c>
      <c r="N125" s="287">
        <v>0</v>
      </c>
    </row>
    <row r="126" spans="1:14" ht="15.6" x14ac:dyDescent="0.3">
      <c r="A126" s="282"/>
      <c r="B126" s="282"/>
      <c r="C126" s="282"/>
      <c r="D126" s="282">
        <v>11468182</v>
      </c>
      <c r="N126" s="307">
        <v>58396</v>
      </c>
    </row>
    <row r="127" spans="1:14" ht="15.6" x14ac:dyDescent="0.3">
      <c r="D127" s="281" t="s">
        <v>165</v>
      </c>
      <c r="N127" s="289">
        <v>0</v>
      </c>
    </row>
    <row r="128" spans="1:14" ht="15.6" x14ac:dyDescent="0.3">
      <c r="D128" s="281" t="s">
        <v>117</v>
      </c>
      <c r="N128" s="307">
        <v>1160</v>
      </c>
    </row>
    <row r="129" spans="1:14" ht="15.6" x14ac:dyDescent="0.3">
      <c r="D129" s="281" t="s">
        <v>119</v>
      </c>
      <c r="N129" s="307">
        <v>2427</v>
      </c>
    </row>
    <row r="130" spans="1:14" ht="15.6" x14ac:dyDescent="0.3">
      <c r="D130" s="281" t="s">
        <v>91</v>
      </c>
      <c r="N130" s="307">
        <v>74975</v>
      </c>
    </row>
    <row r="131" spans="1:14" ht="15.6" x14ac:dyDescent="0.3">
      <c r="D131" s="281" t="s">
        <v>122</v>
      </c>
      <c r="N131" s="289">
        <v>3</v>
      </c>
    </row>
    <row r="132" spans="1:14" ht="15.6" x14ac:dyDescent="0.3">
      <c r="A132" s="282"/>
      <c r="B132" s="282"/>
      <c r="C132" s="282"/>
      <c r="D132" s="282">
        <v>10985278</v>
      </c>
      <c r="N132" s="289">
        <v>100</v>
      </c>
    </row>
    <row r="133" spans="1:14" ht="15.6" x14ac:dyDescent="0.3">
      <c r="D133" s="281">
        <v>0</v>
      </c>
      <c r="N133" s="289">
        <v>100</v>
      </c>
    </row>
    <row r="134" spans="1:14" ht="15.6" x14ac:dyDescent="0.3">
      <c r="D134" s="281">
        <v>0</v>
      </c>
      <c r="N134" s="289">
        <v>31</v>
      </c>
    </row>
    <row r="135" spans="1:14" ht="15.6" x14ac:dyDescent="0.3">
      <c r="D135" s="282">
        <v>482904</v>
      </c>
      <c r="N135" s="289">
        <v>29</v>
      </c>
    </row>
    <row r="136" spans="1:14" ht="15.6" x14ac:dyDescent="0.3">
      <c r="A136" s="282"/>
      <c r="B136" s="282"/>
      <c r="C136" s="282"/>
      <c r="D136" s="282">
        <v>11468182</v>
      </c>
      <c r="N136" s="289">
        <v>-1</v>
      </c>
    </row>
    <row r="137" spans="1:14" ht="15.6" x14ac:dyDescent="0.3">
      <c r="D137" s="281" t="s">
        <v>166</v>
      </c>
      <c r="N137" s="307">
        <v>49548</v>
      </c>
    </row>
    <row r="138" spans="1:14" ht="15.6" x14ac:dyDescent="0.3">
      <c r="D138" s="281" t="s">
        <v>167</v>
      </c>
      <c r="N138" s="289">
        <v>0</v>
      </c>
    </row>
    <row r="139" spans="1:14" ht="15.6" x14ac:dyDescent="0.3">
      <c r="D139" s="281">
        <v>69.319999999999993</v>
      </c>
      <c r="N139" s="307">
        <v>1278774</v>
      </c>
    </row>
    <row r="140" spans="1:14" ht="15.6" x14ac:dyDescent="0.3">
      <c r="D140" s="281" t="s">
        <v>168</v>
      </c>
      <c r="N140" s="289">
        <v>0</v>
      </c>
    </row>
    <row r="141" spans="1:14" ht="15.6" x14ac:dyDescent="0.3">
      <c r="D141" s="281" t="s">
        <v>169</v>
      </c>
      <c r="N141" s="307">
        <v>25002</v>
      </c>
    </row>
    <row r="142" spans="1:14" ht="15.6" x14ac:dyDescent="0.3">
      <c r="D142" s="281" t="s">
        <v>170</v>
      </c>
      <c r="N142" s="289">
        <v>650</v>
      </c>
    </row>
    <row r="143" spans="1:14" ht="15.6" x14ac:dyDescent="0.3">
      <c r="D143" s="281" t="s">
        <v>171</v>
      </c>
      <c r="N143" s="307">
        <v>4728000</v>
      </c>
    </row>
    <row r="144" spans="1:14" ht="15.6" x14ac:dyDescent="0.3">
      <c r="D144" s="281" t="s">
        <v>172</v>
      </c>
      <c r="N144" s="307">
        <v>30700</v>
      </c>
    </row>
    <row r="145" spans="4:14" ht="15.6" x14ac:dyDescent="0.3">
      <c r="D145" s="281">
        <v>69.319999999999993</v>
      </c>
      <c r="N145" s="289">
        <v>100</v>
      </c>
    </row>
    <row r="146" spans="4:14" ht="15.6" x14ac:dyDescent="0.3">
      <c r="D146" s="281">
        <v>68.540000000000006</v>
      </c>
      <c r="N146" s="289">
        <v>100</v>
      </c>
    </row>
    <row r="147" spans="4:14" ht="15.6" x14ac:dyDescent="0.3">
      <c r="D147" s="281">
        <v>67.97</v>
      </c>
      <c r="N147" s="289">
        <v>100</v>
      </c>
    </row>
    <row r="148" spans="4:14" ht="15.6" x14ac:dyDescent="0.3">
      <c r="D148" s="281">
        <v>67.95</v>
      </c>
      <c r="N148" s="289">
        <v>0</v>
      </c>
    </row>
    <row r="149" spans="4:14" ht="15.6" x14ac:dyDescent="0.3">
      <c r="D149" s="281" t="s">
        <v>173</v>
      </c>
      <c r="N149" s="289">
        <v>0</v>
      </c>
    </row>
    <row r="150" spans="4:14" ht="15.6" x14ac:dyDescent="0.3">
      <c r="D150" s="281" t="s">
        <v>85</v>
      </c>
      <c r="N150" s="289">
        <v>0</v>
      </c>
    </row>
    <row r="151" spans="4:14" ht="15.6" x14ac:dyDescent="0.3">
      <c r="D151" s="281" t="s">
        <v>174</v>
      </c>
      <c r="N151" s="289">
        <v>0</v>
      </c>
    </row>
    <row r="152" spans="4:14" ht="15.6" x14ac:dyDescent="0.3">
      <c r="D152" s="281" t="e" cm="1">
        <f t="array" ref="D152">- Suroviny prodaných výrobků</f>
        <v>#NAME?</v>
      </c>
      <c r="N152" s="307">
        <v>1407722</v>
      </c>
    </row>
    <row r="153" spans="4:14" ht="15.6" x14ac:dyDescent="0.3">
      <c r="D153" s="281" t="e" cm="1">
        <f t="array" ref="D153">- Výrobní náklady</f>
        <v>#NAME?</v>
      </c>
      <c r="N153" s="289">
        <v>58.44</v>
      </c>
    </row>
    <row r="154" spans="4:14" ht="15.6" x14ac:dyDescent="0.3">
      <c r="D154" s="281" t="s">
        <v>175</v>
      </c>
      <c r="N154" s="289">
        <v>4</v>
      </c>
    </row>
    <row r="155" spans="4:14" ht="15.6" x14ac:dyDescent="0.3">
      <c r="D155" s="281" t="s">
        <v>176</v>
      </c>
      <c r="N155" s="307">
        <v>3903353</v>
      </c>
    </row>
    <row r="156" spans="4:14" ht="15.6" x14ac:dyDescent="0.3">
      <c r="D156" s="281" t="s">
        <v>87</v>
      </c>
      <c r="N156" s="307">
        <v>3134844</v>
      </c>
    </row>
    <row r="157" spans="4:14" ht="15.6" x14ac:dyDescent="0.3">
      <c r="D157" s="281" t="e" cm="1">
        <f t="array" ref="D157">- Průzkum trhu</f>
        <v>#NAME?</v>
      </c>
      <c r="N157" s="307">
        <v>366535</v>
      </c>
    </row>
    <row r="158" spans="4:14" ht="15.6" x14ac:dyDescent="0.3">
      <c r="D158" s="281" t="e" cm="1">
        <f t="array" ref="D158">- Marketingové oddělení</f>
        <v>#NAME?</v>
      </c>
      <c r="N158" s="307">
        <v>401973</v>
      </c>
    </row>
    <row r="159" spans="4:14" ht="15.6" x14ac:dyDescent="0.3">
      <c r="D159" s="281" t="e" cm="1">
        <f t="array" ref="D159">- náklady neuspokojené poptávky</f>
        <v>#NAME?</v>
      </c>
      <c r="N159" s="289">
        <v>0</v>
      </c>
    </row>
    <row r="160" spans="4:14" ht="15.6" x14ac:dyDescent="0.3">
      <c r="D160" s="281" t="e" cm="1">
        <f t="array" ref="D160">- Skladovací náklady - Suroviny</f>
        <v>#NAME?</v>
      </c>
      <c r="N160" s="289">
        <v>0</v>
      </c>
    </row>
    <row r="161" spans="1:14" ht="15.6" x14ac:dyDescent="0.3">
      <c r="D161" s="281" t="e" cm="1">
        <f t="array" ref="D161">- Skladovací náklady - výrobky</f>
        <v>#NAME?</v>
      </c>
      <c r="N161" s="307">
        <v>482903</v>
      </c>
    </row>
    <row r="162" spans="1:14" ht="15.6" x14ac:dyDescent="0.3">
      <c r="D162" s="281" t="s">
        <v>88</v>
      </c>
      <c r="N162" s="289">
        <v>0</v>
      </c>
    </row>
    <row r="163" spans="1:14" ht="15.6" x14ac:dyDescent="0.3">
      <c r="D163" s="281" t="s">
        <v>177</v>
      </c>
      <c r="N163" s="307">
        <v>-80930</v>
      </c>
    </row>
    <row r="164" spans="1:14" ht="15.6" x14ac:dyDescent="0.3">
      <c r="D164" s="281" t="s">
        <v>90</v>
      </c>
      <c r="N164" s="307">
        <v>164000</v>
      </c>
    </row>
    <row r="165" spans="1:14" ht="15.6" x14ac:dyDescent="0.3">
      <c r="D165" s="281" t="s">
        <v>178</v>
      </c>
      <c r="N165" s="307">
        <v>1250</v>
      </c>
    </row>
    <row r="166" spans="1:14" ht="15.6" x14ac:dyDescent="0.3">
      <c r="D166" s="281" t="s">
        <v>179</v>
      </c>
      <c r="N166" s="308">
        <v>2667</v>
      </c>
    </row>
    <row r="167" spans="1:14" ht="15.6" x14ac:dyDescent="0.3">
      <c r="D167" s="281" t="s">
        <v>180</v>
      </c>
      <c r="N167" s="307">
        <v>21075</v>
      </c>
    </row>
    <row r="168" spans="1:14" ht="15.6" x14ac:dyDescent="0.3">
      <c r="D168" s="281" t="s">
        <v>92</v>
      </c>
      <c r="N168" s="289">
        <v>3</v>
      </c>
    </row>
    <row r="169" spans="1:14" ht="15.6" x14ac:dyDescent="0.3">
      <c r="D169" s="281" t="s">
        <v>181</v>
      </c>
      <c r="N169" s="289">
        <v>100</v>
      </c>
    </row>
    <row r="170" spans="1:14" ht="15.6" x14ac:dyDescent="0.3">
      <c r="A170" s="282"/>
      <c r="B170" s="282"/>
      <c r="C170" s="282"/>
      <c r="D170" s="282">
        <v>3903353</v>
      </c>
      <c r="N170" s="289">
        <v>100</v>
      </c>
    </row>
    <row r="171" spans="1:14" ht="15.6" x14ac:dyDescent="0.3">
      <c r="A171" s="282"/>
      <c r="B171" s="282"/>
      <c r="C171" s="282"/>
      <c r="D171" s="282">
        <v>3134845</v>
      </c>
      <c r="N171" s="289">
        <v>30</v>
      </c>
    </row>
    <row r="172" spans="1:14" ht="15.6" x14ac:dyDescent="0.3">
      <c r="A172" s="282"/>
      <c r="B172" s="282"/>
      <c r="C172" s="282"/>
      <c r="D172" s="282">
        <v>1307245</v>
      </c>
      <c r="N172" s="289">
        <v>28</v>
      </c>
    </row>
    <row r="173" spans="1:14" ht="15.6" x14ac:dyDescent="0.3">
      <c r="A173" s="282"/>
      <c r="B173" s="282"/>
      <c r="C173" s="282"/>
      <c r="D173" s="282">
        <v>1890000</v>
      </c>
      <c r="N173" s="289">
        <v>0</v>
      </c>
    </row>
    <row r="174" spans="1:14" ht="15.6" x14ac:dyDescent="0.3">
      <c r="A174" s="282"/>
      <c r="C174" s="282"/>
      <c r="D174" s="281">
        <v>-62400</v>
      </c>
      <c r="N174" s="307">
        <v>46451</v>
      </c>
    </row>
    <row r="175" spans="1:14" ht="15.6" x14ac:dyDescent="0.3">
      <c r="A175" s="282"/>
      <c r="B175" s="282"/>
      <c r="C175" s="282"/>
      <c r="D175" s="282">
        <v>768508</v>
      </c>
      <c r="N175" s="289">
        <v>0</v>
      </c>
    </row>
    <row r="176" spans="1:14" ht="15.6" x14ac:dyDescent="0.3">
      <c r="A176" s="282"/>
      <c r="B176" s="282"/>
      <c r="C176" s="282"/>
      <c r="D176" s="282">
        <v>366535</v>
      </c>
      <c r="N176" s="307">
        <v>1199824</v>
      </c>
    </row>
    <row r="177" spans="1:14" ht="15.6" x14ac:dyDescent="0.3">
      <c r="D177" s="282">
        <v>164000</v>
      </c>
      <c r="N177" s="289">
        <v>0</v>
      </c>
    </row>
    <row r="178" spans="1:14" ht="15.6" x14ac:dyDescent="0.3">
      <c r="A178" s="282"/>
      <c r="B178" s="282"/>
      <c r="C178" s="282"/>
      <c r="D178" s="282">
        <v>150000</v>
      </c>
      <c r="N178" s="307">
        <v>23066</v>
      </c>
    </row>
    <row r="179" spans="1:14" ht="15.6" x14ac:dyDescent="0.3">
      <c r="A179" s="282"/>
      <c r="B179" s="282"/>
      <c r="C179" s="282"/>
      <c r="D179" s="282">
        <v>21075</v>
      </c>
      <c r="N179" s="289">
        <v>650</v>
      </c>
    </row>
    <row r="180" spans="1:14" ht="15.6" x14ac:dyDescent="0.3">
      <c r="D180" s="281">
        <v>650</v>
      </c>
      <c r="N180" s="307">
        <v>4790400</v>
      </c>
    </row>
    <row r="181" spans="1:14" ht="15.6" x14ac:dyDescent="0.3">
      <c r="A181" s="282"/>
      <c r="B181" s="282"/>
      <c r="C181" s="282"/>
      <c r="D181" s="282">
        <v>30810</v>
      </c>
      <c r="N181" s="307">
        <v>30810</v>
      </c>
    </row>
    <row r="182" spans="1:14" ht="15.6" x14ac:dyDescent="0.3">
      <c r="A182" s="282"/>
      <c r="B182" s="282"/>
      <c r="C182" s="282"/>
      <c r="D182" s="282">
        <v>401973</v>
      </c>
      <c r="N182" s="289">
        <v>100</v>
      </c>
    </row>
    <row r="183" spans="1:14" ht="15.6" x14ac:dyDescent="0.3">
      <c r="D183" s="281">
        <v>0</v>
      </c>
      <c r="N183" s="289">
        <v>100</v>
      </c>
    </row>
    <row r="184" spans="1:14" ht="15.6" x14ac:dyDescent="0.3">
      <c r="D184" s="281">
        <v>0</v>
      </c>
      <c r="N184" s="289">
        <v>100</v>
      </c>
    </row>
    <row r="185" spans="1:14" ht="15.6" x14ac:dyDescent="0.3">
      <c r="A185" s="282"/>
      <c r="B185" s="282"/>
      <c r="C185" s="282"/>
      <c r="D185" s="282">
        <v>401973</v>
      </c>
      <c r="N185" s="289">
        <v>0</v>
      </c>
    </row>
    <row r="186" spans="1:14" ht="15.6" x14ac:dyDescent="0.3">
      <c r="D186" s="282">
        <v>482904</v>
      </c>
      <c r="N186" s="289">
        <v>0</v>
      </c>
    </row>
    <row r="187" spans="1:14" ht="15.6" x14ac:dyDescent="0.3">
      <c r="A187" s="282"/>
      <c r="B187" s="282"/>
      <c r="C187" s="282"/>
      <c r="D187" s="282">
        <v>-80930</v>
      </c>
      <c r="N187" s="289">
        <v>0</v>
      </c>
    </row>
    <row r="188" spans="1:14" ht="15.6" x14ac:dyDescent="0.3">
      <c r="D188" s="281">
        <v>0</v>
      </c>
      <c r="N188" s="289">
        <v>0</v>
      </c>
    </row>
    <row r="189" spans="1:14" ht="15.6" x14ac:dyDescent="0.3">
      <c r="A189" s="282"/>
      <c r="B189" s="282"/>
      <c r="C189" s="282"/>
      <c r="D189" s="282">
        <v>-80930</v>
      </c>
      <c r="N189" s="307">
        <v>1854716</v>
      </c>
    </row>
    <row r="190" spans="1:14" ht="15.6" x14ac:dyDescent="0.3">
      <c r="N190" s="289">
        <v>69.319999999999993</v>
      </c>
    </row>
    <row r="191" spans="1:14" ht="15.6" x14ac:dyDescent="0.3">
      <c r="N191" s="289" t="s">
        <v>122</v>
      </c>
    </row>
    <row r="192" spans="1:14" ht="15.6" x14ac:dyDescent="0.3">
      <c r="N192" s="307">
        <v>14782773</v>
      </c>
    </row>
    <row r="193" spans="14:14" ht="15.6" x14ac:dyDescent="0.3">
      <c r="N193" s="307">
        <v>12482378</v>
      </c>
    </row>
    <row r="194" spans="14:14" ht="15.6" x14ac:dyDescent="0.3">
      <c r="N194" s="307">
        <v>1093135</v>
      </c>
    </row>
    <row r="195" spans="14:14" ht="15.6" x14ac:dyDescent="0.3">
      <c r="N195" s="307">
        <v>1207259</v>
      </c>
    </row>
    <row r="196" spans="14:14" ht="15.6" x14ac:dyDescent="0.3">
      <c r="N196" s="289">
        <v>0</v>
      </c>
    </row>
    <row r="197" spans="14:14" ht="15.6" x14ac:dyDescent="0.3">
      <c r="N197" s="289">
        <v>0</v>
      </c>
    </row>
    <row r="198" spans="14:14" ht="15.6" x14ac:dyDescent="0.3">
      <c r="N198" s="307">
        <v>482903</v>
      </c>
    </row>
    <row r="199" spans="14:14" ht="15.6" x14ac:dyDescent="0.3">
      <c r="N199" s="289">
        <v>0</v>
      </c>
    </row>
    <row r="200" spans="14:14" ht="15.6" x14ac:dyDescent="0.3">
      <c r="N200" s="307">
        <v>724356</v>
      </c>
    </row>
    <row r="201" spans="14:14" ht="15.6" x14ac:dyDescent="0.3">
      <c r="N201" s="307">
        <v>164000</v>
      </c>
    </row>
    <row r="202" spans="14:14" ht="15.6" x14ac:dyDescent="0.3">
      <c r="N202" s="289">
        <v>1</v>
      </c>
    </row>
    <row r="203" spans="14:14" ht="15.6" x14ac:dyDescent="0.3">
      <c r="N203" s="307">
        <v>4928922</v>
      </c>
    </row>
    <row r="204" spans="14:14" ht="15.6" x14ac:dyDescent="0.3">
      <c r="N204" s="289">
        <v>0</v>
      </c>
    </row>
    <row r="205" spans="14:14" ht="15.6" x14ac:dyDescent="0.3">
      <c r="N205" s="307">
        <v>2600</v>
      </c>
    </row>
    <row r="206" spans="14:14" ht="15.6" x14ac:dyDescent="0.3">
      <c r="N206" s="307">
        <v>122410</v>
      </c>
    </row>
    <row r="207" spans="14:14" ht="17.399999999999999" x14ac:dyDescent="0.3">
      <c r="N207" s="290">
        <v>0</v>
      </c>
    </row>
    <row r="208" spans="14:14" ht="17.399999999999999" x14ac:dyDescent="0.3">
      <c r="N208" s="291">
        <v>0</v>
      </c>
    </row>
    <row r="209" spans="14:14" ht="17.399999999999999" x14ac:dyDescent="0.3">
      <c r="N209" s="291">
        <v>0</v>
      </c>
    </row>
    <row r="210" spans="14:14" ht="17.399999999999999" x14ac:dyDescent="0.3">
      <c r="N210" s="291"/>
    </row>
    <row r="211" spans="14:14" ht="17.399999999999999" x14ac:dyDescent="0.3">
      <c r="N211" s="291"/>
    </row>
    <row r="212" spans="14:14" ht="17.399999999999999" x14ac:dyDescent="0.3">
      <c r="N212" s="291"/>
    </row>
    <row r="213" spans="14:14" ht="17.399999999999999" x14ac:dyDescent="0.3">
      <c r="N213" s="291"/>
    </row>
    <row r="214" spans="14:14" ht="17.399999999999999" x14ac:dyDescent="0.3">
      <c r="N214" s="291"/>
    </row>
    <row r="215" spans="14:14" ht="17.399999999999999" x14ac:dyDescent="0.3">
      <c r="N215" s="291"/>
    </row>
    <row r="216" spans="14:14" ht="17.399999999999999" x14ac:dyDescent="0.3">
      <c r="N216" s="291"/>
    </row>
    <row r="217" spans="14:14" ht="17.399999999999999" x14ac:dyDescent="0.3">
      <c r="N217" s="291"/>
    </row>
    <row r="218" spans="14:14" ht="17.399999999999999" x14ac:dyDescent="0.3">
      <c r="N218" s="291"/>
    </row>
    <row r="219" spans="14:14" ht="17.399999999999999" x14ac:dyDescent="0.3">
      <c r="N219" s="291"/>
    </row>
    <row r="220" spans="14:14" ht="17.399999999999999" x14ac:dyDescent="0.3">
      <c r="N220" s="291"/>
    </row>
    <row r="221" spans="14:14" ht="17.399999999999999" x14ac:dyDescent="0.3">
      <c r="N221" s="291"/>
    </row>
    <row r="222" spans="14:14" ht="17.399999999999999" x14ac:dyDescent="0.3">
      <c r="N222" s="291"/>
    </row>
    <row r="223" spans="14:14" ht="17.399999999999999" x14ac:dyDescent="0.3">
      <c r="N223" s="291"/>
    </row>
    <row r="224" spans="14:14" ht="17.399999999999999" x14ac:dyDescent="0.3">
      <c r="N224" s="291"/>
    </row>
    <row r="225" spans="14:14" ht="17.399999999999999" x14ac:dyDescent="0.3">
      <c r="N225" s="291"/>
    </row>
    <row r="226" spans="14:14" ht="17.399999999999999" x14ac:dyDescent="0.3">
      <c r="N226" s="291"/>
    </row>
    <row r="227" spans="14:14" ht="17.399999999999999" x14ac:dyDescent="0.3">
      <c r="N227" s="291"/>
    </row>
    <row r="228" spans="14:14" ht="17.399999999999999" x14ac:dyDescent="0.3">
      <c r="N228" s="291"/>
    </row>
    <row r="229" spans="14:14" ht="17.399999999999999" x14ac:dyDescent="0.3">
      <c r="N229" s="291"/>
    </row>
    <row r="230" spans="14:14" ht="17.399999999999999" x14ac:dyDescent="0.3">
      <c r="N230" s="291"/>
    </row>
    <row r="231" spans="14:14" ht="17.399999999999999" x14ac:dyDescent="0.3">
      <c r="N231" s="291"/>
    </row>
    <row r="232" spans="14:14" ht="17.399999999999999" x14ac:dyDescent="0.3">
      <c r="N232" s="291"/>
    </row>
    <row r="233" spans="14:14" ht="17.399999999999999" x14ac:dyDescent="0.3">
      <c r="N233" s="291"/>
    </row>
    <row r="234" spans="14:14" ht="17.399999999999999" x14ac:dyDescent="0.3">
      <c r="N234" s="291"/>
    </row>
    <row r="235" spans="14:14" ht="17.399999999999999" x14ac:dyDescent="0.3">
      <c r="N235" s="291"/>
    </row>
    <row r="236" spans="14:14" ht="17.399999999999999" x14ac:dyDescent="0.3">
      <c r="N236" s="291"/>
    </row>
    <row r="237" spans="14:14" ht="17.399999999999999" x14ac:dyDescent="0.3">
      <c r="N237" s="291"/>
    </row>
    <row r="238" spans="14:14" ht="17.399999999999999" x14ac:dyDescent="0.3">
      <c r="N238" s="291"/>
    </row>
    <row r="239" spans="14:14" ht="17.399999999999999" x14ac:dyDescent="0.3">
      <c r="N239" s="291"/>
    </row>
    <row r="240" spans="14:14" ht="17.399999999999999" x14ac:dyDescent="0.3">
      <c r="N240" s="291"/>
    </row>
    <row r="241" spans="14:14" ht="17.399999999999999" x14ac:dyDescent="0.3">
      <c r="N241" s="291"/>
    </row>
    <row r="242" spans="14:14" ht="17.399999999999999" x14ac:dyDescent="0.3">
      <c r="N242" s="291"/>
    </row>
    <row r="243" spans="14:14" ht="17.399999999999999" x14ac:dyDescent="0.3">
      <c r="N243" s="291"/>
    </row>
    <row r="244" spans="14:14" ht="17.399999999999999" x14ac:dyDescent="0.3">
      <c r="N244" s="291"/>
    </row>
    <row r="245" spans="14:14" ht="17.399999999999999" x14ac:dyDescent="0.3">
      <c r="N245" s="291"/>
    </row>
    <row r="246" spans="14:14" ht="17.399999999999999" x14ac:dyDescent="0.3">
      <c r="N246" s="291"/>
    </row>
    <row r="247" spans="14:14" ht="15.6" x14ac:dyDescent="0.3">
      <c r="N247"/>
    </row>
  </sheetData>
  <pageMargins left="0.7" right="0.7" top="0.78740157499999996" bottom="0.78740157499999996"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activity xmlns="d6b274be-1f9a-4029-8f69-3aedd37a3971"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kument" ma:contentTypeID="0x0101004086881BA9653A44AF9DCFBA53F324AC" ma:contentTypeVersion="12" ma:contentTypeDescription="Vytvoří nový dokument" ma:contentTypeScope="" ma:versionID="629772260ad9ed61770156b13d7b62ca">
  <xsd:schema xmlns:xsd="http://www.w3.org/2001/XMLSchema" xmlns:xs="http://www.w3.org/2001/XMLSchema" xmlns:p="http://schemas.microsoft.com/office/2006/metadata/properties" xmlns:ns3="d6b274be-1f9a-4029-8f69-3aedd37a3971" xmlns:ns4="881cf40d-6505-4f0e-a9cf-428c0670ba00" targetNamespace="http://schemas.microsoft.com/office/2006/metadata/properties" ma:root="true" ma:fieldsID="11995f87f94710118d9c4b188b84b024" ns3:_="" ns4:_="">
    <xsd:import namespace="d6b274be-1f9a-4029-8f69-3aedd37a3971"/>
    <xsd:import namespace="881cf40d-6505-4f0e-a9cf-428c0670ba00"/>
    <xsd:element name="properties">
      <xsd:complexType>
        <xsd:sequence>
          <xsd:element name="documentManagement">
            <xsd:complexType>
              <xsd:all>
                <xsd:element ref="ns3:MediaServiceMetadata" minOccurs="0"/>
                <xsd:element ref="ns3:MediaServiceFastMetadata" minOccurs="0"/>
                <xsd:element ref="ns3:MediaServiceObjectDetectorVersions" minOccurs="0"/>
                <xsd:element ref="ns3:_activity" minOccurs="0"/>
                <xsd:element ref="ns4:SharedWithUsers" minOccurs="0"/>
                <xsd:element ref="ns4:SharedWithDetails" minOccurs="0"/>
                <xsd:element ref="ns4:SharingHintHash" minOccurs="0"/>
                <xsd:element ref="ns3:MediaServiceSystemTags" minOccurs="0"/>
                <xsd:element ref="ns3:MediaServiceOCR" minOccurs="0"/>
                <xsd:element ref="ns3:MediaServiceGenerationTime" minOccurs="0"/>
                <xsd:element ref="ns3:MediaServiceEventHashCode"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6b274be-1f9a-4029-8f69-3aedd37a397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_activity" ma:index="11" nillable="true" ma:displayName="_activity" ma:hidden="true" ma:internalName="_activity">
      <xsd:simpleType>
        <xsd:restriction base="dms:Note"/>
      </xsd:simpleType>
    </xsd:element>
    <xsd:element name="MediaServiceSystemTags" ma:index="15" nillable="true" ma:displayName="MediaServiceSystemTags" ma:hidden="true" ma:internalName="MediaServiceSystemTags" ma:readOnly="true">
      <xsd:simpleType>
        <xsd:restriction base="dms:Note"/>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SearchProperties" ma:index="19"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881cf40d-6505-4f0e-a9cf-428c0670ba00" elementFormDefault="qualified">
    <xsd:import namespace="http://schemas.microsoft.com/office/2006/documentManagement/types"/>
    <xsd:import namespace="http://schemas.microsoft.com/office/infopath/2007/PartnerControls"/>
    <xsd:element name="SharedWithUsers" ma:index="12" nillable="true" ma:displayName="Sdílí se s"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dílené s podrobnostmi" ma:internalName="SharedWithDetails" ma:readOnly="true">
      <xsd:simpleType>
        <xsd:restriction base="dms:Note">
          <xsd:maxLength value="255"/>
        </xsd:restriction>
      </xsd:simpleType>
    </xsd:element>
    <xsd:element name="SharingHintHash" ma:index="14" nillable="true" ma:displayName="Hodnota hash upozornění na sdílení"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 obsahu"/>
        <xsd:element ref="dc:title" minOccurs="0" maxOccurs="1" ma:index="4" ma:displayName="Nadpis"/>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64BB794-D031-4E22-B757-A473348FBAE2}">
  <ds:schemaRefs>
    <ds:schemaRef ds:uri="http://purl.org/dc/terms/"/>
    <ds:schemaRef ds:uri="http://purl.org/dc/dcmitype/"/>
    <ds:schemaRef ds:uri="http://schemas.openxmlformats.org/package/2006/metadata/core-properties"/>
    <ds:schemaRef ds:uri="http://schemas.microsoft.com/office/2006/documentManagement/types"/>
    <ds:schemaRef ds:uri="http://schemas.microsoft.com/office/2006/metadata/properties"/>
    <ds:schemaRef ds:uri="http://purl.org/dc/elements/1.1/"/>
    <ds:schemaRef ds:uri="http://schemas.microsoft.com/office/infopath/2007/PartnerControls"/>
    <ds:schemaRef ds:uri="881cf40d-6505-4f0e-a9cf-428c0670ba00"/>
    <ds:schemaRef ds:uri="d6b274be-1f9a-4029-8f69-3aedd37a3971"/>
    <ds:schemaRef ds:uri="http://www.w3.org/XML/1998/namespace"/>
  </ds:schemaRefs>
</ds:datastoreItem>
</file>

<file path=customXml/itemProps2.xml><?xml version="1.0" encoding="utf-8"?>
<ds:datastoreItem xmlns:ds="http://schemas.openxmlformats.org/officeDocument/2006/customXml" ds:itemID="{4BA7E301-2A58-4963-8161-F78B14B982DE}">
  <ds:schemaRefs>
    <ds:schemaRef ds:uri="http://schemas.microsoft.com/sharepoint/v3/contenttype/forms"/>
  </ds:schemaRefs>
</ds:datastoreItem>
</file>

<file path=customXml/itemProps3.xml><?xml version="1.0" encoding="utf-8"?>
<ds:datastoreItem xmlns:ds="http://schemas.openxmlformats.org/officeDocument/2006/customXml" ds:itemID="{1F36EE39-6461-4034-9D69-5545D031513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6b274be-1f9a-4029-8f69-3aedd37a3971"/>
    <ds:schemaRef ds:uri="881cf40d-6505-4f0e-a9cf-428c0670ba0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Listy</vt:lpstr>
      </vt:variant>
      <vt:variant>
        <vt:i4>9</vt:i4>
      </vt:variant>
      <vt:variant>
        <vt:lpstr>Pojmenované oblasti</vt:lpstr>
      </vt:variant>
      <vt:variant>
        <vt:i4>9</vt:i4>
      </vt:variant>
    </vt:vector>
  </HeadingPairs>
  <TitlesOfParts>
    <vt:vector size="18" baseType="lpstr">
      <vt:lpstr>Instructions</vt:lpstr>
      <vt:lpstr>ActualResults</vt:lpstr>
      <vt:lpstr>Decision</vt:lpstr>
      <vt:lpstr>ExpectedResults</vt:lpstr>
      <vt:lpstr>Data</vt:lpstr>
      <vt:lpstr>Q3</vt:lpstr>
      <vt:lpstr>Q2</vt:lpstr>
      <vt:lpstr>Q1</vt:lpstr>
      <vt:lpstr>RawData</vt:lpstr>
      <vt:lpstr>Jazyk</vt:lpstr>
      <vt:lpstr>ActualResults!Oblast_tisku</vt:lpstr>
      <vt:lpstr>Data!Oblast_tisku</vt:lpstr>
      <vt:lpstr>ExpectedResults!Oblast_tisku</vt:lpstr>
      <vt:lpstr>'Q1'!Oblast_tisku</vt:lpstr>
      <vt:lpstr>'Q2'!Oblast_tisku</vt:lpstr>
      <vt:lpstr>'Q3'!Oblast_tisku</vt:lpstr>
      <vt:lpstr>Pozadavek</vt:lpstr>
      <vt:lpstr>Výroba</vt:lpstr>
    </vt:vector>
  </TitlesOfParts>
  <Manager/>
  <Company>PEF MZLU v Brně</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Pavel Žufan</dc:creator>
  <cp:keywords/>
  <dc:description/>
  <cp:lastModifiedBy>Martin Medulán</cp:lastModifiedBy>
  <cp:revision/>
  <dcterms:created xsi:type="dcterms:W3CDTF">2001-08-21T07:56:09Z</dcterms:created>
  <dcterms:modified xsi:type="dcterms:W3CDTF">2024-10-16T13:38:20Z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0x0101004086881BA9653A44AF9DCFBA53F324AC</vt:lpwstr>
  </property>
</Properties>
</file>