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ha.chi\Downloads\"/>
    </mc:Choice>
  </mc:AlternateContent>
  <xr:revisionPtr revIDLastSave="0" documentId="13_ncr:1_{F46A5D74-30ED-434C-9721-1E3FC0656AAB}" xr6:coauthVersionLast="47" xr6:coauthVersionMax="47" xr10:uidLastSave="{00000000-0000-0000-0000-000000000000}"/>
  <bookViews>
    <workbookView xWindow="-110" yWindow="-110" windowWidth="19420" windowHeight="10300" xr2:uid="{792ED572-769E-447D-8862-ECBB4EEB637E}"/>
  </bookViews>
  <sheets>
    <sheet name="Sheet1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8" i="2" l="1"/>
  <c r="W38" i="2" s="1"/>
  <c r="T38" i="2"/>
  <c r="F38" i="2"/>
  <c r="E38" i="2"/>
  <c r="U37" i="2"/>
  <c r="W37" i="2" s="1"/>
  <c r="T37" i="2"/>
  <c r="F37" i="2"/>
  <c r="E37" i="2"/>
  <c r="U36" i="2"/>
  <c r="W36" i="2" s="1"/>
  <c r="T36" i="2"/>
  <c r="F36" i="2"/>
  <c r="E36" i="2"/>
  <c r="U35" i="2"/>
  <c r="W35" i="2" s="1"/>
  <c r="T35" i="2"/>
  <c r="F35" i="2"/>
  <c r="E35" i="2"/>
  <c r="U34" i="2"/>
  <c r="W34" i="2" s="1"/>
  <c r="T34" i="2"/>
  <c r="F34" i="2"/>
  <c r="E34" i="2"/>
  <c r="U33" i="2"/>
  <c r="W33" i="2" s="1"/>
  <c r="T33" i="2"/>
  <c r="F33" i="2"/>
  <c r="E33" i="2"/>
  <c r="U32" i="2"/>
  <c r="W32" i="2" s="1"/>
  <c r="T32" i="2"/>
  <c r="F32" i="2"/>
  <c r="E32" i="2"/>
  <c r="U31" i="2"/>
  <c r="W31" i="2" s="1"/>
  <c r="T31" i="2"/>
  <c r="U30" i="2"/>
  <c r="W30" i="2" s="1"/>
  <c r="T30" i="2"/>
  <c r="U29" i="2"/>
  <c r="W29" i="2" s="1"/>
  <c r="T29" i="2"/>
  <c r="U28" i="2"/>
  <c r="W28" i="2" s="1"/>
  <c r="T28" i="2"/>
  <c r="U27" i="2"/>
  <c r="W27" i="2" s="1"/>
  <c r="T27" i="2"/>
  <c r="U26" i="2"/>
  <c r="W26" i="2" s="1"/>
  <c r="T26" i="2"/>
  <c r="U25" i="2"/>
  <c r="W25" i="2" s="1"/>
  <c r="T25" i="2"/>
  <c r="U24" i="2"/>
  <c r="W24" i="2" s="1"/>
  <c r="T24" i="2"/>
  <c r="U23" i="2"/>
  <c r="W23" i="2" s="1"/>
  <c r="T23" i="2"/>
  <c r="U22" i="2"/>
  <c r="W22" i="2" s="1"/>
  <c r="T22" i="2"/>
  <c r="U21" i="2"/>
  <c r="W21" i="2" s="1"/>
  <c r="T21" i="2"/>
  <c r="U20" i="2"/>
  <c r="W20" i="2" s="1"/>
  <c r="T20" i="2"/>
  <c r="U19" i="2"/>
  <c r="W19" i="2" s="1"/>
  <c r="T19" i="2"/>
  <c r="U18" i="2"/>
  <c r="W18" i="2" s="1"/>
  <c r="T18" i="2"/>
  <c r="U17" i="2"/>
  <c r="W17" i="2" s="1"/>
  <c r="T17" i="2"/>
  <c r="U16" i="2"/>
  <c r="W16" i="2" s="1"/>
  <c r="T16" i="2"/>
  <c r="U15" i="2"/>
  <c r="W15" i="2" s="1"/>
  <c r="T15" i="2"/>
  <c r="U14" i="2"/>
  <c r="W14" i="2" s="1"/>
  <c r="T14" i="2"/>
  <c r="U13" i="2"/>
  <c r="W13" i="2" s="1"/>
  <c r="T13" i="2"/>
  <c r="U12" i="2"/>
  <c r="W12" i="2" s="1"/>
  <c r="T12" i="2"/>
  <c r="U11" i="2"/>
  <c r="W11" i="2" s="1"/>
  <c r="T11" i="2"/>
  <c r="U10" i="2"/>
  <c r="W10" i="2" s="1"/>
  <c r="T10" i="2"/>
  <c r="U9" i="2"/>
  <c r="W9" i="2" s="1"/>
  <c r="T9" i="2"/>
  <c r="U8" i="2"/>
  <c r="W8" i="2" s="1"/>
  <c r="T8" i="2"/>
  <c r="U7" i="2"/>
  <c r="W7" i="2" s="1"/>
  <c r="T7" i="2"/>
  <c r="U6" i="2"/>
  <c r="W6" i="2" s="1"/>
  <c r="T6" i="2"/>
  <c r="U5" i="2"/>
  <c r="W5" i="2" s="1"/>
  <c r="T5" i="2"/>
  <c r="U4" i="2"/>
  <c r="W4" i="2" s="1"/>
  <c r="T4" i="2"/>
  <c r="U3" i="2"/>
  <c r="W3" i="2" s="1"/>
  <c r="T3" i="2"/>
  <c r="U2" i="2"/>
  <c r="W2" i="2" s="1"/>
  <c r="T2" i="2"/>
  <c r="G32" i="2" l="1"/>
  <c r="H32" i="2" s="1"/>
  <c r="G37" i="2"/>
  <c r="H37" i="2" s="1"/>
  <c r="G36" i="2"/>
  <c r="H36" i="2" s="1"/>
  <c r="G34" i="2"/>
  <c r="H34" i="2" s="1"/>
  <c r="G33" i="2"/>
  <c r="H33" i="2" s="1"/>
  <c r="G38" i="2"/>
  <c r="H38" i="2" s="1"/>
  <c r="G35" i="2"/>
  <c r="H35" i="2" s="1"/>
</calcChain>
</file>

<file path=xl/sharedStrings.xml><?xml version="1.0" encoding="utf-8"?>
<sst xmlns="http://schemas.openxmlformats.org/spreadsheetml/2006/main" count="194" uniqueCount="115">
  <si>
    <t>โครงการ</t>
  </si>
  <si>
    <t>เปิดตัว</t>
  </si>
  <si>
    <t>จังหวัด</t>
  </si>
  <si>
    <t>เกรดโครงการ</t>
  </si>
  <si>
    <t>พื้นที่โครงการ(ตรม)</t>
  </si>
  <si>
    <t>พื้นที่สาธา(ตรม)</t>
  </si>
  <si>
    <t>พื้นที่จัดจำหน่าย(ตรม)</t>
  </si>
  <si>
    <t>พื้นที่สวน(5%ของพื้นที่จัดจำหน่าย)</t>
  </si>
  <si>
    <t>ทาวโฮม</t>
  </si>
  <si>
    <t>บ้านแฝด</t>
  </si>
  <si>
    <t>อาคารพาณิชย์</t>
  </si>
  <si>
    <t>จำนวนหลัง</t>
  </si>
  <si>
    <t>สวน</t>
  </si>
  <si>
    <t>ความกว้างถนนเมน</t>
  </si>
  <si>
    <t>ความกว้างถนนปกติ</t>
  </si>
  <si>
    <t>จำนวนซอย</t>
  </si>
  <si>
    <t>รูปร่างที่ดิน</t>
  </si>
  <si>
    <t>ศุภาลัย เบลล่า ซ.กันตนา-ศาลายา</t>
  </si>
  <si>
    <t>นนทบุรี</t>
  </si>
  <si>
    <t>BELLA</t>
  </si>
  <si>
    <t>ศุภาลัย ปาล์มสปริงส์ ชัยพฤกษ์-แจ้งวัฒนะ</t>
  </si>
  <si>
    <t>PALMSPRING</t>
  </si>
  <si>
    <t>ศุภาลัย มณฑลา @ พุทธมณฑล</t>
  </si>
  <si>
    <t>นครปฐม</t>
  </si>
  <si>
    <t>MONTARA</t>
  </si>
  <si>
    <t>ศุภาลัย พรีม่า วิลล่า รังสิต คลอง3</t>
  </si>
  <si>
    <t>ปทุมธานี</t>
  </si>
  <si>
    <t>PRIMAVILLA</t>
  </si>
  <si>
    <t>ศุภาลัย วิลล์ เขาน้อย-ราชบุรี</t>
  </si>
  <si>
    <t>ราชบุรี</t>
  </si>
  <si>
    <t>VILLE</t>
  </si>
  <si>
    <t>ศุภาลัย การ์เด้นวิลล์ เทพารักษ์ - บางนา</t>
  </si>
  <si>
    <t>สมุทรปราการ</t>
  </si>
  <si>
    <t>GARDENVILLE</t>
  </si>
  <si>
    <t>ศุภาลัย พาร์ควิลล์ แยกเขางู</t>
  </si>
  <si>
    <t>PARKVILLE</t>
  </si>
  <si>
    <t>ศุภาลัย วิลล์ สามพราน เพชรเกษม</t>
  </si>
  <si>
    <t>ศุภาลัย วิลล์ ประชาอุุทิศ 90</t>
  </si>
  <si>
    <t>ศุภาลัย พาร์ควิลล์ นิมิตใหม่ - วงแหวน</t>
  </si>
  <si>
    <t>ศุภาลัย พรีโม่ นิมิตใหม่ - วงแหวน</t>
  </si>
  <si>
    <t>PRIMO</t>
  </si>
  <si>
    <t>ศุภาลัย วิลล์ วงแหวน-ลาดหลุมแก้ว</t>
  </si>
  <si>
    <t>ศุภาลัย ปาล์มวิลล์ บางแขม นครปฐม</t>
  </si>
  <si>
    <t>PALMVILLE</t>
  </si>
  <si>
    <t>ศุภาลัย ริเวียร่า อยุธยา</t>
  </si>
  <si>
    <t>อยุธยา</t>
  </si>
  <si>
    <t>RIVIERA</t>
  </si>
  <si>
    <t>ศุภาลัย พรีโม่ รามอินทรา 117</t>
  </si>
  <si>
    <t>กรุงเทพ</t>
  </si>
  <si>
    <t>ศุภาลัย ไพร์ม วิลล่า กรุงเทพกรีฑาตัดใหม่-มอเตอร์เวย์</t>
  </si>
  <si>
    <t>PRIME</t>
  </si>
  <si>
    <t>ศุภาลัย แกรนด์วิลล์ สุขุมวิท-บางนา</t>
  </si>
  <si>
    <t>GRANDVILLE</t>
  </si>
  <si>
    <t>ศุภาลัย พาร์ควิลล์ สุขุมวิท-บางนา</t>
  </si>
  <si>
    <t>ศุภาลัย ทัศคานี พระราม 2-วงแหวน</t>
  </si>
  <si>
    <t>สมุทรสาคร</t>
  </si>
  <si>
    <t>TASCANY</t>
  </si>
  <si>
    <t>ศุภาลัย เบลล่า พระราม 2-วงแหวน</t>
  </si>
  <si>
    <t>ศุภาลัย วิลล์ ราชพฤกษ์-กาญจนาภิเษก</t>
  </si>
  <si>
    <t>ศุภาลัย พรีมา วิลล่า ถนนอุทยาน</t>
  </si>
  <si>
    <t>ศุภาลัย ปาล์มสปริงส์ วงแหวน-ลำลูกกา</t>
  </si>
  <si>
    <t>ศุภาลัย วิลล์ ปิ่่นเกล้า ศาลายา</t>
  </si>
  <si>
    <t>ศุภาลัย พาร์ควิลล์ บรมราชชนนี-สาย 7</t>
  </si>
  <si>
    <t>PARK VILLE</t>
  </si>
  <si>
    <t>ศุภาลัย พาร์ควิลล์ บางแขม</t>
  </si>
  <si>
    <t>ศุภาลัย แกรนด์ เอสเซ้นส์ อรุณอมรินทร์</t>
  </si>
  <si>
    <t>GRANDESSENCE</t>
  </si>
  <si>
    <t>ศุภาลัย พาร์ควิลล์ รามคำแหง 174</t>
  </si>
  <si>
    <t>กรุุงเทพ</t>
  </si>
  <si>
    <t>ศุภาลัย ไพร์ด บางใหญ่่</t>
  </si>
  <si>
    <t>PRIDE</t>
  </si>
  <si>
    <t>ศุภาลัย ปาล์มสปริงส์ พระราม 2</t>
  </si>
  <si>
    <t>ศุภาลัย พรีโม่ รัตนาธิเบศร์</t>
  </si>
  <si>
    <t>ศุภาลัย วิลล์ บางนา-ศรีนครินทร์</t>
  </si>
  <si>
    <t>ศุภาลัย พาร์ควิลล์ รังสิต คลอง 4</t>
  </si>
  <si>
    <t>พื้นที่ถนนรวม</t>
  </si>
  <si>
    <t>ศุภาลัย เบลล่า เวสเกต</t>
  </si>
  <si>
    <t>ศุภาลัย พาร์ควิลล์ ประชาอุทิศ</t>
  </si>
  <si>
    <t>ศุภาลัย วิลล์ วงแหวน ลำลูกกา คลอง7</t>
  </si>
  <si>
    <t>ศภาลัย พรีโม่ ลาดกระบัง</t>
  </si>
  <si>
    <t>บ้านเดี่ยว3ชั้น</t>
  </si>
  <si>
    <t>บ้านเดี่ยว</t>
  </si>
  <si>
    <t>ความยาวถนน</t>
  </si>
  <si>
    <t>ความกว้าง(ทาวโฮม)</t>
  </si>
  <si>
    <t>ความยาว(ทาวโฮม)</t>
  </si>
  <si>
    <t>ความกว้าง(บ้านแฝด)</t>
  </si>
  <si>
    <t>ความยาว(บ้านแฝด)</t>
  </si>
  <si>
    <t>ความกว้าง(บ้านเดี่ยว)</t>
  </si>
  <si>
    <t>ความยาว(บ้านเดี่ยว)</t>
  </si>
  <si>
    <t>แนวยาวแคบ / Strip แนบถนน</t>
  </si>
  <si>
    <t>รูปทรงสี่เหลี่ยม/บล็อกแน่น</t>
  </si>
  <si>
    <t>🅰️ หมวด A: รูปทรงสี่เหลี่ยม/บล็อกแน่น (Rectangular / Dense Block)</t>
  </si>
  <si>
    <t>ลักษณะ: รูปร่างค่อนข้างสมมาตร หรือใกล้เคียงสี่เหลี่ยม</t>
  </si>
  <si>
    <t>มีถนนและซอยจัดวางเป็นกริด เรียบร้อย มีความหนาแน่นสูง</t>
  </si>
  <si>
    <t>เหมาะกับ: ทาวน์โฮม, บ้านแฝด, บ้านเดี่ยวชิดแนว</t>
  </si>
  <si>
    <t>🅱️ หมวด B: รูปทรงตัว L / แขนงอ / แปลงมีปีก (L-Shape / Winged Parcel)</t>
  </si>
  <si>
    <t>ลักษณะ: มีส่วนขยายยื่นออกไปจากแกนหลัก เช่น ตัว L, ตัว J</t>
  </si>
  <si>
    <t>การวางบ้านมักแบ่งเป็นโซนหรือแขนย่อย</t>
  </si>
  <si>
    <t>เหมาะกับ: บ้านเดี่ยว, บ้านแปลงมุม, Cluster แยกโซน</t>
  </si>
  <si>
    <t>🅲 หมวด C: รูปพัด / ขยายปลาย / โอบศูนย์กลาง (Fan / Flared / Wrap Core)</t>
  </si>
  <si>
    <t>ลักษณะ: รูปพัดแผ่, ปลายโค้งกว้าง, หรือโอบสวน/แลนด์มาร์ก</t>
  </si>
  <si>
    <t>ซอยจัดเรียงแบบแผ่กระจายหรือเฉียงจากจุดศูนย์กลาง</t>
  </si>
  <si>
    <t>เหมาะกับ: บ้านเดี่ยว, บ้านแปลงใหญ่, สวนกลางโครงการ</t>
  </si>
  <si>
    <t>🅳 หมวด D: แนวยาวแคบ / Strip แนบถนน (Linear / Narrow Strip)</t>
  </si>
  <si>
    <t>ลักษณะ: แปลงที่ยาวมากในแนวเดียว (แนวราบหรือแนวตั้ง), หน้ากว้างน้อย</t>
  </si>
  <si>
    <t>ถนนหลักเพียงเส้นเดียว มีซอยขนานหรือน้อยมาก</t>
  </si>
  <si>
    <t>เหมาะกับ: ทาวน์โฮม, อาคารพาณิชย์, คอมมูนิตี้</t>
  </si>
  <si>
    <t>🅴 หมวด E: รูปร่างซับซ้อน / เว้า / บิดเบี้ยว (Irregular / Cluster / Custom Shape)</t>
  </si>
  <si>
    <t>ลักษณะ: รูปทรงบิดเบี้ยว มีมุมเว้า, แปลงหลายแขน, ถนนวกวน</t>
  </si>
  <si>
    <t>วางซอยตามภูมิประเทศ ไม่เป็นระเบียบเส้นตรง</t>
  </si>
  <si>
    <t>เหมาะกับ: โครงการบ้านเดี่ยวหรู, แนวคิดแปลนพิเศษ, Natural Cluster</t>
  </si>
  <si>
    <t>รูปพัด / ขยายปลาย / โอบศูนย์กลาง</t>
  </si>
  <si>
    <t xml:space="preserve">รูปร่างซับซ้อน / เว้า / บิดเบี้ยว </t>
  </si>
  <si>
    <t>รูปร่างซับซ้อน / เว้า / บิดเบี้ยว</t>
  </si>
  <si>
    <t>รูปทรงตัว L / แขนงอ / แปลงมีปีก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</si>
</sst>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8" formatCode="_-* #,##0_-;\-* #,##0_-;_-* &quot;-&quot;??_-;_-@_-"/>
  </numFmts>
  <fonts count="5" x14ac:knownFonts="1">
    <font>
      <sz val="11"/>
      <color theme="1"/>
      <name val="Tahoma"/>
      <family val="2"/>
      <charset val="22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ahoma"/>
      <family val="2"/>
      <charset val="222"/>
      <scheme val="minor"/>
    </font>
    <font>
      <b/>
      <sz val="13.5"/>
      <color theme="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3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/>
    <xf numFmtId="0" fontId="0" fillId="0" borderId="1" xfId="0" applyBorder="1"/>
    <xf numFmtId="3" fontId="2" fillId="0" borderId="1" xfId="0" applyNumberFormat="1" applyFont="1" applyBorder="1"/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center" vertical="center" wrapText="1"/>
    </xf>
    <xf numFmtId="188" fontId="2" fillId="0" borderId="3" xfId="1" applyNumberFormat="1" applyFont="1" applyBorder="1" applyAlignment="1">
      <alignment horizontal="right" wrapText="1"/>
    </xf>
    <xf numFmtId="188" fontId="0" fillId="0" borderId="0" xfId="1" applyNumberFormat="1" applyFont="1"/>
    <xf numFmtId="0" fontId="2" fillId="0" borderId="3" xfId="0" applyFont="1" applyFill="1" applyBorder="1" applyAlignment="1">
      <alignment horizontal="right" wrapText="1"/>
    </xf>
    <xf numFmtId="188" fontId="1" fillId="0" borderId="1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188" fontId="2" fillId="0" borderId="1" xfId="0" applyNumberFormat="1" applyFont="1" applyBorder="1" applyAlignment="1">
      <alignment horizontal="right" wrapText="1"/>
    </xf>
    <xf numFmtId="188" fontId="0" fillId="0" borderId="0" xfId="0" applyNumberFormat="1"/>
    <xf numFmtId="0" fontId="0" fillId="0" borderId="0" xfId="0" applyFill="1"/>
    <xf numFmtId="188" fontId="0" fillId="0" borderId="0" xfId="1" applyNumberFormat="1" applyFont="1" applyFill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68A9-AE55-4F69-91D2-668376AE5743}">
  <dimension ref="A1:AA82"/>
  <sheetViews>
    <sheetView tabSelected="1" topLeftCell="B1" zoomScale="55" zoomScaleNormal="55" workbookViewId="0">
      <selection activeCell="R21" sqref="R21"/>
    </sheetView>
  </sheetViews>
  <sheetFormatPr defaultRowHeight="14" x14ac:dyDescent="0.3"/>
  <cols>
    <col min="1" max="1" width="38.33203125" customWidth="1"/>
    <col min="3" max="3" width="10.25" bestFit="1" customWidth="1"/>
    <col min="4" max="4" width="16.5" customWidth="1"/>
    <col min="5" max="7" width="9.08203125" customWidth="1"/>
    <col min="8" max="8" width="9.33203125" customWidth="1"/>
    <col min="9" max="14" width="8.6640625" customWidth="1"/>
    <col min="15" max="17" width="8.4140625" customWidth="1"/>
    <col min="18" max="20" width="8.6640625" customWidth="1"/>
    <col min="21" max="21" width="9.58203125" style="25" customWidth="1"/>
    <col min="22" max="25" width="8.6640625" customWidth="1"/>
    <col min="26" max="26" width="10.83203125" customWidth="1"/>
    <col min="27" max="27" width="25.4140625" bestFit="1" customWidth="1"/>
  </cols>
  <sheetData>
    <row r="1" spans="1:27" ht="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3" t="s">
        <v>8</v>
      </c>
      <c r="J1" s="23" t="s">
        <v>83</v>
      </c>
      <c r="K1" s="23" t="s">
        <v>84</v>
      </c>
      <c r="L1" s="23" t="s">
        <v>9</v>
      </c>
      <c r="M1" s="23" t="s">
        <v>85</v>
      </c>
      <c r="N1" s="23" t="s">
        <v>86</v>
      </c>
      <c r="O1" s="23" t="s">
        <v>81</v>
      </c>
      <c r="P1" s="23" t="s">
        <v>87</v>
      </c>
      <c r="Q1" s="23" t="s">
        <v>88</v>
      </c>
      <c r="R1" s="21" t="s">
        <v>80</v>
      </c>
      <c r="S1" s="1" t="s">
        <v>10</v>
      </c>
      <c r="T1" s="1" t="s">
        <v>11</v>
      </c>
      <c r="U1" s="27" t="s">
        <v>75</v>
      </c>
      <c r="V1" s="1" t="s">
        <v>14</v>
      </c>
      <c r="W1" s="1" t="s">
        <v>82</v>
      </c>
      <c r="X1" s="1" t="s">
        <v>13</v>
      </c>
      <c r="Y1" s="1" t="s">
        <v>12</v>
      </c>
      <c r="Z1" s="1" t="s">
        <v>15</v>
      </c>
      <c r="AA1" s="1" t="s">
        <v>16</v>
      </c>
    </row>
    <row r="2" spans="1:27" x14ac:dyDescent="0.3">
      <c r="A2" s="2" t="s">
        <v>17</v>
      </c>
      <c r="B2" s="3">
        <v>68</v>
      </c>
      <c r="C2" s="4" t="s">
        <v>18</v>
      </c>
      <c r="D2" s="5" t="s">
        <v>19</v>
      </c>
      <c r="E2" s="6">
        <v>43044</v>
      </c>
      <c r="F2" s="6">
        <v>18948</v>
      </c>
      <c r="G2" s="6">
        <v>24096</v>
      </c>
      <c r="H2" s="6">
        <v>1205</v>
      </c>
      <c r="I2" s="22">
        <v>140</v>
      </c>
      <c r="J2" s="26">
        <v>5</v>
      </c>
      <c r="K2" s="26">
        <v>16</v>
      </c>
      <c r="L2" s="22">
        <v>44</v>
      </c>
      <c r="M2" s="26">
        <v>10</v>
      </c>
      <c r="N2" s="26">
        <v>16</v>
      </c>
      <c r="O2" s="22">
        <v>18</v>
      </c>
      <c r="P2" s="26">
        <v>15</v>
      </c>
      <c r="Q2" s="26">
        <v>18</v>
      </c>
      <c r="R2" s="22">
        <v>0</v>
      </c>
      <c r="S2" s="7">
        <v>0</v>
      </c>
      <c r="T2" s="17">
        <f>SUM(I2,L2,O2,R2,S2)</f>
        <v>202</v>
      </c>
      <c r="U2" s="24">
        <f>3117.9*4</f>
        <v>12471.6</v>
      </c>
      <c r="V2" s="7">
        <v>9</v>
      </c>
      <c r="W2" s="30">
        <f>U2/V2</f>
        <v>1385.7333333333333</v>
      </c>
      <c r="X2" s="7">
        <v>12</v>
      </c>
      <c r="Y2" s="7">
        <v>2</v>
      </c>
      <c r="Z2" s="7">
        <v>12</v>
      </c>
      <c r="AA2" s="8" t="s">
        <v>113</v>
      </c>
    </row>
    <row r="3" spans="1:27" ht="14" customHeight="1" x14ac:dyDescent="0.3">
      <c r="A3" s="2" t="s">
        <v>20</v>
      </c>
      <c r="B3" s="3">
        <v>68</v>
      </c>
      <c r="C3" s="4" t="s">
        <v>18</v>
      </c>
      <c r="D3" s="9" t="s">
        <v>21</v>
      </c>
      <c r="E3" s="6">
        <v>68184</v>
      </c>
      <c r="F3" s="6">
        <v>21956</v>
      </c>
      <c r="G3" s="6">
        <v>46228</v>
      </c>
      <c r="H3" s="6">
        <v>2311</v>
      </c>
      <c r="I3" s="22">
        <v>0</v>
      </c>
      <c r="J3" s="26">
        <v>5</v>
      </c>
      <c r="K3" s="26">
        <v>16</v>
      </c>
      <c r="L3" s="22">
        <v>32</v>
      </c>
      <c r="M3" s="26">
        <v>10</v>
      </c>
      <c r="N3" s="26">
        <v>16</v>
      </c>
      <c r="O3" s="22">
        <v>151</v>
      </c>
      <c r="P3" s="26">
        <v>15</v>
      </c>
      <c r="Q3" s="26">
        <v>18</v>
      </c>
      <c r="R3" s="22">
        <v>0</v>
      </c>
      <c r="S3" s="7">
        <v>0</v>
      </c>
      <c r="T3" s="17">
        <f>SUM(I3,L3,O3,R3,S3)</f>
        <v>183</v>
      </c>
      <c r="U3" s="24">
        <f>4735.4*4</f>
        <v>18941.599999999999</v>
      </c>
      <c r="V3" s="7">
        <v>9</v>
      </c>
      <c r="W3" s="30">
        <f t="shared" ref="W3:W38" si="0">U3/V3</f>
        <v>2104.6222222222223</v>
      </c>
      <c r="X3" s="7">
        <v>12</v>
      </c>
      <c r="Y3" s="7">
        <v>1</v>
      </c>
      <c r="Z3" s="7">
        <v>11</v>
      </c>
      <c r="AA3" s="4" t="s">
        <v>113</v>
      </c>
    </row>
    <row r="4" spans="1:27" x14ac:dyDescent="0.3">
      <c r="A4" s="2" t="s">
        <v>22</v>
      </c>
      <c r="B4" s="3">
        <v>68</v>
      </c>
      <c r="C4" s="4" t="s">
        <v>23</v>
      </c>
      <c r="D4" s="10" t="s">
        <v>24</v>
      </c>
      <c r="E4" s="6">
        <v>98548</v>
      </c>
      <c r="F4" s="6">
        <v>32076</v>
      </c>
      <c r="G4" s="6">
        <v>66472</v>
      </c>
      <c r="H4" s="6">
        <v>3324</v>
      </c>
      <c r="I4" s="22">
        <v>0</v>
      </c>
      <c r="J4" s="26">
        <v>5</v>
      </c>
      <c r="K4" s="26">
        <v>16</v>
      </c>
      <c r="L4" s="22">
        <v>0</v>
      </c>
      <c r="M4" s="26">
        <v>10</v>
      </c>
      <c r="N4" s="26">
        <v>16</v>
      </c>
      <c r="O4" s="22">
        <v>236</v>
      </c>
      <c r="P4" s="26">
        <v>15</v>
      </c>
      <c r="Q4" s="26">
        <v>18</v>
      </c>
      <c r="R4" s="22">
        <v>0</v>
      </c>
      <c r="S4" s="7">
        <v>0</v>
      </c>
      <c r="T4" s="17">
        <f>SUM(I4,L4,O4,R4,S4)</f>
        <v>236</v>
      </c>
      <c r="U4" s="24">
        <f>6719.7*4</f>
        <v>26878.799999999999</v>
      </c>
      <c r="V4" s="7">
        <v>8.8000000000000007</v>
      </c>
      <c r="W4" s="30">
        <f t="shared" si="0"/>
        <v>3054.4090909090905</v>
      </c>
      <c r="X4" s="7">
        <v>16</v>
      </c>
      <c r="Y4" s="7">
        <v>1</v>
      </c>
      <c r="Z4" s="7">
        <v>17</v>
      </c>
      <c r="AA4" s="4" t="s">
        <v>90</v>
      </c>
    </row>
    <row r="5" spans="1:27" x14ac:dyDescent="0.3">
      <c r="A5" s="2" t="s">
        <v>25</v>
      </c>
      <c r="B5" s="3">
        <v>68</v>
      </c>
      <c r="C5" s="4" t="s">
        <v>26</v>
      </c>
      <c r="D5" s="10" t="s">
        <v>27</v>
      </c>
      <c r="E5" s="6">
        <v>158180</v>
      </c>
      <c r="F5" s="6">
        <v>52996</v>
      </c>
      <c r="G5" s="6">
        <v>105184</v>
      </c>
      <c r="H5" s="6">
        <v>5259</v>
      </c>
      <c r="I5" s="22">
        <v>0</v>
      </c>
      <c r="J5" s="26">
        <v>5</v>
      </c>
      <c r="K5" s="26">
        <v>16</v>
      </c>
      <c r="L5" s="22">
        <v>0</v>
      </c>
      <c r="M5" s="26">
        <v>10</v>
      </c>
      <c r="N5" s="26">
        <v>16</v>
      </c>
      <c r="O5" s="22">
        <v>271</v>
      </c>
      <c r="P5" s="26">
        <v>15</v>
      </c>
      <c r="Q5" s="26">
        <v>18</v>
      </c>
      <c r="R5" s="22">
        <v>0</v>
      </c>
      <c r="S5" s="7">
        <v>0</v>
      </c>
      <c r="T5" s="17">
        <f>SUM(I5,L5,O5,R5,S5)</f>
        <v>271</v>
      </c>
      <c r="U5" s="24">
        <f>10442.5*4</f>
        <v>41770</v>
      </c>
      <c r="V5" s="7">
        <v>9</v>
      </c>
      <c r="W5" s="30">
        <f t="shared" si="0"/>
        <v>4641.1111111111113</v>
      </c>
      <c r="X5" s="7">
        <v>16</v>
      </c>
      <c r="Y5" s="7">
        <v>1</v>
      </c>
      <c r="Z5" s="7">
        <v>47</v>
      </c>
      <c r="AA5" s="4" t="s">
        <v>90</v>
      </c>
    </row>
    <row r="6" spans="1:27" x14ac:dyDescent="0.3">
      <c r="A6" s="2" t="s">
        <v>28</v>
      </c>
      <c r="B6" s="3">
        <v>68</v>
      </c>
      <c r="C6" s="4" t="s">
        <v>29</v>
      </c>
      <c r="D6" s="9" t="s">
        <v>30</v>
      </c>
      <c r="E6" s="6">
        <v>62558</v>
      </c>
      <c r="F6" s="6">
        <v>19416</v>
      </c>
      <c r="G6" s="6">
        <v>43142</v>
      </c>
      <c r="H6" s="6">
        <v>2157</v>
      </c>
      <c r="I6" s="22">
        <v>0</v>
      </c>
      <c r="J6" s="26">
        <v>5</v>
      </c>
      <c r="K6" s="26">
        <v>16</v>
      </c>
      <c r="L6" s="22">
        <v>70</v>
      </c>
      <c r="M6" s="26">
        <v>10</v>
      </c>
      <c r="N6" s="26">
        <v>16</v>
      </c>
      <c r="O6" s="22">
        <v>132</v>
      </c>
      <c r="P6" s="26">
        <v>15</v>
      </c>
      <c r="Q6" s="26">
        <v>18</v>
      </c>
      <c r="R6" s="22">
        <v>0</v>
      </c>
      <c r="S6" s="7">
        <v>0</v>
      </c>
      <c r="T6" s="17">
        <f>SUM(I6,L6,O6,R6,S6)</f>
        <v>202</v>
      </c>
      <c r="U6" s="24">
        <f>4183.4*4</f>
        <v>16733.599999999999</v>
      </c>
      <c r="V6" s="7">
        <v>8.3000000000000007</v>
      </c>
      <c r="W6" s="30">
        <f t="shared" si="0"/>
        <v>2016.0963855421683</v>
      </c>
      <c r="X6" s="7">
        <v>15</v>
      </c>
      <c r="Y6" s="7">
        <v>1</v>
      </c>
      <c r="Z6" s="7">
        <v>13</v>
      </c>
      <c r="AA6" s="4" t="s">
        <v>89</v>
      </c>
    </row>
    <row r="7" spans="1:27" ht="16.5" customHeight="1" x14ac:dyDescent="0.3">
      <c r="A7" s="2" t="s">
        <v>31</v>
      </c>
      <c r="B7" s="3">
        <v>67</v>
      </c>
      <c r="C7" s="4" t="s">
        <v>32</v>
      </c>
      <c r="D7" s="9" t="s">
        <v>33</v>
      </c>
      <c r="E7" s="6">
        <v>112128</v>
      </c>
      <c r="F7" s="6">
        <v>36020</v>
      </c>
      <c r="G7" s="6">
        <v>76108</v>
      </c>
      <c r="H7" s="6">
        <v>3805</v>
      </c>
      <c r="I7" s="22">
        <v>0</v>
      </c>
      <c r="J7" s="26">
        <v>5</v>
      </c>
      <c r="K7" s="26">
        <v>16</v>
      </c>
      <c r="L7" s="22">
        <v>0</v>
      </c>
      <c r="M7" s="26">
        <v>10</v>
      </c>
      <c r="N7" s="26">
        <v>16</v>
      </c>
      <c r="O7" s="22">
        <v>328</v>
      </c>
      <c r="P7" s="26">
        <v>15</v>
      </c>
      <c r="Q7" s="26">
        <v>18</v>
      </c>
      <c r="R7" s="22">
        <v>0</v>
      </c>
      <c r="S7" s="7">
        <v>0</v>
      </c>
      <c r="T7" s="17">
        <f>SUM(I7,L7,O7,R7,S7)</f>
        <v>328</v>
      </c>
      <c r="U7" s="24">
        <f>7816.3*4</f>
        <v>31265.200000000001</v>
      </c>
      <c r="V7" s="7">
        <v>8.3000000000000007</v>
      </c>
      <c r="W7" s="30">
        <f t="shared" si="0"/>
        <v>3766.8915662650602</v>
      </c>
      <c r="X7" s="7">
        <v>16</v>
      </c>
      <c r="Y7" s="7">
        <v>2</v>
      </c>
      <c r="Z7" s="7">
        <v>24</v>
      </c>
      <c r="AA7" s="4" t="s">
        <v>113</v>
      </c>
    </row>
    <row r="8" spans="1:27" x14ac:dyDescent="0.3">
      <c r="A8" s="2" t="s">
        <v>34</v>
      </c>
      <c r="B8" s="3">
        <v>67</v>
      </c>
      <c r="C8" s="4" t="s">
        <v>29</v>
      </c>
      <c r="D8" s="9" t="s">
        <v>35</v>
      </c>
      <c r="E8" s="6">
        <v>54080</v>
      </c>
      <c r="F8" s="6">
        <v>17524</v>
      </c>
      <c r="G8" s="6">
        <v>36556</v>
      </c>
      <c r="H8" s="6">
        <v>1828</v>
      </c>
      <c r="I8" s="22">
        <v>0</v>
      </c>
      <c r="J8" s="26">
        <v>5</v>
      </c>
      <c r="K8" s="26">
        <v>16</v>
      </c>
      <c r="L8" s="22">
        <v>0</v>
      </c>
      <c r="M8" s="26">
        <v>10</v>
      </c>
      <c r="N8" s="26">
        <v>16</v>
      </c>
      <c r="O8" s="22">
        <v>132</v>
      </c>
      <c r="P8" s="26">
        <v>15</v>
      </c>
      <c r="Q8" s="26">
        <v>18</v>
      </c>
      <c r="R8" s="22">
        <v>0</v>
      </c>
      <c r="S8" s="7">
        <v>0</v>
      </c>
      <c r="T8" s="17">
        <f>SUM(I8,L8,O8,R8,S8)</f>
        <v>132</v>
      </c>
      <c r="U8" s="24">
        <f>3429.6*4</f>
        <v>13718.4</v>
      </c>
      <c r="V8" s="7">
        <v>8.3000000000000007</v>
      </c>
      <c r="W8" s="30">
        <f t="shared" si="0"/>
        <v>1652.8192771084337</v>
      </c>
      <c r="X8" s="7">
        <v>12</v>
      </c>
      <c r="Y8" s="7">
        <v>1</v>
      </c>
      <c r="Z8" s="7">
        <v>10</v>
      </c>
      <c r="AA8" s="4" t="s">
        <v>113</v>
      </c>
    </row>
    <row r="9" spans="1:27" x14ac:dyDescent="0.3">
      <c r="A9" s="2" t="s">
        <v>36</v>
      </c>
      <c r="B9" s="3">
        <v>67</v>
      </c>
      <c r="C9" s="4" t="s">
        <v>23</v>
      </c>
      <c r="D9" s="9" t="s">
        <v>30</v>
      </c>
      <c r="E9" s="6">
        <v>64692</v>
      </c>
      <c r="F9" s="6">
        <v>22700</v>
      </c>
      <c r="G9" s="6">
        <v>41992</v>
      </c>
      <c r="H9" s="6">
        <v>2100</v>
      </c>
      <c r="I9" s="22">
        <v>69</v>
      </c>
      <c r="J9" s="26">
        <v>5</v>
      </c>
      <c r="K9" s="26">
        <v>16</v>
      </c>
      <c r="L9" s="22">
        <v>76</v>
      </c>
      <c r="M9" s="26">
        <v>10</v>
      </c>
      <c r="N9" s="26">
        <v>16</v>
      </c>
      <c r="O9" s="22">
        <v>100</v>
      </c>
      <c r="P9" s="26">
        <v>15</v>
      </c>
      <c r="Q9" s="26">
        <v>18</v>
      </c>
      <c r="R9" s="22">
        <v>0</v>
      </c>
      <c r="S9" s="7">
        <v>0</v>
      </c>
      <c r="T9" s="17">
        <f>SUM(I9,L9,O9,R9,S9)</f>
        <v>245</v>
      </c>
      <c r="U9" s="24">
        <f>4653.7*4</f>
        <v>18614.8</v>
      </c>
      <c r="V9" s="7">
        <v>8.3000000000000007</v>
      </c>
      <c r="W9" s="30">
        <f t="shared" si="0"/>
        <v>2242.7469879518071</v>
      </c>
      <c r="X9" s="7">
        <v>12</v>
      </c>
      <c r="Y9" s="7">
        <v>1</v>
      </c>
      <c r="Z9" s="7">
        <v>19</v>
      </c>
      <c r="AA9" s="8" t="s">
        <v>111</v>
      </c>
    </row>
    <row r="10" spans="1:27" ht="15.5" customHeight="1" x14ac:dyDescent="0.3">
      <c r="A10" s="2" t="s">
        <v>37</v>
      </c>
      <c r="B10" s="3">
        <v>67</v>
      </c>
      <c r="C10" s="4" t="s">
        <v>32</v>
      </c>
      <c r="D10" s="9" t="s">
        <v>30</v>
      </c>
      <c r="E10" s="6">
        <v>80660</v>
      </c>
      <c r="F10" s="6">
        <v>26560</v>
      </c>
      <c r="G10" s="6">
        <v>54100</v>
      </c>
      <c r="H10" s="6">
        <v>2705</v>
      </c>
      <c r="I10" s="22">
        <v>0</v>
      </c>
      <c r="J10" s="26">
        <v>5</v>
      </c>
      <c r="K10" s="26">
        <v>16</v>
      </c>
      <c r="L10" s="22">
        <v>102</v>
      </c>
      <c r="M10" s="26">
        <v>10</v>
      </c>
      <c r="N10" s="26">
        <v>16</v>
      </c>
      <c r="O10" s="22">
        <v>164</v>
      </c>
      <c r="P10" s="26">
        <v>15</v>
      </c>
      <c r="Q10" s="26">
        <v>18</v>
      </c>
      <c r="R10" s="22">
        <v>0</v>
      </c>
      <c r="S10" s="7">
        <v>0</v>
      </c>
      <c r="T10" s="17">
        <f>SUM(I10,L10,O10,R10,S10)</f>
        <v>266</v>
      </c>
      <c r="U10" s="24">
        <f>(4675.2+1027.4)*4</f>
        <v>22810.400000000001</v>
      </c>
      <c r="V10" s="7">
        <v>8.3000000000000007</v>
      </c>
      <c r="W10" s="30">
        <f t="shared" si="0"/>
        <v>2748.2409638554218</v>
      </c>
      <c r="X10" s="7">
        <v>12</v>
      </c>
      <c r="Y10" s="7">
        <v>1</v>
      </c>
      <c r="Z10" s="7">
        <v>10</v>
      </c>
      <c r="AA10" s="4" t="s">
        <v>90</v>
      </c>
    </row>
    <row r="11" spans="1:27" ht="18" customHeight="1" x14ac:dyDescent="0.3">
      <c r="A11" s="2" t="s">
        <v>38</v>
      </c>
      <c r="B11" s="3">
        <v>67</v>
      </c>
      <c r="C11" s="4" t="s">
        <v>26</v>
      </c>
      <c r="D11" s="9" t="s">
        <v>35</v>
      </c>
      <c r="E11" s="6">
        <v>106044</v>
      </c>
      <c r="F11" s="6">
        <v>32836</v>
      </c>
      <c r="G11" s="6">
        <v>73208</v>
      </c>
      <c r="H11" s="6">
        <v>3660</v>
      </c>
      <c r="I11" s="22">
        <v>0</v>
      </c>
      <c r="J11" s="26">
        <v>5</v>
      </c>
      <c r="K11" s="26">
        <v>16</v>
      </c>
      <c r="L11" s="22">
        <v>114</v>
      </c>
      <c r="M11" s="26">
        <v>10</v>
      </c>
      <c r="N11" s="26">
        <v>16</v>
      </c>
      <c r="O11" s="22">
        <v>182</v>
      </c>
      <c r="P11" s="26">
        <v>15</v>
      </c>
      <c r="Q11" s="26">
        <v>18</v>
      </c>
      <c r="R11" s="22">
        <v>0</v>
      </c>
      <c r="S11" s="7">
        <v>0</v>
      </c>
      <c r="T11" s="17">
        <f>SUM(I11,L11,O11,R11,S11)</f>
        <v>296</v>
      </c>
      <c r="U11" s="24">
        <f>7094.3*4</f>
        <v>28377.200000000001</v>
      </c>
      <c r="V11" s="7">
        <v>8.3000000000000007</v>
      </c>
      <c r="W11" s="30">
        <f t="shared" si="0"/>
        <v>3418.9397590361446</v>
      </c>
      <c r="X11" s="7">
        <v>12</v>
      </c>
      <c r="Y11" s="7">
        <v>2</v>
      </c>
      <c r="Z11" s="7">
        <v>32</v>
      </c>
      <c r="AA11" s="4" t="s">
        <v>90</v>
      </c>
    </row>
    <row r="12" spans="1:27" x14ac:dyDescent="0.3">
      <c r="A12" s="2" t="s">
        <v>39</v>
      </c>
      <c r="B12" s="3">
        <v>67</v>
      </c>
      <c r="C12" s="4" t="s">
        <v>26</v>
      </c>
      <c r="D12" s="5" t="s">
        <v>40</v>
      </c>
      <c r="E12" s="6">
        <v>13904</v>
      </c>
      <c r="F12" s="6">
        <v>4872</v>
      </c>
      <c r="G12" s="6">
        <v>9032</v>
      </c>
      <c r="H12" s="7">
        <v>452</v>
      </c>
      <c r="I12" s="22">
        <v>60</v>
      </c>
      <c r="J12" s="26">
        <v>5</v>
      </c>
      <c r="K12" s="26">
        <v>16</v>
      </c>
      <c r="L12" s="22">
        <v>24</v>
      </c>
      <c r="M12" s="26">
        <v>10</v>
      </c>
      <c r="N12" s="26">
        <v>16</v>
      </c>
      <c r="O12" s="22">
        <v>0</v>
      </c>
      <c r="P12" s="26">
        <v>15</v>
      </c>
      <c r="Q12" s="26">
        <v>18</v>
      </c>
      <c r="R12" s="22">
        <v>0</v>
      </c>
      <c r="S12" s="7">
        <v>0</v>
      </c>
      <c r="T12" s="17">
        <f>SUM(I12,L12,O12,R12,S12)</f>
        <v>84</v>
      </c>
      <c r="U12" s="24">
        <f>992.1*4</f>
        <v>3968.4</v>
      </c>
      <c r="V12" s="7">
        <v>8.3000000000000007</v>
      </c>
      <c r="W12" s="30">
        <f t="shared" si="0"/>
        <v>478.12048192771084</v>
      </c>
      <c r="X12" s="7">
        <v>8.3000000000000007</v>
      </c>
      <c r="Y12" s="7">
        <v>0</v>
      </c>
      <c r="Z12" s="7">
        <v>7</v>
      </c>
      <c r="AA12" s="4" t="s">
        <v>90</v>
      </c>
    </row>
    <row r="13" spans="1:27" x14ac:dyDescent="0.3">
      <c r="A13" s="2" t="s">
        <v>41</v>
      </c>
      <c r="B13" s="3">
        <v>67</v>
      </c>
      <c r="C13" s="4" t="s">
        <v>26</v>
      </c>
      <c r="D13" s="9" t="s">
        <v>30</v>
      </c>
      <c r="E13" s="6">
        <v>113984</v>
      </c>
      <c r="F13" s="6">
        <v>36124</v>
      </c>
      <c r="G13" s="6">
        <v>77860</v>
      </c>
      <c r="H13" s="6">
        <v>3893</v>
      </c>
      <c r="I13" s="22">
        <v>0</v>
      </c>
      <c r="J13" s="26">
        <v>5</v>
      </c>
      <c r="K13" s="26">
        <v>16</v>
      </c>
      <c r="L13" s="22">
        <v>148</v>
      </c>
      <c r="M13" s="26">
        <v>10</v>
      </c>
      <c r="N13" s="26">
        <v>16</v>
      </c>
      <c r="O13" s="22">
        <v>213</v>
      </c>
      <c r="P13" s="26">
        <v>15</v>
      </c>
      <c r="Q13" s="26">
        <v>18</v>
      </c>
      <c r="R13" s="22">
        <v>0</v>
      </c>
      <c r="S13" s="7">
        <v>0</v>
      </c>
      <c r="T13" s="17">
        <f>SUM(I13,L13,O13,R13,S13)</f>
        <v>361</v>
      </c>
      <c r="U13" s="24">
        <f>7435*4</f>
        <v>29740</v>
      </c>
      <c r="V13" s="7">
        <v>8.3000000000000007</v>
      </c>
      <c r="W13" s="30">
        <f t="shared" si="0"/>
        <v>3583.1325301204815</v>
      </c>
      <c r="X13" s="7">
        <v>16</v>
      </c>
      <c r="Y13" s="7">
        <v>2</v>
      </c>
      <c r="Z13" s="7">
        <v>14</v>
      </c>
      <c r="AA13" s="4" t="s">
        <v>90</v>
      </c>
    </row>
    <row r="14" spans="1:27" ht="18" customHeight="1" x14ac:dyDescent="0.3">
      <c r="A14" s="28" t="s">
        <v>42</v>
      </c>
      <c r="B14" s="3">
        <v>67</v>
      </c>
      <c r="C14" s="4" t="s">
        <v>23</v>
      </c>
      <c r="D14" s="9" t="s">
        <v>43</v>
      </c>
      <c r="E14" s="6">
        <v>68020</v>
      </c>
      <c r="F14" s="6">
        <v>26756</v>
      </c>
      <c r="G14" s="6">
        <v>41264</v>
      </c>
      <c r="H14" s="6">
        <v>2063</v>
      </c>
      <c r="I14" s="22">
        <v>0</v>
      </c>
      <c r="J14" s="26">
        <v>5</v>
      </c>
      <c r="K14" s="26">
        <v>16</v>
      </c>
      <c r="L14" s="22">
        <v>34</v>
      </c>
      <c r="M14" s="26">
        <v>10</v>
      </c>
      <c r="N14" s="26">
        <v>16</v>
      </c>
      <c r="O14" s="22">
        <v>132</v>
      </c>
      <c r="P14" s="26">
        <v>15</v>
      </c>
      <c r="Q14" s="26">
        <v>18</v>
      </c>
      <c r="R14" s="22">
        <v>0</v>
      </c>
      <c r="S14" s="7">
        <v>0</v>
      </c>
      <c r="T14" s="17">
        <f>SUM(I14,L14,O14,R14,S14)</f>
        <v>166</v>
      </c>
      <c r="U14" s="24">
        <f>4614.1*4</f>
        <v>18456.400000000001</v>
      </c>
      <c r="V14" s="7">
        <v>8.3000000000000007</v>
      </c>
      <c r="W14" s="30">
        <f t="shared" si="0"/>
        <v>2223.6626506024095</v>
      </c>
      <c r="X14" s="7">
        <v>12</v>
      </c>
      <c r="Y14" s="7">
        <v>5</v>
      </c>
      <c r="Z14" s="7">
        <v>19</v>
      </c>
      <c r="AA14" s="4" t="s">
        <v>113</v>
      </c>
    </row>
    <row r="15" spans="1:27" ht="15.5" customHeight="1" x14ac:dyDescent="0.3">
      <c r="A15" s="28" t="s">
        <v>44</v>
      </c>
      <c r="B15" s="3">
        <v>67</v>
      </c>
      <c r="C15" s="4" t="s">
        <v>45</v>
      </c>
      <c r="D15" s="10" t="s">
        <v>46</v>
      </c>
      <c r="E15" s="6">
        <v>46492</v>
      </c>
      <c r="F15" s="6">
        <v>15372</v>
      </c>
      <c r="G15" s="6">
        <v>31120</v>
      </c>
      <c r="H15" s="6">
        <v>1556</v>
      </c>
      <c r="I15" s="22">
        <v>0</v>
      </c>
      <c r="J15" s="26">
        <v>5</v>
      </c>
      <c r="K15" s="26">
        <v>16</v>
      </c>
      <c r="L15" s="22">
        <v>0</v>
      </c>
      <c r="M15" s="26">
        <v>10</v>
      </c>
      <c r="N15" s="26">
        <v>16</v>
      </c>
      <c r="O15" s="22">
        <v>93</v>
      </c>
      <c r="P15" s="26">
        <v>15</v>
      </c>
      <c r="Q15" s="26">
        <v>18</v>
      </c>
      <c r="R15" s="22">
        <v>0</v>
      </c>
      <c r="S15" s="7">
        <v>2</v>
      </c>
      <c r="T15" s="17">
        <f>SUM(I15,L15,O15,R15,S15)</f>
        <v>95</v>
      </c>
      <c r="U15" s="24">
        <f>2857.5*4</f>
        <v>11430</v>
      </c>
      <c r="V15" s="7">
        <v>9</v>
      </c>
      <c r="W15" s="30">
        <f t="shared" si="0"/>
        <v>1270</v>
      </c>
      <c r="X15" s="7">
        <v>12</v>
      </c>
      <c r="Y15" s="7">
        <v>1</v>
      </c>
      <c r="Z15" s="7">
        <v>6</v>
      </c>
      <c r="AA15" s="4" t="s">
        <v>111</v>
      </c>
    </row>
    <row r="16" spans="1:27" x14ac:dyDescent="0.3">
      <c r="A16" s="28" t="s">
        <v>47</v>
      </c>
      <c r="B16" s="3">
        <v>67</v>
      </c>
      <c r="C16" s="4" t="s">
        <v>48</v>
      </c>
      <c r="D16" s="5" t="s">
        <v>40</v>
      </c>
      <c r="E16" s="6">
        <v>25000</v>
      </c>
      <c r="F16" s="6">
        <v>7308</v>
      </c>
      <c r="G16" s="6">
        <v>17692</v>
      </c>
      <c r="H16" s="7">
        <v>885</v>
      </c>
      <c r="I16" s="22">
        <v>56</v>
      </c>
      <c r="J16" s="26">
        <v>5</v>
      </c>
      <c r="K16" s="26">
        <v>16</v>
      </c>
      <c r="L16" s="22">
        <v>64</v>
      </c>
      <c r="M16" s="26">
        <v>10</v>
      </c>
      <c r="N16" s="26">
        <v>16</v>
      </c>
      <c r="O16" s="22">
        <v>0</v>
      </c>
      <c r="P16" s="26">
        <v>15</v>
      </c>
      <c r="Q16" s="26">
        <v>18</v>
      </c>
      <c r="R16" s="22">
        <v>0</v>
      </c>
      <c r="S16" s="7">
        <v>0</v>
      </c>
      <c r="T16" s="17">
        <f>SUM(I16,L16,O16,R16,S16)</f>
        <v>120</v>
      </c>
      <c r="U16" s="24">
        <f>1430.5*4</f>
        <v>5722</v>
      </c>
      <c r="V16" s="7">
        <v>9</v>
      </c>
      <c r="W16" s="30">
        <f t="shared" si="0"/>
        <v>635.77777777777783</v>
      </c>
      <c r="X16" s="7">
        <v>12</v>
      </c>
      <c r="Y16" s="7">
        <v>1</v>
      </c>
      <c r="Z16" s="7">
        <v>0</v>
      </c>
      <c r="AA16" s="4" t="s">
        <v>90</v>
      </c>
    </row>
    <row r="17" spans="1:27" ht="17.5" customHeight="1" x14ac:dyDescent="0.3">
      <c r="A17" s="28" t="s">
        <v>49</v>
      </c>
      <c r="B17" s="3">
        <v>67</v>
      </c>
      <c r="C17" s="4" t="s">
        <v>48</v>
      </c>
      <c r="D17" s="10" t="s">
        <v>50</v>
      </c>
      <c r="E17" s="6">
        <v>16000</v>
      </c>
      <c r="F17" s="6">
        <v>4808</v>
      </c>
      <c r="G17" s="6">
        <v>11192</v>
      </c>
      <c r="H17" s="7">
        <v>560</v>
      </c>
      <c r="I17" s="22">
        <v>0</v>
      </c>
      <c r="J17" s="26">
        <v>5</v>
      </c>
      <c r="K17" s="26">
        <v>16</v>
      </c>
      <c r="L17" s="22">
        <v>0</v>
      </c>
      <c r="M17" s="26">
        <v>10</v>
      </c>
      <c r="N17" s="26">
        <v>16</v>
      </c>
      <c r="O17" s="22">
        <v>41</v>
      </c>
      <c r="P17" s="26">
        <v>15</v>
      </c>
      <c r="Q17" s="26">
        <v>18</v>
      </c>
      <c r="R17" s="22">
        <v>0</v>
      </c>
      <c r="S17" s="7">
        <v>0</v>
      </c>
      <c r="T17" s="17">
        <f>SUM(I17,L17,O17,R17,S17)</f>
        <v>41</v>
      </c>
      <c r="U17" s="24">
        <f>973.5*4</f>
        <v>3894</v>
      </c>
      <c r="V17" s="7">
        <v>9</v>
      </c>
      <c r="W17" s="30">
        <f t="shared" si="0"/>
        <v>432.66666666666669</v>
      </c>
      <c r="X17" s="7">
        <v>9</v>
      </c>
      <c r="Y17" s="7">
        <v>1</v>
      </c>
      <c r="Z17" s="7">
        <v>0</v>
      </c>
      <c r="AA17" s="4" t="s">
        <v>90</v>
      </c>
    </row>
    <row r="18" spans="1:27" ht="13.5" customHeight="1" x14ac:dyDescent="0.3">
      <c r="A18" s="28" t="s">
        <v>51</v>
      </c>
      <c r="B18" s="3">
        <v>67</v>
      </c>
      <c r="C18" s="4" t="s">
        <v>32</v>
      </c>
      <c r="D18" s="10" t="s">
        <v>52</v>
      </c>
      <c r="E18" s="6">
        <v>159593</v>
      </c>
      <c r="F18" s="6">
        <v>51958</v>
      </c>
      <c r="G18" s="6">
        <v>107635</v>
      </c>
      <c r="H18" s="6">
        <v>5382</v>
      </c>
      <c r="I18" s="22">
        <v>0</v>
      </c>
      <c r="J18" s="26">
        <v>5</v>
      </c>
      <c r="K18" s="26">
        <v>16</v>
      </c>
      <c r="L18" s="22">
        <v>0</v>
      </c>
      <c r="M18" s="26">
        <v>10</v>
      </c>
      <c r="N18" s="26">
        <v>16</v>
      </c>
      <c r="O18" s="22">
        <v>357</v>
      </c>
      <c r="P18" s="26">
        <v>15</v>
      </c>
      <c r="Q18" s="26">
        <v>18</v>
      </c>
      <c r="R18" s="22">
        <v>0</v>
      </c>
      <c r="S18" s="7">
        <v>0</v>
      </c>
      <c r="T18" s="17">
        <f>SUM(I18,L18,O18,R18,S18)</f>
        <v>357</v>
      </c>
      <c r="U18" s="24">
        <f>(7226.8+3327.4)*4</f>
        <v>42216.800000000003</v>
      </c>
      <c r="V18" s="7">
        <v>9</v>
      </c>
      <c r="W18" s="30">
        <f t="shared" si="0"/>
        <v>4690.7555555555555</v>
      </c>
      <c r="X18" s="7">
        <v>16</v>
      </c>
      <c r="Y18" s="7">
        <v>1</v>
      </c>
      <c r="Z18" s="7">
        <v>19</v>
      </c>
      <c r="AA18" s="4" t="s">
        <v>89</v>
      </c>
    </row>
    <row r="19" spans="1:27" ht="18" customHeight="1" x14ac:dyDescent="0.3">
      <c r="A19" s="28" t="s">
        <v>53</v>
      </c>
      <c r="B19" s="3">
        <v>67</v>
      </c>
      <c r="C19" s="4" t="s">
        <v>32</v>
      </c>
      <c r="D19" s="9" t="s">
        <v>35</v>
      </c>
      <c r="E19" s="6">
        <v>151932</v>
      </c>
      <c r="F19" s="6">
        <v>44420</v>
      </c>
      <c r="G19" s="6">
        <v>107512</v>
      </c>
      <c r="H19" s="6">
        <v>5376</v>
      </c>
      <c r="I19" s="22">
        <v>0</v>
      </c>
      <c r="J19" s="26">
        <v>5</v>
      </c>
      <c r="K19" s="26">
        <v>16</v>
      </c>
      <c r="L19" s="22">
        <v>0</v>
      </c>
      <c r="M19" s="26">
        <v>10</v>
      </c>
      <c r="N19" s="26">
        <v>16</v>
      </c>
      <c r="O19" s="22">
        <v>437</v>
      </c>
      <c r="P19" s="26">
        <v>15</v>
      </c>
      <c r="Q19" s="26">
        <v>18</v>
      </c>
      <c r="R19" s="22">
        <v>0</v>
      </c>
      <c r="S19" s="7">
        <v>0</v>
      </c>
      <c r="T19" s="17">
        <f>SUM(I19,L19,O19,R19,S19)</f>
        <v>437</v>
      </c>
      <c r="U19" s="24">
        <f>9048.2*4</f>
        <v>36192.800000000003</v>
      </c>
      <c r="V19" s="7">
        <v>8.3000000000000007</v>
      </c>
      <c r="W19" s="30">
        <f t="shared" si="0"/>
        <v>4360.5783132530123</v>
      </c>
      <c r="X19" s="7">
        <v>16</v>
      </c>
      <c r="Y19" s="7">
        <v>3</v>
      </c>
      <c r="Z19" s="7">
        <v>17</v>
      </c>
      <c r="AA19" s="4" t="s">
        <v>114</v>
      </c>
    </row>
    <row r="20" spans="1:27" x14ac:dyDescent="0.3">
      <c r="A20" s="28" t="s">
        <v>54</v>
      </c>
      <c r="B20" s="3">
        <v>67</v>
      </c>
      <c r="C20" s="4" t="s">
        <v>55</v>
      </c>
      <c r="D20" s="10" t="s">
        <v>56</v>
      </c>
      <c r="E20" s="6">
        <v>150061</v>
      </c>
      <c r="F20" s="6">
        <v>50856</v>
      </c>
      <c r="G20" s="6">
        <v>99205</v>
      </c>
      <c r="H20" s="6">
        <v>4960</v>
      </c>
      <c r="I20" s="22">
        <v>0</v>
      </c>
      <c r="J20" s="26">
        <v>5</v>
      </c>
      <c r="K20" s="26">
        <v>16</v>
      </c>
      <c r="L20" s="22">
        <v>0</v>
      </c>
      <c r="M20" s="26">
        <v>10</v>
      </c>
      <c r="N20" s="26">
        <v>16</v>
      </c>
      <c r="O20" s="22">
        <v>312</v>
      </c>
      <c r="P20" s="26">
        <v>15</v>
      </c>
      <c r="Q20" s="26">
        <v>18</v>
      </c>
      <c r="R20" s="22">
        <v>0</v>
      </c>
      <c r="S20" s="7">
        <v>2</v>
      </c>
      <c r="T20" s="17">
        <f>SUM(I20,L20,O20,R20,S20)</f>
        <v>314</v>
      </c>
      <c r="U20" s="24">
        <f>10601*4</f>
        <v>42404</v>
      </c>
      <c r="V20" s="7">
        <v>9</v>
      </c>
      <c r="W20" s="30">
        <f t="shared" si="0"/>
        <v>4711.5555555555557</v>
      </c>
      <c r="X20" s="7">
        <v>16</v>
      </c>
      <c r="Y20" s="7">
        <v>2</v>
      </c>
      <c r="Z20" s="7">
        <v>34</v>
      </c>
      <c r="AA20" s="4" t="s">
        <v>113</v>
      </c>
    </row>
    <row r="21" spans="1:27" x14ac:dyDescent="0.3">
      <c r="A21" s="28" t="s">
        <v>57</v>
      </c>
      <c r="B21" s="3">
        <v>67</v>
      </c>
      <c r="C21" s="4" t="s">
        <v>55</v>
      </c>
      <c r="D21" s="5" t="s">
        <v>19</v>
      </c>
      <c r="E21" s="6">
        <v>113668</v>
      </c>
      <c r="F21" s="6">
        <v>38684</v>
      </c>
      <c r="G21" s="6">
        <v>74984</v>
      </c>
      <c r="H21" s="6">
        <v>3749</v>
      </c>
      <c r="I21" s="22">
        <v>225</v>
      </c>
      <c r="J21" s="26">
        <v>5</v>
      </c>
      <c r="K21" s="26">
        <v>16</v>
      </c>
      <c r="L21" s="22">
        <v>158</v>
      </c>
      <c r="M21" s="26">
        <v>10</v>
      </c>
      <c r="N21" s="26">
        <v>16</v>
      </c>
      <c r="O21" s="22">
        <v>103</v>
      </c>
      <c r="P21" s="26">
        <v>15</v>
      </c>
      <c r="Q21" s="26">
        <v>18</v>
      </c>
      <c r="R21" s="22">
        <v>0</v>
      </c>
      <c r="S21" s="7">
        <v>0</v>
      </c>
      <c r="T21" s="17">
        <f>SUM(I21,L21,O21,R21,S21)</f>
        <v>486</v>
      </c>
      <c r="U21" s="24">
        <f>8090.4*4</f>
        <v>32361.599999999999</v>
      </c>
      <c r="V21" s="7">
        <v>8.3000000000000007</v>
      </c>
      <c r="W21" s="30">
        <f t="shared" si="0"/>
        <v>3898.9879518072285</v>
      </c>
      <c r="X21" s="7">
        <v>12</v>
      </c>
      <c r="Y21" s="7">
        <v>1</v>
      </c>
      <c r="Z21" s="7">
        <v>25</v>
      </c>
      <c r="AA21" s="4" t="s">
        <v>114</v>
      </c>
    </row>
    <row r="22" spans="1:27" ht="16.5" customHeight="1" x14ac:dyDescent="0.3">
      <c r="A22" s="28" t="s">
        <v>58</v>
      </c>
      <c r="B22" s="3">
        <v>67</v>
      </c>
      <c r="C22" s="4" t="s">
        <v>18</v>
      </c>
      <c r="D22" s="9" t="s">
        <v>30</v>
      </c>
      <c r="E22" s="6">
        <v>100044</v>
      </c>
      <c r="F22" s="6">
        <v>38824</v>
      </c>
      <c r="G22" s="6">
        <v>61220</v>
      </c>
      <c r="H22" s="6">
        <v>3061</v>
      </c>
      <c r="I22" s="22">
        <v>0</v>
      </c>
      <c r="J22" s="26">
        <v>5</v>
      </c>
      <c r="K22" s="26">
        <v>16</v>
      </c>
      <c r="L22" s="22">
        <v>122</v>
      </c>
      <c r="M22" s="26">
        <v>10</v>
      </c>
      <c r="N22" s="26">
        <v>16</v>
      </c>
      <c r="O22" s="22">
        <v>165</v>
      </c>
      <c r="P22" s="26">
        <v>15</v>
      </c>
      <c r="Q22" s="26">
        <v>18</v>
      </c>
      <c r="R22" s="22">
        <v>0</v>
      </c>
      <c r="S22" s="7">
        <v>0</v>
      </c>
      <c r="T22" s="17">
        <f>SUM(I22,L22,O22,R22,S22)</f>
        <v>287</v>
      </c>
      <c r="U22" s="24">
        <f>7620.8*4</f>
        <v>30483.200000000001</v>
      </c>
      <c r="V22" s="7">
        <v>9</v>
      </c>
      <c r="W22" s="30">
        <f t="shared" si="0"/>
        <v>3387.0222222222224</v>
      </c>
      <c r="X22" s="7">
        <v>16</v>
      </c>
      <c r="Y22" s="7">
        <v>3</v>
      </c>
      <c r="Z22" s="7">
        <v>19</v>
      </c>
      <c r="AA22" s="8" t="s">
        <v>111</v>
      </c>
    </row>
    <row r="23" spans="1:27" ht="17" customHeight="1" x14ac:dyDescent="0.3">
      <c r="A23" s="28" t="s">
        <v>59</v>
      </c>
      <c r="B23" s="3">
        <v>67</v>
      </c>
      <c r="C23" s="4" t="s">
        <v>48</v>
      </c>
      <c r="D23" s="10" t="s">
        <v>27</v>
      </c>
      <c r="E23" s="6">
        <v>46708</v>
      </c>
      <c r="F23" s="6">
        <v>15200</v>
      </c>
      <c r="G23" s="6">
        <v>31508</v>
      </c>
      <c r="H23" s="6">
        <v>1575</v>
      </c>
      <c r="I23" s="22">
        <v>0</v>
      </c>
      <c r="J23" s="26">
        <v>5</v>
      </c>
      <c r="K23" s="26">
        <v>16</v>
      </c>
      <c r="L23" s="22">
        <v>0</v>
      </c>
      <c r="M23" s="26">
        <v>10</v>
      </c>
      <c r="N23" s="26">
        <v>16</v>
      </c>
      <c r="O23" s="22">
        <v>65</v>
      </c>
      <c r="P23" s="26">
        <v>15</v>
      </c>
      <c r="Q23" s="26">
        <v>18</v>
      </c>
      <c r="R23" s="22">
        <v>0</v>
      </c>
      <c r="S23" s="7">
        <v>0</v>
      </c>
      <c r="T23" s="17">
        <f>SUM(I23,L23,O23,R23,S23)</f>
        <v>65</v>
      </c>
      <c r="U23" s="24">
        <f>3127.3*4</f>
        <v>12509.2</v>
      </c>
      <c r="V23" s="7">
        <v>9</v>
      </c>
      <c r="W23" s="30">
        <f t="shared" si="0"/>
        <v>1389.9111111111113</v>
      </c>
      <c r="X23" s="7">
        <v>12</v>
      </c>
      <c r="Y23" s="7">
        <v>1</v>
      </c>
      <c r="Z23" s="7">
        <v>13</v>
      </c>
      <c r="AA23" s="4" t="s">
        <v>113</v>
      </c>
    </row>
    <row r="24" spans="1:27" ht="13.5" customHeight="1" x14ac:dyDescent="0.3">
      <c r="A24" s="28" t="s">
        <v>60</v>
      </c>
      <c r="B24" s="3">
        <v>67</v>
      </c>
      <c r="C24" s="4" t="s">
        <v>26</v>
      </c>
      <c r="D24" s="9" t="s">
        <v>21</v>
      </c>
      <c r="E24" s="6">
        <v>70928</v>
      </c>
      <c r="F24" s="6">
        <v>23712</v>
      </c>
      <c r="G24" s="6">
        <v>47216</v>
      </c>
      <c r="H24" s="6">
        <v>2361</v>
      </c>
      <c r="I24" s="22">
        <v>0</v>
      </c>
      <c r="J24" s="26">
        <v>5</v>
      </c>
      <c r="K24" s="26">
        <v>16</v>
      </c>
      <c r="L24" s="22">
        <v>0</v>
      </c>
      <c r="M24" s="26">
        <v>10</v>
      </c>
      <c r="N24" s="26">
        <v>16</v>
      </c>
      <c r="O24" s="22">
        <v>156</v>
      </c>
      <c r="P24" s="26">
        <v>15</v>
      </c>
      <c r="Q24" s="26">
        <v>18</v>
      </c>
      <c r="R24" s="22">
        <v>0</v>
      </c>
      <c r="S24" s="7">
        <v>0</v>
      </c>
      <c r="T24" s="17">
        <f>SUM(I24,L24,O24,R24,S24)</f>
        <v>156</v>
      </c>
      <c r="U24" s="24">
        <f>5145.6*4</f>
        <v>20582.400000000001</v>
      </c>
      <c r="V24" s="7">
        <v>9</v>
      </c>
      <c r="W24" s="30">
        <f t="shared" si="0"/>
        <v>2286.9333333333334</v>
      </c>
      <c r="X24" s="7">
        <v>13</v>
      </c>
      <c r="Y24" s="7">
        <v>1</v>
      </c>
      <c r="Z24" s="7">
        <v>2</v>
      </c>
      <c r="AA24" s="4" t="s">
        <v>114</v>
      </c>
    </row>
    <row r="25" spans="1:27" x14ac:dyDescent="0.3">
      <c r="A25" s="28" t="s">
        <v>61</v>
      </c>
      <c r="B25" s="3">
        <v>67</v>
      </c>
      <c r="C25" s="4" t="s">
        <v>18</v>
      </c>
      <c r="D25" s="9" t="s">
        <v>30</v>
      </c>
      <c r="E25" s="6">
        <v>17828</v>
      </c>
      <c r="F25" s="6">
        <v>5280</v>
      </c>
      <c r="G25" s="6">
        <v>12548</v>
      </c>
      <c r="H25" s="7">
        <v>627</v>
      </c>
      <c r="I25" s="22">
        <v>0</v>
      </c>
      <c r="J25" s="26">
        <v>5</v>
      </c>
      <c r="K25" s="26">
        <v>16</v>
      </c>
      <c r="L25" s="22">
        <v>66</v>
      </c>
      <c r="M25" s="26">
        <v>10</v>
      </c>
      <c r="N25" s="26">
        <v>16</v>
      </c>
      <c r="O25" s="22">
        <v>0</v>
      </c>
      <c r="P25" s="26">
        <v>15</v>
      </c>
      <c r="Q25" s="26">
        <v>18</v>
      </c>
      <c r="R25" s="22">
        <v>0</v>
      </c>
      <c r="S25" s="7">
        <v>0</v>
      </c>
      <c r="T25" s="17">
        <f>SUM(I25,L25,O25,R25,S25)</f>
        <v>66</v>
      </c>
      <c r="U25" s="24">
        <f>1035.3*4</f>
        <v>4141.2</v>
      </c>
      <c r="V25" s="7">
        <v>12</v>
      </c>
      <c r="W25" s="30">
        <f t="shared" si="0"/>
        <v>345.09999999999997</v>
      </c>
      <c r="X25" s="7">
        <v>12</v>
      </c>
      <c r="Y25" s="7">
        <v>1</v>
      </c>
      <c r="Z25" s="7">
        <v>0</v>
      </c>
      <c r="AA25" s="4" t="s">
        <v>114</v>
      </c>
    </row>
    <row r="26" spans="1:27" ht="17.5" customHeight="1" x14ac:dyDescent="0.3">
      <c r="A26" s="28" t="s">
        <v>62</v>
      </c>
      <c r="B26" s="3">
        <v>67</v>
      </c>
      <c r="C26" s="4" t="s">
        <v>23</v>
      </c>
      <c r="D26" s="9" t="s">
        <v>63</v>
      </c>
      <c r="E26" s="6">
        <v>86484</v>
      </c>
      <c r="F26" s="6">
        <v>27256</v>
      </c>
      <c r="G26" s="6">
        <v>59228</v>
      </c>
      <c r="H26" s="6">
        <v>2961</v>
      </c>
      <c r="I26" s="22">
        <v>0</v>
      </c>
      <c r="J26" s="26">
        <v>5</v>
      </c>
      <c r="K26" s="26">
        <v>16</v>
      </c>
      <c r="L26" s="22">
        <v>0</v>
      </c>
      <c r="M26" s="26">
        <v>10</v>
      </c>
      <c r="N26" s="26">
        <v>16</v>
      </c>
      <c r="O26" s="22">
        <v>246</v>
      </c>
      <c r="P26" s="26">
        <v>15</v>
      </c>
      <c r="Q26" s="26">
        <v>18</v>
      </c>
      <c r="R26" s="22">
        <v>0</v>
      </c>
      <c r="S26" s="7">
        <v>0</v>
      </c>
      <c r="T26" s="17">
        <f>SUM(I26,L26,O26,R26,S26)</f>
        <v>246</v>
      </c>
      <c r="U26" s="24">
        <f>5889.9*4</f>
        <v>23559.599999999999</v>
      </c>
      <c r="V26" s="7">
        <v>8.3000000000000007</v>
      </c>
      <c r="W26" s="30">
        <f t="shared" si="0"/>
        <v>2838.5060240963853</v>
      </c>
      <c r="X26" s="7">
        <v>12</v>
      </c>
      <c r="Y26" s="7">
        <v>1</v>
      </c>
      <c r="Z26" s="7">
        <v>23</v>
      </c>
      <c r="AA26" s="8" t="s">
        <v>114</v>
      </c>
    </row>
    <row r="27" spans="1:27" ht="19.5" customHeight="1" x14ac:dyDescent="0.3">
      <c r="A27" s="28" t="s">
        <v>64</v>
      </c>
      <c r="B27" s="3">
        <v>67</v>
      </c>
      <c r="C27" s="4" t="s">
        <v>23</v>
      </c>
      <c r="D27" s="9" t="s">
        <v>63</v>
      </c>
      <c r="E27" s="6">
        <v>149636</v>
      </c>
      <c r="F27" s="6">
        <v>42816</v>
      </c>
      <c r="G27" s="6">
        <v>106820</v>
      </c>
      <c r="H27" s="6">
        <v>5341</v>
      </c>
      <c r="I27" s="22">
        <v>0</v>
      </c>
      <c r="J27" s="26">
        <v>5</v>
      </c>
      <c r="K27" s="26">
        <v>16</v>
      </c>
      <c r="L27" s="22">
        <v>0</v>
      </c>
      <c r="M27" s="26">
        <v>10</v>
      </c>
      <c r="N27" s="26">
        <v>16</v>
      </c>
      <c r="O27" s="22">
        <v>402</v>
      </c>
      <c r="P27" s="26">
        <v>15</v>
      </c>
      <c r="Q27" s="26">
        <v>18</v>
      </c>
      <c r="R27" s="22">
        <v>0</v>
      </c>
      <c r="S27" s="7">
        <v>0</v>
      </c>
      <c r="T27" s="17">
        <f>SUM(I27,L27,O27,R27,S27)</f>
        <v>402</v>
      </c>
      <c r="U27" s="24">
        <f>9135.7*4</f>
        <v>36542.800000000003</v>
      </c>
      <c r="V27" s="7">
        <v>8.3000000000000007</v>
      </c>
      <c r="W27" s="30">
        <f t="shared" si="0"/>
        <v>4402.7469879518076</v>
      </c>
      <c r="X27" s="7">
        <v>16</v>
      </c>
      <c r="Y27" s="7">
        <v>1</v>
      </c>
      <c r="Z27" s="7">
        <v>19</v>
      </c>
      <c r="AA27" s="8" t="s">
        <v>90</v>
      </c>
    </row>
    <row r="28" spans="1:27" x14ac:dyDescent="0.3">
      <c r="A28" s="28" t="s">
        <v>65</v>
      </c>
      <c r="B28" s="3">
        <v>67</v>
      </c>
      <c r="C28" s="4" t="s">
        <v>48</v>
      </c>
      <c r="D28" s="10" t="s">
        <v>66</v>
      </c>
      <c r="E28" s="7">
        <v>7028</v>
      </c>
      <c r="F28" s="7">
        <v>2588</v>
      </c>
      <c r="G28" s="6">
        <v>4440</v>
      </c>
      <c r="H28" s="7">
        <v>222</v>
      </c>
      <c r="I28" s="22">
        <v>0</v>
      </c>
      <c r="J28" s="26">
        <v>5</v>
      </c>
      <c r="K28" s="26">
        <v>16</v>
      </c>
      <c r="L28" s="22">
        <v>6</v>
      </c>
      <c r="M28" s="26">
        <v>10</v>
      </c>
      <c r="N28" s="26">
        <v>16</v>
      </c>
      <c r="O28" s="22">
        <v>0</v>
      </c>
      <c r="P28" s="26">
        <v>15</v>
      </c>
      <c r="Q28" s="26">
        <v>18</v>
      </c>
      <c r="R28" s="22">
        <v>30</v>
      </c>
      <c r="S28" s="7">
        <v>0</v>
      </c>
      <c r="T28" s="17">
        <f>SUM(I28,L28,O28,R28,S28)</f>
        <v>36</v>
      </c>
      <c r="U28" s="24">
        <f>525.2*4</f>
        <v>2100.8000000000002</v>
      </c>
      <c r="V28" s="7">
        <v>9</v>
      </c>
      <c r="W28" s="30">
        <f t="shared" si="0"/>
        <v>233.42222222222225</v>
      </c>
      <c r="X28" s="7">
        <v>9</v>
      </c>
      <c r="Y28" s="7">
        <v>1</v>
      </c>
      <c r="Z28" s="7">
        <v>0</v>
      </c>
      <c r="AA28" s="8"/>
    </row>
    <row r="29" spans="1:27" x14ac:dyDescent="0.3">
      <c r="A29" s="28" t="s">
        <v>67</v>
      </c>
      <c r="B29" s="3">
        <v>66</v>
      </c>
      <c r="C29" s="4" t="s">
        <v>68</v>
      </c>
      <c r="D29" s="9" t="s">
        <v>35</v>
      </c>
      <c r="E29" s="6">
        <v>69520</v>
      </c>
      <c r="F29" s="6">
        <v>21880</v>
      </c>
      <c r="G29" s="6">
        <v>47640</v>
      </c>
      <c r="H29" s="6">
        <v>2382</v>
      </c>
      <c r="I29" s="22">
        <v>0</v>
      </c>
      <c r="J29" s="26">
        <v>5</v>
      </c>
      <c r="K29" s="26">
        <v>16</v>
      </c>
      <c r="L29" s="22">
        <v>72</v>
      </c>
      <c r="M29" s="26">
        <v>10</v>
      </c>
      <c r="N29" s="26">
        <v>16</v>
      </c>
      <c r="O29" s="22">
        <v>137</v>
      </c>
      <c r="P29" s="26">
        <v>15</v>
      </c>
      <c r="Q29" s="26">
        <v>18</v>
      </c>
      <c r="R29" s="22">
        <v>0</v>
      </c>
      <c r="S29" s="7">
        <v>0</v>
      </c>
      <c r="T29" s="17">
        <f>SUM(I29,L29,O29,R29,S29)</f>
        <v>209</v>
      </c>
      <c r="U29" s="24">
        <f>3626.4*4</f>
        <v>14505.6</v>
      </c>
      <c r="V29" s="7">
        <v>9</v>
      </c>
      <c r="W29" s="30">
        <f t="shared" si="0"/>
        <v>1611.7333333333333</v>
      </c>
      <c r="X29" s="7">
        <v>12</v>
      </c>
      <c r="Y29" s="7">
        <v>1</v>
      </c>
      <c r="Z29" s="7">
        <v>10</v>
      </c>
      <c r="AA29" s="8" t="s">
        <v>90</v>
      </c>
    </row>
    <row r="30" spans="1:27" x14ac:dyDescent="0.3">
      <c r="A30" s="28" t="s">
        <v>69</v>
      </c>
      <c r="B30" s="3">
        <v>66</v>
      </c>
      <c r="C30" s="4" t="s">
        <v>18</v>
      </c>
      <c r="D30" s="5" t="s">
        <v>70</v>
      </c>
      <c r="E30" s="7">
        <v>144576</v>
      </c>
      <c r="F30" s="7">
        <v>48612</v>
      </c>
      <c r="G30" s="6">
        <v>95964</v>
      </c>
      <c r="H30" s="6">
        <v>4798</v>
      </c>
      <c r="I30" s="22">
        <v>0</v>
      </c>
      <c r="J30" s="26">
        <v>5</v>
      </c>
      <c r="K30" s="26">
        <v>16</v>
      </c>
      <c r="L30" s="22">
        <v>208</v>
      </c>
      <c r="M30" s="26">
        <v>10</v>
      </c>
      <c r="N30" s="26">
        <v>16</v>
      </c>
      <c r="O30" s="22">
        <v>272</v>
      </c>
      <c r="P30" s="26">
        <v>15</v>
      </c>
      <c r="Q30" s="26">
        <v>18</v>
      </c>
      <c r="R30" s="22">
        <v>0</v>
      </c>
      <c r="S30" s="7">
        <v>0</v>
      </c>
      <c r="T30" s="17">
        <f>SUM(I30,L30,O30,R30,S30)</f>
        <v>480</v>
      </c>
      <c r="U30" s="24">
        <f>10474.2*4</f>
        <v>41896.800000000003</v>
      </c>
      <c r="V30" s="7">
        <v>9</v>
      </c>
      <c r="W30" s="30">
        <f t="shared" si="0"/>
        <v>4655.2000000000007</v>
      </c>
      <c r="X30" s="7">
        <v>16</v>
      </c>
      <c r="Y30" s="7">
        <v>2</v>
      </c>
      <c r="Z30" s="7">
        <v>35</v>
      </c>
      <c r="AA30" s="8" t="s">
        <v>111</v>
      </c>
    </row>
    <row r="31" spans="1:27" x14ac:dyDescent="0.3">
      <c r="A31" s="29" t="s">
        <v>71</v>
      </c>
      <c r="B31" s="13">
        <v>66</v>
      </c>
      <c r="C31" s="14" t="s">
        <v>55</v>
      </c>
      <c r="D31" s="15" t="s">
        <v>21</v>
      </c>
      <c r="E31" s="16">
        <v>69520</v>
      </c>
      <c r="F31" s="16">
        <v>21880</v>
      </c>
      <c r="G31" s="16">
        <v>47640</v>
      </c>
      <c r="H31" s="16">
        <v>2382</v>
      </c>
      <c r="I31" s="26">
        <v>0</v>
      </c>
      <c r="J31" s="26">
        <v>5</v>
      </c>
      <c r="K31" s="26">
        <v>16</v>
      </c>
      <c r="L31" s="26">
        <v>224</v>
      </c>
      <c r="M31" s="26">
        <v>10</v>
      </c>
      <c r="N31" s="26">
        <v>16</v>
      </c>
      <c r="O31" s="26">
        <v>219</v>
      </c>
      <c r="P31" s="26">
        <v>15</v>
      </c>
      <c r="Q31" s="26">
        <v>18</v>
      </c>
      <c r="R31" s="22">
        <v>0</v>
      </c>
      <c r="S31" s="17">
        <v>0</v>
      </c>
      <c r="T31" s="17">
        <f>SUM(I31,L31,O31,R31,S31)</f>
        <v>443</v>
      </c>
      <c r="U31" s="24">
        <f>10850.2*4</f>
        <v>43400.800000000003</v>
      </c>
      <c r="V31" s="17">
        <v>8.3000000000000007</v>
      </c>
      <c r="W31" s="30">
        <f t="shared" si="0"/>
        <v>5229.0120481927706</v>
      </c>
      <c r="X31" s="17">
        <v>16</v>
      </c>
      <c r="Y31" s="17">
        <v>2</v>
      </c>
      <c r="Z31" s="17">
        <v>31</v>
      </c>
      <c r="AA31" s="18" t="s">
        <v>113</v>
      </c>
    </row>
    <row r="32" spans="1:27" x14ac:dyDescent="0.3">
      <c r="A32" s="29" t="s">
        <v>74</v>
      </c>
      <c r="B32" s="13">
        <v>65</v>
      </c>
      <c r="C32" s="4" t="s">
        <v>26</v>
      </c>
      <c r="D32" s="9" t="s">
        <v>35</v>
      </c>
      <c r="E32" s="16">
        <f>37024*4</f>
        <v>148096</v>
      </c>
      <c r="F32" s="16">
        <f>12318*4</f>
        <v>49272</v>
      </c>
      <c r="G32" s="16">
        <f t="shared" ref="G32:G38" si="1">E32-F32</f>
        <v>98824</v>
      </c>
      <c r="H32" s="20">
        <f t="shared" ref="H32:H38" si="2">0.05*G32</f>
        <v>4941.2000000000007</v>
      </c>
      <c r="I32" s="26">
        <v>0</v>
      </c>
      <c r="J32" s="26">
        <v>5</v>
      </c>
      <c r="K32" s="26">
        <v>16</v>
      </c>
      <c r="L32" s="26">
        <v>0</v>
      </c>
      <c r="M32" s="26">
        <v>10</v>
      </c>
      <c r="N32" s="26">
        <v>16</v>
      </c>
      <c r="O32" s="26">
        <v>375</v>
      </c>
      <c r="P32" s="26">
        <v>15</v>
      </c>
      <c r="Q32" s="26">
        <v>18</v>
      </c>
      <c r="R32" s="22">
        <v>0</v>
      </c>
      <c r="S32" s="17">
        <v>0</v>
      </c>
      <c r="T32" s="17">
        <f>SUM(I32,L32,O32,R32,S32)</f>
        <v>375</v>
      </c>
      <c r="U32" s="24">
        <f>10668.6*4</f>
        <v>42674.400000000001</v>
      </c>
      <c r="V32" s="17">
        <v>12</v>
      </c>
      <c r="W32" s="30">
        <f t="shared" si="0"/>
        <v>3556.2000000000003</v>
      </c>
      <c r="X32" s="17">
        <v>12</v>
      </c>
      <c r="Y32" s="17">
        <v>2</v>
      </c>
      <c r="Z32" s="17">
        <v>53</v>
      </c>
      <c r="AA32" s="4" t="s">
        <v>89</v>
      </c>
    </row>
    <row r="33" spans="1:27" x14ac:dyDescent="0.3">
      <c r="A33" s="29" t="s">
        <v>76</v>
      </c>
      <c r="B33" s="13">
        <v>65</v>
      </c>
      <c r="C33" s="4" t="s">
        <v>18</v>
      </c>
      <c r="D33" s="5" t="s">
        <v>19</v>
      </c>
      <c r="E33" s="16">
        <f>13197.2*4</f>
        <v>52788.800000000003</v>
      </c>
      <c r="F33" s="16">
        <f>4621.4*4</f>
        <v>18485.599999999999</v>
      </c>
      <c r="G33" s="16">
        <f t="shared" si="1"/>
        <v>34303.200000000004</v>
      </c>
      <c r="H33" s="20">
        <f t="shared" si="2"/>
        <v>1715.1600000000003</v>
      </c>
      <c r="I33" s="26">
        <v>118</v>
      </c>
      <c r="J33" s="26">
        <v>5</v>
      </c>
      <c r="K33" s="26">
        <v>16</v>
      </c>
      <c r="L33" s="26">
        <v>38</v>
      </c>
      <c r="M33" s="26">
        <v>10</v>
      </c>
      <c r="N33" s="26">
        <v>16</v>
      </c>
      <c r="O33" s="26">
        <v>61</v>
      </c>
      <c r="P33" s="26">
        <v>15</v>
      </c>
      <c r="Q33" s="26">
        <v>18</v>
      </c>
      <c r="R33" s="19">
        <v>0</v>
      </c>
      <c r="S33" s="17">
        <v>0</v>
      </c>
      <c r="T33" s="17">
        <f>SUM(I33,L33,O33,R33,S33)</f>
        <v>217</v>
      </c>
      <c r="U33" s="24">
        <f>3865.5*4</f>
        <v>15462</v>
      </c>
      <c r="V33" s="17">
        <v>9</v>
      </c>
      <c r="W33" s="30">
        <f t="shared" si="0"/>
        <v>1718</v>
      </c>
      <c r="X33" s="17">
        <v>12</v>
      </c>
      <c r="Y33" s="17">
        <v>1</v>
      </c>
      <c r="Z33" s="17">
        <v>15</v>
      </c>
      <c r="AA33" s="18" t="s">
        <v>90</v>
      </c>
    </row>
    <row r="34" spans="1:27" ht="16.5" customHeight="1" x14ac:dyDescent="0.3">
      <c r="A34" s="29" t="s">
        <v>77</v>
      </c>
      <c r="B34" s="13">
        <v>65</v>
      </c>
      <c r="C34" s="4" t="s">
        <v>32</v>
      </c>
      <c r="D34" s="9" t="s">
        <v>35</v>
      </c>
      <c r="E34" s="16">
        <f>20792.1*4</f>
        <v>83168.399999999994</v>
      </c>
      <c r="F34" s="16">
        <f>7491.3*4</f>
        <v>29965.200000000001</v>
      </c>
      <c r="G34" s="16">
        <f t="shared" si="1"/>
        <v>53203.199999999997</v>
      </c>
      <c r="H34" s="20">
        <f t="shared" si="2"/>
        <v>2660.16</v>
      </c>
      <c r="I34" s="26">
        <v>0</v>
      </c>
      <c r="J34" s="26">
        <v>5</v>
      </c>
      <c r="K34" s="26">
        <v>16</v>
      </c>
      <c r="L34" s="26">
        <v>0</v>
      </c>
      <c r="M34" s="26">
        <v>10</v>
      </c>
      <c r="N34" s="26">
        <v>16</v>
      </c>
      <c r="O34" s="26">
        <v>220</v>
      </c>
      <c r="P34" s="26">
        <v>15</v>
      </c>
      <c r="Q34" s="26">
        <v>18</v>
      </c>
      <c r="R34" s="19">
        <v>0</v>
      </c>
      <c r="S34" s="17">
        <v>0</v>
      </c>
      <c r="T34" s="17">
        <f>SUM(I34,L34,O34,R34,S34)</f>
        <v>220</v>
      </c>
      <c r="U34" s="24">
        <f>5830.8*4</f>
        <v>23323.200000000001</v>
      </c>
      <c r="V34" s="17">
        <v>8.3000000000000007</v>
      </c>
      <c r="W34" s="30">
        <f t="shared" si="0"/>
        <v>2810.0240963855422</v>
      </c>
      <c r="X34" s="17">
        <v>16</v>
      </c>
      <c r="Y34" s="17">
        <v>1</v>
      </c>
      <c r="Z34" s="17">
        <v>26</v>
      </c>
      <c r="AA34" s="18" t="s">
        <v>112</v>
      </c>
    </row>
    <row r="35" spans="1:27" x14ac:dyDescent="0.3">
      <c r="A35" s="29" t="s">
        <v>78</v>
      </c>
      <c r="B35" s="13">
        <v>65</v>
      </c>
      <c r="C35" s="4" t="s">
        <v>26</v>
      </c>
      <c r="D35" s="9" t="s">
        <v>30</v>
      </c>
      <c r="E35" s="16">
        <f>16930*4</f>
        <v>67720</v>
      </c>
      <c r="F35" s="16">
        <f>5692.4*4</f>
        <v>22769.599999999999</v>
      </c>
      <c r="G35" s="16">
        <f t="shared" si="1"/>
        <v>44950.400000000001</v>
      </c>
      <c r="H35" s="20">
        <f t="shared" si="2"/>
        <v>2247.52</v>
      </c>
      <c r="I35" s="26">
        <v>0</v>
      </c>
      <c r="J35" s="26">
        <v>5</v>
      </c>
      <c r="K35" s="26">
        <v>16</v>
      </c>
      <c r="L35" s="26">
        <v>98</v>
      </c>
      <c r="M35" s="26">
        <v>10</v>
      </c>
      <c r="N35" s="26">
        <v>16</v>
      </c>
      <c r="O35" s="26">
        <v>138</v>
      </c>
      <c r="P35" s="26">
        <v>15</v>
      </c>
      <c r="Q35" s="26">
        <v>18</v>
      </c>
      <c r="R35" s="19">
        <v>0</v>
      </c>
      <c r="S35" s="17">
        <v>0</v>
      </c>
      <c r="T35" s="17">
        <f>SUM(I35,L35,O35,R35,S35)</f>
        <v>236</v>
      </c>
      <c r="U35" s="24">
        <f>4882.5*4</f>
        <v>19530</v>
      </c>
      <c r="V35" s="17">
        <v>8</v>
      </c>
      <c r="W35" s="30">
        <f t="shared" si="0"/>
        <v>2441.25</v>
      </c>
      <c r="X35" s="17">
        <v>12</v>
      </c>
      <c r="Y35" s="17">
        <v>1</v>
      </c>
      <c r="Z35" s="17">
        <v>7</v>
      </c>
      <c r="AA35" s="4" t="s">
        <v>89</v>
      </c>
    </row>
    <row r="36" spans="1:27" ht="17" customHeight="1" x14ac:dyDescent="0.3">
      <c r="A36" s="29" t="s">
        <v>73</v>
      </c>
      <c r="B36" s="13">
        <v>65</v>
      </c>
      <c r="C36" s="4" t="s">
        <v>32</v>
      </c>
      <c r="D36" s="9" t="s">
        <v>30</v>
      </c>
      <c r="E36" s="16">
        <f>10282.5*4</f>
        <v>41130</v>
      </c>
      <c r="F36" s="16">
        <f>3400.8*4</f>
        <v>13603.2</v>
      </c>
      <c r="G36" s="16">
        <f t="shared" si="1"/>
        <v>27526.799999999999</v>
      </c>
      <c r="H36" s="20">
        <f t="shared" si="2"/>
        <v>1376.3400000000001</v>
      </c>
      <c r="I36" s="26">
        <v>67</v>
      </c>
      <c r="J36" s="26">
        <v>5</v>
      </c>
      <c r="K36" s="26">
        <v>16</v>
      </c>
      <c r="L36" s="26">
        <v>62</v>
      </c>
      <c r="M36" s="26">
        <v>10</v>
      </c>
      <c r="N36" s="26">
        <v>16</v>
      </c>
      <c r="O36" s="26">
        <v>35</v>
      </c>
      <c r="P36" s="26">
        <v>15</v>
      </c>
      <c r="Q36" s="26">
        <v>18</v>
      </c>
      <c r="R36" s="19">
        <v>0</v>
      </c>
      <c r="S36" s="17">
        <v>0</v>
      </c>
      <c r="T36" s="17">
        <f>SUM(I36,L36,O36,R36,S36)</f>
        <v>164</v>
      </c>
      <c r="U36" s="24">
        <f>2803.2*4</f>
        <v>11212.8</v>
      </c>
      <c r="V36" s="17">
        <v>8.3000000000000007</v>
      </c>
      <c r="W36" s="30">
        <f t="shared" si="0"/>
        <v>1350.9397590361443</v>
      </c>
      <c r="X36" s="17">
        <v>12</v>
      </c>
      <c r="Y36" s="17">
        <v>1</v>
      </c>
      <c r="Z36" s="17">
        <v>8</v>
      </c>
      <c r="AA36" s="18" t="s">
        <v>111</v>
      </c>
    </row>
    <row r="37" spans="1:27" x14ac:dyDescent="0.3">
      <c r="A37" s="29" t="s">
        <v>79</v>
      </c>
      <c r="B37" s="13">
        <v>65</v>
      </c>
      <c r="C37" s="4" t="s">
        <v>68</v>
      </c>
      <c r="D37" s="5" t="s">
        <v>40</v>
      </c>
      <c r="E37" s="16">
        <f>14043*4</f>
        <v>56172</v>
      </c>
      <c r="F37" s="16">
        <f>5041.3*4</f>
        <v>20165.2</v>
      </c>
      <c r="G37" s="16">
        <f t="shared" si="1"/>
        <v>36006.800000000003</v>
      </c>
      <c r="H37" s="20">
        <f t="shared" si="2"/>
        <v>1800.3400000000001</v>
      </c>
      <c r="I37" s="26">
        <v>174</v>
      </c>
      <c r="J37" s="26">
        <v>5</v>
      </c>
      <c r="K37" s="26">
        <v>16</v>
      </c>
      <c r="L37" s="26">
        <v>34</v>
      </c>
      <c r="M37" s="26">
        <v>10</v>
      </c>
      <c r="N37" s="26">
        <v>16</v>
      </c>
      <c r="O37" s="26">
        <v>56</v>
      </c>
      <c r="P37" s="26">
        <v>15</v>
      </c>
      <c r="Q37" s="26">
        <v>18</v>
      </c>
      <c r="R37" s="19">
        <v>0</v>
      </c>
      <c r="S37" s="17">
        <v>0</v>
      </c>
      <c r="T37" s="17">
        <f>SUM(I37,L37,O37,R37,S37)</f>
        <v>264</v>
      </c>
      <c r="U37" s="24">
        <f>4151*4</f>
        <v>16604</v>
      </c>
      <c r="V37" s="17">
        <v>9</v>
      </c>
      <c r="W37" s="30">
        <f t="shared" si="0"/>
        <v>1844.8888888888889</v>
      </c>
      <c r="X37" s="17">
        <v>12</v>
      </c>
      <c r="Y37" s="17">
        <v>1</v>
      </c>
      <c r="Z37" s="17">
        <v>12</v>
      </c>
      <c r="AA37" s="4" t="s">
        <v>90</v>
      </c>
    </row>
    <row r="38" spans="1:27" x14ac:dyDescent="0.3">
      <c r="A38" s="12" t="s">
        <v>72</v>
      </c>
      <c r="B38" s="13">
        <v>65</v>
      </c>
      <c r="C38" s="4" t="s">
        <v>18</v>
      </c>
      <c r="D38" s="5" t="s">
        <v>40</v>
      </c>
      <c r="E38" s="16">
        <f>4321*4</f>
        <v>17284</v>
      </c>
      <c r="F38" s="16">
        <f>1610.9*4</f>
        <v>6443.6</v>
      </c>
      <c r="G38" s="16">
        <f t="shared" si="1"/>
        <v>10840.4</v>
      </c>
      <c r="H38" s="20">
        <f t="shared" si="2"/>
        <v>542.02</v>
      </c>
      <c r="I38" s="26">
        <v>125</v>
      </c>
      <c r="J38" s="26">
        <v>5</v>
      </c>
      <c r="K38" s="26">
        <v>16</v>
      </c>
      <c r="L38" s="26">
        <v>0</v>
      </c>
      <c r="M38" s="26">
        <v>0</v>
      </c>
      <c r="N38" s="26">
        <v>0</v>
      </c>
      <c r="O38" s="26">
        <v>0</v>
      </c>
      <c r="P38" s="26">
        <v>15</v>
      </c>
      <c r="Q38" s="26">
        <v>18</v>
      </c>
      <c r="R38" s="26">
        <v>0</v>
      </c>
      <c r="S38" s="26">
        <v>0</v>
      </c>
      <c r="T38" s="17">
        <f>SUM(I38,L38,O38,R38,S38)</f>
        <v>125</v>
      </c>
      <c r="U38" s="24">
        <f>1355.6*4</f>
        <v>5422.4</v>
      </c>
      <c r="V38" s="17">
        <v>9</v>
      </c>
      <c r="W38" s="30">
        <f t="shared" si="0"/>
        <v>602.48888888888882</v>
      </c>
      <c r="X38" s="17">
        <v>9</v>
      </c>
      <c r="Y38" s="17">
        <v>1</v>
      </c>
      <c r="Z38" s="17">
        <v>5</v>
      </c>
      <c r="AA38" s="4" t="s">
        <v>89</v>
      </c>
    </row>
    <row r="39" spans="1:27" x14ac:dyDescent="0.3">
      <c r="A39" s="11"/>
      <c r="W39" s="31"/>
    </row>
    <row r="40" spans="1:27" x14ac:dyDescent="0.3">
      <c r="A40" s="11"/>
    </row>
    <row r="41" spans="1:27" x14ac:dyDescent="0.3">
      <c r="A41" s="11"/>
    </row>
    <row r="42" spans="1:27" x14ac:dyDescent="0.3">
      <c r="A42" s="11"/>
    </row>
    <row r="43" spans="1:27" x14ac:dyDescent="0.3">
      <c r="A43" s="11"/>
    </row>
    <row r="44" spans="1:27" ht="15" customHeight="1" x14ac:dyDescent="0.3">
      <c r="A44" s="11"/>
    </row>
    <row r="45" spans="1:27" ht="15.5" customHeight="1" x14ac:dyDescent="0.3">
      <c r="A45" s="11"/>
    </row>
    <row r="46" spans="1:27" x14ac:dyDescent="0.3">
      <c r="A46" s="11"/>
    </row>
    <row r="47" spans="1:27" x14ac:dyDescent="0.3">
      <c r="A47" s="11"/>
    </row>
    <row r="48" spans="1:27" x14ac:dyDescent="0.3">
      <c r="A48" s="11"/>
    </row>
    <row r="49" spans="1:21" ht="12" customHeight="1" x14ac:dyDescent="0.3">
      <c r="A49" s="11"/>
    </row>
    <row r="50" spans="1:21" x14ac:dyDescent="0.3">
      <c r="A50" s="11"/>
    </row>
    <row r="51" spans="1:21" x14ac:dyDescent="0.3">
      <c r="A51" s="11"/>
    </row>
    <row r="52" spans="1:21" ht="15" customHeight="1" x14ac:dyDescent="0.3">
      <c r="A52" s="11"/>
    </row>
    <row r="53" spans="1:21" x14ac:dyDescent="0.3">
      <c r="A53" s="11"/>
    </row>
    <row r="54" spans="1:21" x14ac:dyDescent="0.3">
      <c r="A54" s="11"/>
    </row>
    <row r="55" spans="1:21" x14ac:dyDescent="0.3">
      <c r="A55" s="11"/>
    </row>
    <row r="56" spans="1:21" x14ac:dyDescent="0.3">
      <c r="A56" s="11"/>
    </row>
    <row r="57" spans="1:21" x14ac:dyDescent="0.3">
      <c r="A57" s="11"/>
    </row>
    <row r="58" spans="1:21" x14ac:dyDescent="0.3">
      <c r="A58" s="11"/>
    </row>
    <row r="59" spans="1:21" s="32" customFormat="1" x14ac:dyDescent="0.3">
      <c r="A59" s="11"/>
      <c r="U59" s="33"/>
    </row>
    <row r="60" spans="1:21" s="32" customFormat="1" x14ac:dyDescent="0.3">
      <c r="A60" s="11"/>
      <c r="U60" s="33"/>
    </row>
    <row r="61" spans="1:21" s="32" customFormat="1" x14ac:dyDescent="0.3">
      <c r="A61" s="11"/>
      <c r="U61" s="33"/>
    </row>
    <row r="62" spans="1:21" x14ac:dyDescent="0.3">
      <c r="A62" s="11"/>
    </row>
    <row r="63" spans="1:21" x14ac:dyDescent="0.3">
      <c r="A63" s="11"/>
    </row>
    <row r="64" spans="1:21" x14ac:dyDescent="0.3">
      <c r="A64" s="11"/>
    </row>
    <row r="65" spans="1:1" x14ac:dyDescent="0.3">
      <c r="A65" s="11"/>
    </row>
    <row r="66" spans="1:1" x14ac:dyDescent="0.3">
      <c r="A66" s="11"/>
    </row>
    <row r="67" spans="1:1" x14ac:dyDescent="0.3">
      <c r="A67" s="11"/>
    </row>
    <row r="68" spans="1:1" x14ac:dyDescent="0.3">
      <c r="A68" s="11"/>
    </row>
    <row r="69" spans="1:1" x14ac:dyDescent="0.3">
      <c r="A69" s="11"/>
    </row>
    <row r="70" spans="1:1" x14ac:dyDescent="0.3">
      <c r="A70" s="11"/>
    </row>
    <row r="71" spans="1:1" x14ac:dyDescent="0.3">
      <c r="A71" s="11"/>
    </row>
    <row r="72" spans="1:1" x14ac:dyDescent="0.3">
      <c r="A72" s="11"/>
    </row>
    <row r="73" spans="1:1" x14ac:dyDescent="0.3">
      <c r="A73" s="11"/>
    </row>
    <row r="74" spans="1:1" x14ac:dyDescent="0.3">
      <c r="A74" s="11"/>
    </row>
    <row r="75" spans="1:1" x14ac:dyDescent="0.3">
      <c r="A75" s="11"/>
    </row>
    <row r="76" spans="1:1" x14ac:dyDescent="0.3">
      <c r="A76" s="11"/>
    </row>
    <row r="77" spans="1:1" x14ac:dyDescent="0.3">
      <c r="A77" s="11"/>
    </row>
    <row r="78" spans="1:1" x14ac:dyDescent="0.3">
      <c r="A78" s="11"/>
    </row>
    <row r="79" spans="1:1" x14ac:dyDescent="0.3">
      <c r="A79" s="11"/>
    </row>
    <row r="80" spans="1:1" x14ac:dyDescent="0.3">
      <c r="A80" s="11"/>
    </row>
    <row r="81" spans="1:1" x14ac:dyDescent="0.3">
      <c r="A81" s="11"/>
    </row>
    <row r="82" spans="1:1" x14ac:dyDescent="0.3">
      <c r="A82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DF56-676F-421E-818C-F25DB4B69148}">
  <dimension ref="A2:A48"/>
  <sheetViews>
    <sheetView topLeftCell="A24" workbookViewId="0">
      <selection activeCell="K12" sqref="K12"/>
    </sheetView>
  </sheetViews>
  <sheetFormatPr defaultRowHeight="14" x14ac:dyDescent="0.3"/>
  <sheetData>
    <row r="2" spans="1:1" ht="17" x14ac:dyDescent="0.3">
      <c r="A2" s="34" t="s">
        <v>91</v>
      </c>
    </row>
    <row r="3" spans="1:1" x14ac:dyDescent="0.3">
      <c r="A3" s="35"/>
    </row>
    <row r="4" spans="1:1" x14ac:dyDescent="0.3">
      <c r="A4" s="35" t="s">
        <v>92</v>
      </c>
    </row>
    <row r="5" spans="1:1" x14ac:dyDescent="0.3">
      <c r="A5" s="35"/>
    </row>
    <row r="6" spans="1:1" x14ac:dyDescent="0.3">
      <c r="A6" s="35" t="s">
        <v>93</v>
      </c>
    </row>
    <row r="7" spans="1:1" x14ac:dyDescent="0.3">
      <c r="A7" s="35"/>
    </row>
    <row r="8" spans="1:1" x14ac:dyDescent="0.3">
      <c r="A8" s="35" t="s">
        <v>94</v>
      </c>
    </row>
    <row r="12" spans="1:1" ht="17" x14ac:dyDescent="0.3">
      <c r="A12" s="34" t="s">
        <v>95</v>
      </c>
    </row>
    <row r="13" spans="1:1" x14ac:dyDescent="0.3">
      <c r="A13" s="35"/>
    </row>
    <row r="14" spans="1:1" x14ac:dyDescent="0.3">
      <c r="A14" s="35" t="s">
        <v>96</v>
      </c>
    </row>
    <row r="15" spans="1:1" x14ac:dyDescent="0.3">
      <c r="A15" s="35"/>
    </row>
    <row r="16" spans="1:1" x14ac:dyDescent="0.3">
      <c r="A16" s="35" t="s">
        <v>97</v>
      </c>
    </row>
    <row r="17" spans="1:1" x14ac:dyDescent="0.3">
      <c r="A17" s="35"/>
    </row>
    <row r="18" spans="1:1" x14ac:dyDescent="0.3">
      <c r="A18" s="35" t="s">
        <v>98</v>
      </c>
    </row>
    <row r="22" spans="1:1" ht="17" x14ac:dyDescent="0.3">
      <c r="A22" s="34" t="s">
        <v>99</v>
      </c>
    </row>
    <row r="23" spans="1:1" x14ac:dyDescent="0.3">
      <c r="A23" s="35"/>
    </row>
    <row r="24" spans="1:1" x14ac:dyDescent="0.3">
      <c r="A24" s="35" t="s">
        <v>100</v>
      </c>
    </row>
    <row r="25" spans="1:1" x14ac:dyDescent="0.3">
      <c r="A25" s="35"/>
    </row>
    <row r="26" spans="1:1" x14ac:dyDescent="0.3">
      <c r="A26" s="35" t="s">
        <v>101</v>
      </c>
    </row>
    <row r="27" spans="1:1" x14ac:dyDescent="0.3">
      <c r="A27" s="35"/>
    </row>
    <row r="28" spans="1:1" x14ac:dyDescent="0.3">
      <c r="A28" s="35" t="s">
        <v>102</v>
      </c>
    </row>
    <row r="32" spans="1:1" ht="17" x14ac:dyDescent="0.3">
      <c r="A32" s="34" t="s">
        <v>103</v>
      </c>
    </row>
    <row r="33" spans="1:1" x14ac:dyDescent="0.3">
      <c r="A33" s="35"/>
    </row>
    <row r="34" spans="1:1" x14ac:dyDescent="0.3">
      <c r="A34" s="35" t="s">
        <v>104</v>
      </c>
    </row>
    <row r="35" spans="1:1" x14ac:dyDescent="0.3">
      <c r="A35" s="35"/>
    </row>
    <row r="36" spans="1:1" x14ac:dyDescent="0.3">
      <c r="A36" s="35" t="s">
        <v>105</v>
      </c>
    </row>
    <row r="37" spans="1:1" x14ac:dyDescent="0.3">
      <c r="A37" s="35"/>
    </row>
    <row r="38" spans="1:1" x14ac:dyDescent="0.3">
      <c r="A38" s="35" t="s">
        <v>106</v>
      </c>
    </row>
    <row r="42" spans="1:1" ht="17" x14ac:dyDescent="0.3">
      <c r="A42" s="34" t="s">
        <v>107</v>
      </c>
    </row>
    <row r="43" spans="1:1" x14ac:dyDescent="0.3">
      <c r="A43" s="35"/>
    </row>
    <row r="44" spans="1:1" x14ac:dyDescent="0.3">
      <c r="A44" s="35" t="s">
        <v>108</v>
      </c>
    </row>
    <row r="45" spans="1:1" x14ac:dyDescent="0.3">
      <c r="A45" s="35"/>
    </row>
    <row r="46" spans="1:1" x14ac:dyDescent="0.3">
      <c r="A46" s="35" t="s">
        <v>109</v>
      </c>
    </row>
    <row r="47" spans="1:1" x14ac:dyDescent="0.3">
      <c r="A47" s="35"/>
    </row>
    <row r="48" spans="1:1" x14ac:dyDescent="0.3">
      <c r="A48" s="3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splho085</dc:creator>
  <cp:lastModifiedBy>splho085</cp:lastModifiedBy>
  <dcterms:created xsi:type="dcterms:W3CDTF">2025-07-08T03:18:15Z</dcterms:created>
  <dcterms:modified xsi:type="dcterms:W3CDTF">2025-07-23T07:04:34Z</dcterms:modified>
</cp:coreProperties>
</file>