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text_files_for_read/"/>
    </mc:Choice>
  </mc:AlternateContent>
  <xr:revisionPtr revIDLastSave="0" documentId="13_ncr:1_{835EE8FB-3DF0-2843-909E-22CDEA7EEE33}" xr6:coauthVersionLast="47" xr6:coauthVersionMax="47" xr10:uidLastSave="{00000000-0000-0000-0000-000000000000}"/>
  <bookViews>
    <workbookView xWindow="80" yWindow="1380" windowWidth="28800" windowHeight="16580" xr2:uid="{908D5193-7DFE-C84B-BF15-EFFE4A8B620F}"/>
  </bookViews>
  <sheets>
    <sheet name="Active" sheetId="1" r:id="rId1"/>
    <sheet name="Figure 1" sheetId="8" r:id="rId2"/>
    <sheet name="Figure 2" sheetId="10" r:id="rId3"/>
    <sheet name="Figure 3" sheetId="7" r:id="rId4"/>
    <sheet name="Figure 5" sheetId="12" r:id="rId5"/>
    <sheet name="Figure 6" sheetId="5" r:id="rId6"/>
    <sheet name="Libarkin" sheetId="11" r:id="rId7"/>
    <sheet name="SPICE" sheetId="9" r:id="rId8"/>
    <sheet name="Sinclair" sheetId="3" r:id="rId9"/>
    <sheet name="Evenstar" sheetId="2" r:id="rId10"/>
    <sheet name="README" sheetId="4" r:id="rId11"/>
  </sheets>
  <definedNames>
    <definedName name="solver_adj" localSheetId="0" hidden="1">Active!$B$74,Active!$B$79,Active!$B$81,Active!$B$82</definedName>
    <definedName name="solver_adj" localSheetId="3" hidden="1">'Figure 3'!$B$74,'Figure 3'!$B$79,'Figure 3'!$B$81,'Figure 3'!$B$82</definedName>
    <definedName name="solver_eng" localSheetId="0" hidden="1">1</definedName>
    <definedName name="solver_eng" localSheetId="3" hidden="1">1</definedName>
    <definedName name="solver_lhs1" localSheetId="0" hidden="1">Active!$B$85</definedName>
    <definedName name="solver_lhs1" localSheetId="3" hidden="1">'Figure 3'!$B$85</definedName>
    <definedName name="solver_lhs2" localSheetId="0" hidden="1">Active!$F$52</definedName>
    <definedName name="solver_lhs2" localSheetId="3" hidden="1">'Figure 3'!$F$52</definedName>
    <definedName name="solver_lhs3" localSheetId="0" hidden="1">Active!$F$53</definedName>
    <definedName name="solver_lhs3" localSheetId="3" hidden="1">'Figure 3'!$F$53</definedName>
    <definedName name="solver_lin" localSheetId="0" hidden="1">2</definedName>
    <definedName name="solver_lin" localSheetId="3" hidden="1">2</definedName>
    <definedName name="solver_neg" localSheetId="0" hidden="1">1</definedName>
    <definedName name="solver_neg" localSheetId="3" hidden="1">1</definedName>
    <definedName name="solver_num" localSheetId="0" hidden="1">3</definedName>
    <definedName name="solver_num" localSheetId="3" hidden="1">3</definedName>
    <definedName name="solver_opt" localSheetId="0" hidden="1">Active!$F$51</definedName>
    <definedName name="solver_opt" localSheetId="3" hidden="1">'Figure 3'!$F$51</definedName>
    <definedName name="solver_rel1" localSheetId="0" hidden="1">2</definedName>
    <definedName name="solver_rel1" localSheetId="3" hidden="1">2</definedName>
    <definedName name="solver_rel2" localSheetId="0" hidden="1">2</definedName>
    <definedName name="solver_rel2" localSheetId="3" hidden="1">2</definedName>
    <definedName name="solver_rel3" localSheetId="0" hidden="1">2</definedName>
    <definedName name="solver_rel3" localSheetId="3" hidden="1">2</definedName>
    <definedName name="solver_rhs1" localSheetId="0" hidden="1">100</definedName>
    <definedName name="solver_rhs1" localSheetId="3" hidden="1">100</definedName>
    <definedName name="solver_rhs2" localSheetId="0" hidden="1">0.4</definedName>
    <definedName name="solver_rhs2" localSheetId="3" hidden="1">0.4</definedName>
    <definedName name="solver_rhs3" localSheetId="0" hidden="1">1.4</definedName>
    <definedName name="solver_rhs3" localSheetId="3" hidden="1">1.4</definedName>
    <definedName name="solver_typ" localSheetId="0" hidden="1">3</definedName>
    <definedName name="solver_typ" localSheetId="3" hidden="1">3</definedName>
    <definedName name="solver_val" localSheetId="0" hidden="1">98.2</definedName>
    <definedName name="solver_val" localSheetId="3" hidden="1">98.2</definedName>
    <definedName name="solver_ver" localSheetId="0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9" l="1"/>
  <c r="K8" i="9"/>
  <c r="K7" i="9"/>
  <c r="K6" i="9"/>
  <c r="K5" i="9"/>
  <c r="K4" i="9"/>
  <c r="K3" i="9"/>
  <c r="K2" i="9"/>
  <c r="J9" i="9"/>
  <c r="J8" i="9"/>
  <c r="J7" i="9"/>
  <c r="J6" i="9"/>
  <c r="J5" i="9"/>
  <c r="J4" i="9"/>
  <c r="J3" i="9"/>
  <c r="J2" i="9"/>
  <c r="K5" i="8"/>
  <c r="J5" i="8"/>
  <c r="K4" i="8"/>
  <c r="J4" i="8"/>
  <c r="K3" i="8"/>
  <c r="J3" i="8"/>
  <c r="K2" i="8"/>
  <c r="J2" i="8"/>
  <c r="K2" i="7"/>
  <c r="J2" i="7"/>
  <c r="K3" i="2"/>
  <c r="J15" i="2"/>
  <c r="J5" i="2"/>
  <c r="J3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K4" i="2"/>
  <c r="J4" i="2"/>
  <c r="K2" i="2"/>
  <c r="J2" i="2"/>
</calcChain>
</file>

<file path=xl/sharedStrings.xml><?xml version="1.0" encoding="utf-8"?>
<sst xmlns="http://schemas.openxmlformats.org/spreadsheetml/2006/main" count="228" uniqueCount="83">
  <si>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</si>
  <si>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</si>
  <si>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</si>
  <si>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</si>
  <si>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</si>
  <si>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</si>
  <si>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</si>
  <si>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</si>
  <si>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</si>
  <si>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</si>
  <si>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</si>
  <si>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</si>
  <si>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</si>
  <si>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Day-4-12</t>
  </si>
  <si>
    <t>10_21</t>
  </si>
  <si>
    <t>08_21</t>
  </si>
  <si>
    <t>23_21</t>
  </si>
  <si>
    <t>24_21</t>
  </si>
  <si>
    <t>02_21</t>
  </si>
  <si>
    <t>10_10</t>
  </si>
  <si>
    <t>Day-03-10</t>
  </si>
  <si>
    <t>Day-3-11</t>
  </si>
  <si>
    <t>01_02</t>
  </si>
  <si>
    <t>Day-05-01</t>
  </si>
  <si>
    <t>Day-05-02</t>
  </si>
  <si>
    <t>Day-5-03</t>
  </si>
  <si>
    <t>01_12</t>
  </si>
  <si>
    <t>02_12</t>
  </si>
  <si>
    <t>07_18</t>
  </si>
  <si>
    <t>Erosion</t>
  </si>
  <si>
    <t>PCUOA_1</t>
  </si>
  <si>
    <t>PCUOB_2</t>
  </si>
  <si>
    <t>LMOG_A3</t>
  </si>
  <si>
    <t>LMOG_E2</t>
  </si>
  <si>
    <t>LMOG_J1</t>
  </si>
  <si>
    <t>BCBR2_A</t>
  </si>
  <si>
    <t>DRRR_A1</t>
  </si>
  <si>
    <t>DRRR_B2</t>
  </si>
  <si>
    <t>BW_71_B1</t>
  </si>
  <si>
    <t>BCBR2_K2</t>
  </si>
  <si>
    <t>GP32B_1</t>
  </si>
  <si>
    <t>GP32A_1</t>
  </si>
  <si>
    <t>GP32F_2</t>
  </si>
  <si>
    <t>KRB_2</t>
  </si>
  <si>
    <t>KRD1</t>
  </si>
  <si>
    <t>KRDC3</t>
  </si>
  <si>
    <t>M_L_13</t>
  </si>
  <si>
    <t>INSERT HERE</t>
  </si>
  <si>
    <t>POSITIVE values if N, negative if S</t>
  </si>
  <si>
    <t>POSITIVE if E, negative if W</t>
  </si>
  <si>
    <t>in MASL</t>
  </si>
  <si>
    <t>CM</t>
  </si>
  <si>
    <t>G/CM3</t>
  </si>
  <si>
    <t xml:space="preserve">0&lt;x&lt;=1 </t>
  </si>
  <si>
    <t>put 1 if no shielding</t>
  </si>
  <si>
    <t>from CRONUS</t>
  </si>
  <si>
    <t>recommend using 0 for long exposures</t>
  </si>
  <si>
    <t>code applies this value over the entire exposure duration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</si>
  <si>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</si>
  <si>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</si>
  <si>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</si>
  <si>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</si>
  <si>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</si>
  <si>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</si>
  <si>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</si>
  <si>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</si>
  <si>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</si>
  <si>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</si>
  <si>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</si>
  <si>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</si>
  <si>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</si>
  <si>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</si>
  <si>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</si>
  <si>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A1</t>
  </si>
  <si>
    <t>A2</t>
  </si>
  <si>
    <t>A3</t>
  </si>
  <si>
    <t>A5</t>
  </si>
  <si>
    <t>A6</t>
  </si>
  <si>
    <t>A7</t>
  </si>
  <si>
    <t>A9</t>
  </si>
  <si>
    <t>10SPC01</t>
  </si>
  <si>
    <t>IN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</si>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</sst>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rgb="FF2E2E2E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1" fontId="4" fillId="0" borderId="0" xfId="0" applyNumberFormat="1" applyFont="1"/>
    <xf numFmtId="11" fontId="5" fillId="0" borderId="0" xfId="0" applyNumberFormat="1" applyFont="1" applyAlignment="1">
      <alignment horizontal="center"/>
    </xf>
    <xf numFmtId="0" fontId="7" fillId="0" borderId="0" xfId="0" applyFont="1"/>
    <xf numFmtId="0" fontId="0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K32"/>
  <sheetViews>
    <sheetView tabSelected="1" workbookViewId="0">
      <selection activeCell="F16" sqref="F16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65</v>
      </c>
      <c r="B2">
        <v>75</v>
      </c>
      <c r="C2">
        <v>40</v>
      </c>
      <c r="D2">
        <v>0</v>
      </c>
    </row>
    <row r="3" spans="1:11" x14ac:dyDescent="0.2">
      <c r="A3" t="s">
        <v>65</v>
      </c>
      <c r="B3">
        <v>75</v>
      </c>
      <c r="C3">
        <v>40</v>
      </c>
      <c r="D3">
        <v>100</v>
      </c>
    </row>
    <row r="4" spans="1:11" x14ac:dyDescent="0.2">
      <c r="A4" t="s">
        <v>65</v>
      </c>
      <c r="B4">
        <v>75</v>
      </c>
      <c r="C4">
        <v>40</v>
      </c>
      <c r="D4">
        <v>500</v>
      </c>
    </row>
    <row r="5" spans="1:11" x14ac:dyDescent="0.2">
      <c r="A5" t="s">
        <v>65</v>
      </c>
      <c r="B5">
        <v>75</v>
      </c>
      <c r="C5">
        <v>40</v>
      </c>
      <c r="D5">
        <v>1000</v>
      </c>
    </row>
    <row r="6" spans="1:11" x14ac:dyDescent="0.2">
      <c r="A6" t="s">
        <v>65</v>
      </c>
      <c r="B6">
        <v>75</v>
      </c>
      <c r="C6">
        <v>40</v>
      </c>
      <c r="D6">
        <v>1500</v>
      </c>
    </row>
    <row r="7" spans="1:11" x14ac:dyDescent="0.2">
      <c r="A7" t="s">
        <v>65</v>
      </c>
      <c r="B7">
        <v>75</v>
      </c>
      <c r="C7">
        <v>40</v>
      </c>
      <c r="D7">
        <v>2000</v>
      </c>
    </row>
    <row r="8" spans="1:11" x14ac:dyDescent="0.2">
      <c r="A8" t="s">
        <v>65</v>
      </c>
      <c r="B8">
        <v>75</v>
      </c>
      <c r="C8">
        <v>40</v>
      </c>
      <c r="D8">
        <v>2500</v>
      </c>
    </row>
    <row r="9" spans="1:11" x14ac:dyDescent="0.2">
      <c r="A9" t="s">
        <v>65</v>
      </c>
      <c r="B9">
        <v>75</v>
      </c>
      <c r="C9">
        <v>40</v>
      </c>
      <c r="D9">
        <v>3000</v>
      </c>
    </row>
    <row r="10" spans="1:11" x14ac:dyDescent="0.2">
      <c r="A10" t="s">
        <v>65</v>
      </c>
      <c r="B10">
        <v>75</v>
      </c>
      <c r="C10">
        <v>40</v>
      </c>
      <c r="D10">
        <v>4000</v>
      </c>
    </row>
    <row r="11" spans="1:11" x14ac:dyDescent="0.2">
      <c r="A11" t="s">
        <v>65</v>
      </c>
      <c r="B11">
        <v>75</v>
      </c>
      <c r="C11">
        <v>40</v>
      </c>
      <c r="D11">
        <v>5000</v>
      </c>
    </row>
    <row r="12" spans="1:11" x14ac:dyDescent="0.2">
      <c r="A12" t="s">
        <v>82</v>
      </c>
      <c r="B12">
        <v>0</v>
      </c>
      <c r="C12">
        <v>78</v>
      </c>
      <c r="D12">
        <v>0</v>
      </c>
    </row>
    <row r="13" spans="1:11" x14ac:dyDescent="0.2">
      <c r="A13" t="s">
        <v>82</v>
      </c>
      <c r="B13">
        <v>0</v>
      </c>
      <c r="C13">
        <v>78</v>
      </c>
      <c r="D13">
        <v>100</v>
      </c>
    </row>
    <row r="14" spans="1:11" x14ac:dyDescent="0.2">
      <c r="A14" t="s">
        <v>82</v>
      </c>
      <c r="B14">
        <v>0</v>
      </c>
      <c r="C14">
        <v>78</v>
      </c>
      <c r="D14">
        <v>500</v>
      </c>
    </row>
    <row r="15" spans="1:11" x14ac:dyDescent="0.2">
      <c r="A15" t="s">
        <v>82</v>
      </c>
      <c r="B15">
        <v>0</v>
      </c>
      <c r="C15">
        <v>78</v>
      </c>
      <c r="D15">
        <v>1000</v>
      </c>
    </row>
    <row r="16" spans="1:11" x14ac:dyDescent="0.2">
      <c r="A16" t="s">
        <v>82</v>
      </c>
      <c r="B16">
        <v>0</v>
      </c>
      <c r="C16">
        <v>78</v>
      </c>
      <c r="D16">
        <v>1500</v>
      </c>
    </row>
    <row r="17" spans="1:9" x14ac:dyDescent="0.2">
      <c r="A17" t="s">
        <v>82</v>
      </c>
      <c r="B17">
        <v>0</v>
      </c>
      <c r="C17">
        <v>78</v>
      </c>
      <c r="D17">
        <v>2000</v>
      </c>
    </row>
    <row r="18" spans="1:9" x14ac:dyDescent="0.2">
      <c r="A18" t="s">
        <v>82</v>
      </c>
      <c r="B18">
        <v>0</v>
      </c>
      <c r="C18">
        <v>78</v>
      </c>
      <c r="D18">
        <v>2500</v>
      </c>
    </row>
    <row r="19" spans="1:9" x14ac:dyDescent="0.2">
      <c r="A19" t="s">
        <v>82</v>
      </c>
      <c r="B19">
        <v>0</v>
      </c>
      <c r="C19">
        <v>78</v>
      </c>
      <c r="D19">
        <v>3000</v>
      </c>
    </row>
    <row r="20" spans="1:9" x14ac:dyDescent="0.2">
      <c r="A20" t="s">
        <v>82</v>
      </c>
      <c r="B20">
        <v>0</v>
      </c>
      <c r="C20">
        <v>78</v>
      </c>
      <c r="D20">
        <v>4000</v>
      </c>
    </row>
    <row r="21" spans="1:9" x14ac:dyDescent="0.2">
      <c r="A21" t="s">
        <v>82</v>
      </c>
      <c r="B21">
        <v>0</v>
      </c>
      <c r="C21">
        <v>78</v>
      </c>
      <c r="D21">
        <v>5000</v>
      </c>
    </row>
    <row r="22" spans="1:9" x14ac:dyDescent="0.2">
      <c r="B22" s="10"/>
      <c r="E22" s="1"/>
      <c r="H22" s="1"/>
      <c r="I22" s="1"/>
    </row>
    <row r="23" spans="1:9" x14ac:dyDescent="0.2">
      <c r="B23" s="10"/>
      <c r="E23" s="1"/>
      <c r="H23" s="1"/>
      <c r="I23" s="1"/>
    </row>
    <row r="24" spans="1:9" x14ac:dyDescent="0.2">
      <c r="B24" s="10"/>
      <c r="E24" s="1"/>
      <c r="H24" s="1"/>
      <c r="I24" s="1"/>
    </row>
    <row r="25" spans="1:9" x14ac:dyDescent="0.2">
      <c r="B25" s="9"/>
      <c r="E25" s="1"/>
      <c r="H25" s="1"/>
      <c r="I25" s="1"/>
    </row>
    <row r="26" spans="1:9" x14ac:dyDescent="0.2">
      <c r="B26" s="9"/>
      <c r="E26" s="1"/>
      <c r="H26" s="1"/>
      <c r="I26" s="1"/>
    </row>
    <row r="27" spans="1:9" x14ac:dyDescent="0.2">
      <c r="B27" s="9"/>
      <c r="E27" s="1"/>
      <c r="H27" s="1"/>
      <c r="I27" s="1"/>
    </row>
    <row r="28" spans="1:9" x14ac:dyDescent="0.2">
      <c r="B28" s="9"/>
      <c r="E28" s="1"/>
      <c r="H28" s="1"/>
      <c r="I28" s="1"/>
    </row>
    <row r="29" spans="1:9" x14ac:dyDescent="0.2">
      <c r="E29" s="1"/>
      <c r="H29" s="1"/>
      <c r="I29" s="1"/>
    </row>
    <row r="30" spans="1:9" x14ac:dyDescent="0.2">
      <c r="E30" s="1"/>
      <c r="H30" s="1"/>
      <c r="I30" s="1"/>
    </row>
    <row r="31" spans="1:9" x14ac:dyDescent="0.2">
      <c r="E31" s="1"/>
      <c r="H31" s="1"/>
      <c r="I31" s="1"/>
    </row>
    <row r="32" spans="1:9" x14ac:dyDescent="0.2">
      <c r="E32" s="1"/>
      <c r="H32" s="1"/>
      <c r="I32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7A66-7F29-A649-8A24-0084E41BD032}">
  <dimension ref="A1:K21"/>
  <sheetViews>
    <sheetView workbookViewId="0">
      <selection activeCell="A2" sqref="A2:XFD21"/>
    </sheetView>
  </sheetViews>
  <sheetFormatPr baseColWidth="10" defaultRowHeight="16" x14ac:dyDescent="0.2"/>
  <cols>
    <col min="10" max="10" width="15.6640625" bestFit="1" customWidth="1"/>
    <col min="11" max="11" width="11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-19.578942000000001</v>
      </c>
      <c r="C2" s="9">
        <v>-69.872967000000003</v>
      </c>
      <c r="D2" s="9">
        <v>1172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-19.340944</v>
      </c>
      <c r="C3" s="10">
        <v>-69.727999999999994</v>
      </c>
      <c r="D3" s="10">
        <v>1607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-19.340944</v>
      </c>
      <c r="C4" s="10">
        <v>-69.727999999999994</v>
      </c>
      <c r="D4" s="10">
        <v>1607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-19.340944</v>
      </c>
      <c r="C5" s="10">
        <v>-69.727999999999994</v>
      </c>
      <c r="D5" s="10">
        <v>1607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13</v>
      </c>
      <c r="B6" s="10">
        <v>-19.336722000000002</v>
      </c>
      <c r="C6" s="10">
        <v>-69.729611000000006</v>
      </c>
      <c r="D6" s="10">
        <v>1604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1" x14ac:dyDescent="0.2">
      <c r="A7" s="4" t="s">
        <v>14</v>
      </c>
      <c r="B7" s="9">
        <v>-18.886583000000002</v>
      </c>
      <c r="C7" s="9">
        <v>-69.699055999999999</v>
      </c>
      <c r="D7" s="9">
        <v>2282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1" x14ac:dyDescent="0.2">
      <c r="A8" s="4" t="s">
        <v>15</v>
      </c>
      <c r="B8" s="9">
        <v>-18.886583000000002</v>
      </c>
      <c r="C8" s="9">
        <v>-69.699055999999999</v>
      </c>
      <c r="D8" s="9">
        <v>2282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1" x14ac:dyDescent="0.2">
      <c r="A9" s="3" t="s">
        <v>16</v>
      </c>
      <c r="B9" s="9">
        <v>-18.905639000000001</v>
      </c>
      <c r="C9" s="9">
        <v>-69.954583</v>
      </c>
      <c r="D9" s="9">
        <v>1443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1" x14ac:dyDescent="0.2">
      <c r="A10" s="3" t="s">
        <v>17</v>
      </c>
      <c r="B10" s="9">
        <v>-18.905639000000001</v>
      </c>
      <c r="C10" s="9">
        <v>-69.954583</v>
      </c>
      <c r="D10" s="9">
        <v>1443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1" x14ac:dyDescent="0.2">
      <c r="A11" s="4" t="s">
        <v>18</v>
      </c>
      <c r="B11" s="9">
        <v>-18.852694</v>
      </c>
      <c r="C11" s="9">
        <v>-69.657167000000001</v>
      </c>
      <c r="D11" s="9">
        <v>2550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1" x14ac:dyDescent="0.2">
      <c r="A12" s="4" t="s">
        <v>19</v>
      </c>
      <c r="B12" s="9">
        <v>-20.704083000000001</v>
      </c>
      <c r="C12" s="9">
        <v>-69.420833000000002</v>
      </c>
      <c r="D12" s="9">
        <v>1084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1" x14ac:dyDescent="0.2">
      <c r="A13" s="1" t="s">
        <v>20</v>
      </c>
      <c r="B13" s="11">
        <v>-19.786306</v>
      </c>
      <c r="C13" s="11">
        <v>-69.682000000000002</v>
      </c>
      <c r="D13" s="11">
        <v>1289</v>
      </c>
      <c r="E13" s="1">
        <v>5</v>
      </c>
      <c r="F13" s="1">
        <v>2.89</v>
      </c>
      <c r="G13" s="1">
        <v>1</v>
      </c>
      <c r="H13" s="13">
        <v>0</v>
      </c>
      <c r="I13" s="1"/>
      <c r="J13" s="2">
        <f>107.8*10^7</f>
        <v>1078000000</v>
      </c>
      <c r="K13" s="2">
        <f>2.77*10^7</f>
        <v>27700000</v>
      </c>
    </row>
    <row r="14" spans="1:11" x14ac:dyDescent="0.2">
      <c r="A14" s="1" t="s">
        <v>21</v>
      </c>
      <c r="B14" s="10">
        <v>-19.786306</v>
      </c>
      <c r="C14" s="10">
        <v>-69.682000000000002</v>
      </c>
      <c r="D14" s="10">
        <v>1289</v>
      </c>
      <c r="E14" s="1">
        <v>5</v>
      </c>
      <c r="F14" s="1">
        <v>2.89</v>
      </c>
      <c r="G14" s="1">
        <v>1</v>
      </c>
      <c r="H14" s="13">
        <v>0</v>
      </c>
      <c r="I14" s="1"/>
      <c r="J14" s="2">
        <f>102.49*10^7</f>
        <v>1024900000</v>
      </c>
      <c r="K14" s="2">
        <f>2.48*10^7</f>
        <v>24800000</v>
      </c>
    </row>
    <row r="15" spans="1:11" x14ac:dyDescent="0.2">
      <c r="A15" s="5" t="s">
        <v>22</v>
      </c>
      <c r="B15" s="10">
        <v>-19.786306</v>
      </c>
      <c r="C15" s="10">
        <v>-69.682000000000002</v>
      </c>
      <c r="D15" s="10">
        <v>1289</v>
      </c>
      <c r="E15" s="1">
        <v>5</v>
      </c>
      <c r="F15" s="1">
        <v>2.89</v>
      </c>
      <c r="G15" s="1">
        <v>1</v>
      </c>
      <c r="H15" s="13">
        <v>0</v>
      </c>
      <c r="I15" s="1"/>
      <c r="J15" s="8">
        <f>298.96*10^7</f>
        <v>2989600000</v>
      </c>
      <c r="K15" s="2">
        <f>3.2*10^7</f>
        <v>32000000</v>
      </c>
    </row>
    <row r="16" spans="1:11" x14ac:dyDescent="0.2">
      <c r="A16" s="1" t="s">
        <v>23</v>
      </c>
      <c r="B16" s="10">
        <v>-19.397832999999999</v>
      </c>
      <c r="C16" s="10">
        <v>-69.880306000000004</v>
      </c>
      <c r="D16" s="10">
        <v>1256</v>
      </c>
      <c r="E16" s="1">
        <v>5</v>
      </c>
      <c r="F16" s="1">
        <v>2.89</v>
      </c>
      <c r="G16" s="1">
        <v>1</v>
      </c>
      <c r="H16" s="13">
        <v>0</v>
      </c>
      <c r="I16" s="1"/>
      <c r="J16" s="2">
        <f>194.23*10^7</f>
        <v>1942300000</v>
      </c>
      <c r="K16" s="2">
        <f>4.67*10^7</f>
        <v>46700000</v>
      </c>
    </row>
    <row r="17" spans="1:11" x14ac:dyDescent="0.2">
      <c r="A17" s="1" t="s">
        <v>24</v>
      </c>
      <c r="B17" s="10">
        <v>-19.397832999999999</v>
      </c>
      <c r="C17" s="10">
        <v>-69.880306000000004</v>
      </c>
      <c r="D17" s="10">
        <v>1256</v>
      </c>
      <c r="E17" s="1">
        <v>5</v>
      </c>
      <c r="F17" s="1">
        <v>2.74</v>
      </c>
      <c r="G17" s="1">
        <v>1</v>
      </c>
      <c r="H17" s="13">
        <v>0</v>
      </c>
      <c r="I17" s="1"/>
      <c r="J17" s="2">
        <f>310.26*10^7</f>
        <v>3102600000</v>
      </c>
      <c r="K17" s="2">
        <f>8.23*10^7</f>
        <v>82300000</v>
      </c>
    </row>
    <row r="18" spans="1:11" x14ac:dyDescent="0.2">
      <c r="A18" s="1" t="s">
        <v>25</v>
      </c>
      <c r="B18" s="10">
        <v>-19.397832999999999</v>
      </c>
      <c r="C18" s="10">
        <v>-69.880306000000004</v>
      </c>
      <c r="D18" s="10">
        <v>1256</v>
      </c>
      <c r="E18" s="1">
        <v>5</v>
      </c>
      <c r="F18" s="1">
        <v>2.89</v>
      </c>
      <c r="G18" s="1">
        <v>1</v>
      </c>
      <c r="H18" s="13">
        <v>0</v>
      </c>
      <c r="I18" s="1"/>
      <c r="J18" s="2">
        <f>269.16*10^7</f>
        <v>2691600000.0000005</v>
      </c>
      <c r="K18" s="2">
        <f>6.18*10^7</f>
        <v>61800000</v>
      </c>
    </row>
    <row r="19" spans="1:11" x14ac:dyDescent="0.2">
      <c r="A19" s="3" t="s">
        <v>26</v>
      </c>
      <c r="B19" s="9">
        <v>-19.522110999999999</v>
      </c>
      <c r="C19" s="9">
        <v>-69.808333000000005</v>
      </c>
      <c r="D19" s="9">
        <v>1312</v>
      </c>
      <c r="E19" s="1">
        <v>5</v>
      </c>
      <c r="F19" s="1">
        <v>2.89</v>
      </c>
      <c r="G19" s="1">
        <v>1</v>
      </c>
      <c r="H19" s="13">
        <v>0</v>
      </c>
      <c r="I19" s="1"/>
      <c r="J19" s="2">
        <f>277.15*10^7</f>
        <v>2771500000</v>
      </c>
      <c r="K19" s="7">
        <f>5.2*10^7</f>
        <v>52000000</v>
      </c>
    </row>
    <row r="20" spans="1:11" x14ac:dyDescent="0.2">
      <c r="A20" s="3" t="s">
        <v>27</v>
      </c>
      <c r="B20" s="9">
        <v>-19.522110999999999</v>
      </c>
      <c r="C20" s="9">
        <v>-69.808333000000005</v>
      </c>
      <c r="D20" s="9">
        <v>1312</v>
      </c>
      <c r="E20" s="1">
        <v>5</v>
      </c>
      <c r="F20" s="1">
        <v>2.89</v>
      </c>
      <c r="G20" s="1">
        <v>1</v>
      </c>
      <c r="H20" s="13">
        <v>0</v>
      </c>
      <c r="I20" s="1"/>
      <c r="J20" s="2">
        <f>65.4*10^7</f>
        <v>654000000</v>
      </c>
      <c r="K20" s="7">
        <f>1.5*10^7</f>
        <v>15000000</v>
      </c>
    </row>
    <row r="21" spans="1:11" x14ac:dyDescent="0.2">
      <c r="A21" s="6" t="s">
        <v>28</v>
      </c>
      <c r="B21" s="12">
        <v>-18.503527999999999</v>
      </c>
      <c r="C21" s="12">
        <v>-70.143305999999995</v>
      </c>
      <c r="D21" s="12">
        <v>771</v>
      </c>
      <c r="E21" s="1">
        <v>5</v>
      </c>
      <c r="F21" s="1">
        <v>2.89</v>
      </c>
      <c r="G21" s="1">
        <v>1</v>
      </c>
      <c r="H21" s="13">
        <v>0</v>
      </c>
      <c r="I21" s="1"/>
      <c r="J21" s="2">
        <f>41.29*10^7</f>
        <v>412900000</v>
      </c>
      <c r="K21" s="7">
        <f>0.72*10^7</f>
        <v>7200000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K18"/>
  <sheetViews>
    <sheetView topLeftCell="B1" workbookViewId="0">
      <selection activeCell="J1" sqref="J1"/>
    </sheetView>
  </sheetViews>
  <sheetFormatPr baseColWidth="10" defaultRowHeight="16" x14ac:dyDescent="0.2"/>
  <cols>
    <col min="1" max="1" width="12.83203125" bestFit="1" customWidth="1"/>
    <col min="2" max="2" width="30" bestFit="1" customWidth="1"/>
    <col min="3" max="3" width="24.1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32.8320312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47</v>
      </c>
      <c r="B2" s="3" t="s">
        <v>48</v>
      </c>
      <c r="C2" s="3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3"/>
      <c r="I2" s="1"/>
      <c r="J2" s="14">
        <v>6300000</v>
      </c>
      <c r="K2" s="14">
        <v>1100000</v>
      </c>
    </row>
    <row r="3" spans="1:11" x14ac:dyDescent="0.2">
      <c r="A3" s="1"/>
      <c r="B3" s="3"/>
      <c r="C3" s="3"/>
      <c r="D3" s="1"/>
      <c r="E3" s="1"/>
      <c r="F3" s="1"/>
      <c r="G3" s="1" t="s">
        <v>54</v>
      </c>
      <c r="H3" s="13" t="s">
        <v>55</v>
      </c>
      <c r="I3" s="1"/>
      <c r="J3" s="14">
        <v>27600000</v>
      </c>
      <c r="K3" s="14">
        <v>2100000</v>
      </c>
    </row>
    <row r="4" spans="1:11" x14ac:dyDescent="0.2">
      <c r="A4" s="1"/>
      <c r="B4" s="3"/>
      <c r="C4" s="3"/>
      <c r="D4" s="1"/>
      <c r="E4" s="1"/>
      <c r="F4" s="1"/>
      <c r="G4" s="1"/>
      <c r="H4" s="13" t="s">
        <v>56</v>
      </c>
      <c r="I4" s="1"/>
      <c r="J4" s="14">
        <v>35700000</v>
      </c>
      <c r="K4" s="14">
        <v>2000000</v>
      </c>
    </row>
    <row r="5" spans="1:11" x14ac:dyDescent="0.2">
      <c r="A5" s="1"/>
      <c r="B5" s="3"/>
      <c r="C5" s="3"/>
      <c r="D5" s="1"/>
      <c r="E5" s="1"/>
      <c r="F5" s="1"/>
      <c r="G5" s="1"/>
      <c r="H5" s="13" t="s">
        <v>57</v>
      </c>
      <c r="I5" s="1"/>
      <c r="J5" s="14">
        <v>2300000</v>
      </c>
      <c r="K5" s="14">
        <v>1300000</v>
      </c>
    </row>
    <row r="6" spans="1:11" x14ac:dyDescent="0.2">
      <c r="A6" s="1"/>
      <c r="B6" s="3"/>
      <c r="C6" s="3"/>
      <c r="D6" s="1"/>
      <c r="E6" s="1"/>
      <c r="F6" s="1"/>
      <c r="G6" s="1"/>
      <c r="H6" s="13"/>
      <c r="I6" s="1"/>
      <c r="J6" s="14">
        <v>313000000</v>
      </c>
      <c r="K6" s="14">
        <v>10000000</v>
      </c>
    </row>
    <row r="7" spans="1:11" x14ac:dyDescent="0.2">
      <c r="A7" s="1"/>
      <c r="B7" s="3"/>
      <c r="C7" s="3"/>
      <c r="D7" s="3"/>
      <c r="E7" s="1"/>
      <c r="F7" s="1"/>
      <c r="G7" s="1"/>
      <c r="H7" s="13"/>
      <c r="I7" s="1"/>
      <c r="J7" s="14">
        <v>37300000</v>
      </c>
      <c r="K7" s="14">
        <v>2000000</v>
      </c>
    </row>
    <row r="8" spans="1:11" x14ac:dyDescent="0.2">
      <c r="A8" s="1"/>
      <c r="B8" s="3"/>
      <c r="C8" s="3"/>
      <c r="D8" s="3"/>
      <c r="E8" s="1"/>
      <c r="F8" s="1"/>
      <c r="G8" s="1"/>
      <c r="H8" s="13"/>
      <c r="I8" s="1"/>
      <c r="J8" s="14">
        <v>1270000</v>
      </c>
      <c r="K8" s="14">
        <v>1300000</v>
      </c>
    </row>
    <row r="9" spans="1:11" x14ac:dyDescent="0.2">
      <c r="A9" s="1"/>
      <c r="B9" s="3"/>
      <c r="C9" s="3"/>
      <c r="D9" s="3"/>
      <c r="E9" s="1"/>
      <c r="F9" s="1"/>
      <c r="G9" s="1"/>
      <c r="H9" s="13"/>
      <c r="I9" s="1"/>
      <c r="J9" s="14">
        <v>27100000</v>
      </c>
      <c r="K9" s="14">
        <v>1800000</v>
      </c>
    </row>
    <row r="10" spans="1:11" x14ac:dyDescent="0.2">
      <c r="A10" s="1"/>
      <c r="B10" s="3"/>
      <c r="C10" s="3"/>
      <c r="D10" s="3"/>
      <c r="E10" s="1"/>
      <c r="F10" s="1"/>
      <c r="G10" s="1"/>
      <c r="H10" s="13"/>
      <c r="I10" s="1"/>
      <c r="J10" s="14">
        <v>55100000</v>
      </c>
      <c r="K10" s="14">
        <v>2700000</v>
      </c>
    </row>
    <row r="11" spans="1:11" x14ac:dyDescent="0.2">
      <c r="A11" s="1"/>
      <c r="B11" s="3"/>
      <c r="C11" s="3"/>
      <c r="D11" s="3"/>
      <c r="E11" s="1"/>
      <c r="F11" s="1"/>
      <c r="G11" s="1"/>
      <c r="H11" s="13"/>
      <c r="I11" s="1"/>
      <c r="J11" s="14">
        <v>17700000</v>
      </c>
      <c r="K11" s="14">
        <v>950000</v>
      </c>
    </row>
    <row r="12" spans="1:11" x14ac:dyDescent="0.2">
      <c r="A12" s="1"/>
      <c r="B12" s="3"/>
      <c r="C12" s="3"/>
      <c r="D12" s="1"/>
      <c r="E12" s="1"/>
      <c r="F12" s="1"/>
      <c r="G12" s="1"/>
      <c r="H12" s="13"/>
      <c r="I12" s="1"/>
      <c r="J12" s="14">
        <v>9100000</v>
      </c>
      <c r="K12" s="14">
        <v>1300000</v>
      </c>
    </row>
    <row r="13" spans="1:11" x14ac:dyDescent="0.2">
      <c r="A13" s="1"/>
      <c r="B13" s="3"/>
      <c r="C13" s="3"/>
      <c r="D13" s="1"/>
      <c r="E13" s="1"/>
      <c r="F13" s="1"/>
      <c r="G13" s="1"/>
      <c r="H13" s="13"/>
      <c r="I13" s="1"/>
      <c r="J13" s="14">
        <v>2400000</v>
      </c>
      <c r="K13" s="14">
        <v>1100000</v>
      </c>
    </row>
    <row r="14" spans="1:11" x14ac:dyDescent="0.2">
      <c r="A14" s="1"/>
      <c r="B14" s="3"/>
      <c r="C14" s="3"/>
      <c r="D14" s="1"/>
      <c r="E14" s="1"/>
      <c r="F14" s="1"/>
      <c r="G14" s="1"/>
      <c r="H14" s="13"/>
      <c r="I14" s="1"/>
      <c r="J14" s="14">
        <v>6200000</v>
      </c>
      <c r="K14" s="14">
        <v>1400000</v>
      </c>
    </row>
    <row r="15" spans="1:11" x14ac:dyDescent="0.2">
      <c r="A15" s="1"/>
      <c r="B15" s="3"/>
      <c r="C15" s="3"/>
      <c r="D15" s="1"/>
      <c r="E15" s="1"/>
      <c r="F15" s="1"/>
      <c r="G15" s="1"/>
      <c r="H15" s="13"/>
      <c r="I15" s="1"/>
      <c r="J15" s="14">
        <v>53600000</v>
      </c>
      <c r="K15" s="14">
        <v>2600000</v>
      </c>
    </row>
    <row r="16" spans="1:11" x14ac:dyDescent="0.2">
      <c r="A16" s="1"/>
      <c r="B16" s="3"/>
      <c r="C16" s="3"/>
      <c r="D16" s="1"/>
      <c r="E16" s="1"/>
      <c r="F16" s="1"/>
      <c r="G16" s="1"/>
      <c r="H16" s="13"/>
      <c r="I16" s="1"/>
      <c r="J16" s="14">
        <v>19900000</v>
      </c>
      <c r="K16" s="14">
        <v>1700000</v>
      </c>
    </row>
    <row r="17" spans="1:11" x14ac:dyDescent="0.2">
      <c r="A17" s="1"/>
      <c r="B17" s="3"/>
      <c r="C17" s="3"/>
      <c r="D17" s="1"/>
      <c r="E17" s="1"/>
      <c r="F17" s="1"/>
      <c r="G17" s="1"/>
      <c r="H17" s="13"/>
      <c r="I17" s="1"/>
      <c r="J17" s="14">
        <v>45700000</v>
      </c>
      <c r="K17" s="14">
        <v>2300000</v>
      </c>
    </row>
    <row r="18" spans="1:11" x14ac:dyDescent="0.2">
      <c r="A18" s="1"/>
      <c r="B18" s="3"/>
      <c r="C18" s="3"/>
      <c r="D18" s="1"/>
      <c r="E18" s="1"/>
      <c r="F18" s="1"/>
      <c r="G18" s="1"/>
      <c r="H18" s="13"/>
      <c r="I18" s="1"/>
      <c r="J18" s="14">
        <v>118000000</v>
      </c>
      <c r="K18" s="14">
        <v>4700000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K13"/>
  <sheetViews>
    <sheetView workbookViewId="0">
      <selection activeCell="A2" sqref="A2:XFD1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68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3">
        <v>0</v>
      </c>
    </row>
    <row r="7" spans="1:11" x14ac:dyDescent="0.2">
      <c r="A7" s="1" t="s">
        <v>69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3">
        <v>0</v>
      </c>
    </row>
    <row r="8" spans="1:11" x14ac:dyDescent="0.2">
      <c r="A8" s="1" t="s">
        <v>70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3">
        <v>0</v>
      </c>
    </row>
    <row r="9" spans="1:11" x14ac:dyDescent="0.2">
      <c r="A9" s="1" t="s">
        <v>71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3">
        <v>0</v>
      </c>
    </row>
    <row r="10" spans="1:11" x14ac:dyDescent="0.2">
      <c r="A10" s="1" t="s">
        <v>72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3">
        <v>0</v>
      </c>
    </row>
    <row r="11" spans="1:11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3">
        <v>0</v>
      </c>
    </row>
    <row r="12" spans="1:11" x14ac:dyDescent="0.2">
      <c r="B12" s="10"/>
      <c r="C12" s="10"/>
    </row>
    <row r="13" spans="1:11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K20"/>
  <sheetViews>
    <sheetView workbookViewId="0">
      <selection activeCell="A2" sqref="A2:XFD2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B2">
        <v>0</v>
      </c>
      <c r="C2">
        <v>0</v>
      </c>
      <c r="D2">
        <v>0</v>
      </c>
    </row>
    <row r="3" spans="1:11" x14ac:dyDescent="0.2">
      <c r="B3">
        <v>5</v>
      </c>
      <c r="C3">
        <v>0</v>
      </c>
      <c r="D3">
        <v>0</v>
      </c>
    </row>
    <row r="4" spans="1:11" x14ac:dyDescent="0.2">
      <c r="B4">
        <v>10</v>
      </c>
      <c r="C4">
        <v>0</v>
      </c>
      <c r="D4">
        <v>0</v>
      </c>
    </row>
    <row r="5" spans="1:11" x14ac:dyDescent="0.2">
      <c r="B5">
        <v>15</v>
      </c>
      <c r="C5">
        <v>0</v>
      </c>
      <c r="D5">
        <v>0</v>
      </c>
    </row>
    <row r="6" spans="1:11" x14ac:dyDescent="0.2">
      <c r="B6">
        <v>20</v>
      </c>
      <c r="C6">
        <v>0</v>
      </c>
      <c r="D6">
        <v>0</v>
      </c>
    </row>
    <row r="7" spans="1:11" x14ac:dyDescent="0.2">
      <c r="B7">
        <v>25</v>
      </c>
      <c r="C7">
        <v>0</v>
      </c>
      <c r="D7">
        <v>0</v>
      </c>
    </row>
    <row r="8" spans="1:11" x14ac:dyDescent="0.2">
      <c r="B8">
        <v>30</v>
      </c>
      <c r="C8">
        <v>0</v>
      </c>
      <c r="D8">
        <v>0</v>
      </c>
    </row>
    <row r="9" spans="1:11" x14ac:dyDescent="0.2">
      <c r="B9">
        <v>35</v>
      </c>
      <c r="C9">
        <v>0</v>
      </c>
      <c r="D9">
        <v>0</v>
      </c>
    </row>
    <row r="10" spans="1:11" x14ac:dyDescent="0.2">
      <c r="B10">
        <v>40</v>
      </c>
      <c r="C10">
        <v>0</v>
      </c>
      <c r="D10">
        <v>0</v>
      </c>
    </row>
    <row r="11" spans="1:11" x14ac:dyDescent="0.2">
      <c r="B11">
        <v>45</v>
      </c>
      <c r="C11">
        <v>0</v>
      </c>
      <c r="D11">
        <v>0</v>
      </c>
    </row>
    <row r="12" spans="1:11" x14ac:dyDescent="0.2">
      <c r="B12">
        <v>50</v>
      </c>
      <c r="C12">
        <v>0</v>
      </c>
      <c r="D12">
        <v>0</v>
      </c>
    </row>
    <row r="13" spans="1:11" x14ac:dyDescent="0.2">
      <c r="B13">
        <v>55</v>
      </c>
      <c r="C13">
        <v>0</v>
      </c>
      <c r="D13">
        <v>0</v>
      </c>
    </row>
    <row r="14" spans="1:11" x14ac:dyDescent="0.2">
      <c r="B14">
        <v>60</v>
      </c>
      <c r="C14">
        <v>0</v>
      </c>
      <c r="D14">
        <v>0</v>
      </c>
    </row>
    <row r="15" spans="1:11" x14ac:dyDescent="0.2">
      <c r="B15">
        <v>65</v>
      </c>
      <c r="C15">
        <v>0</v>
      </c>
      <c r="D15">
        <v>0</v>
      </c>
    </row>
    <row r="16" spans="1:11" x14ac:dyDescent="0.2">
      <c r="B16">
        <v>70</v>
      </c>
      <c r="C16">
        <v>0</v>
      </c>
      <c r="D16">
        <v>0</v>
      </c>
    </row>
    <row r="17" spans="2:4" x14ac:dyDescent="0.2">
      <c r="B17">
        <v>75</v>
      </c>
      <c r="C17">
        <v>0</v>
      </c>
      <c r="D17">
        <v>0</v>
      </c>
    </row>
    <row r="18" spans="2:4" x14ac:dyDescent="0.2">
      <c r="B18">
        <v>80</v>
      </c>
      <c r="C18">
        <v>0</v>
      </c>
      <c r="D18">
        <v>0</v>
      </c>
    </row>
    <row r="19" spans="2:4" x14ac:dyDescent="0.2">
      <c r="B19">
        <v>85</v>
      </c>
      <c r="C19">
        <v>0</v>
      </c>
      <c r="D19">
        <v>0</v>
      </c>
    </row>
    <row r="20" spans="2:4" x14ac:dyDescent="0.2">
      <c r="B20">
        <v>90</v>
      </c>
      <c r="C20">
        <v>0</v>
      </c>
      <c r="D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sqref="A1:XFD1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66</v>
      </c>
      <c r="B3" s="9">
        <v>-19</v>
      </c>
      <c r="C3" s="9">
        <v>-69</v>
      </c>
      <c r="D3" s="9">
        <v>0</v>
      </c>
      <c r="E3" s="1"/>
      <c r="F3" s="1"/>
      <c r="G3" s="1"/>
      <c r="H3" s="13"/>
      <c r="I3" s="1"/>
      <c r="J3" s="2"/>
      <c r="K3" s="2"/>
    </row>
    <row r="4" spans="1:11" x14ac:dyDescent="0.2">
      <c r="A4" s="1" t="s">
        <v>65</v>
      </c>
      <c r="B4" s="9">
        <v>75</v>
      </c>
      <c r="C4" s="9">
        <v>-42</v>
      </c>
      <c r="D4" s="9">
        <v>0</v>
      </c>
      <c r="E4" s="1"/>
      <c r="F4" s="1"/>
      <c r="G4" s="1"/>
      <c r="H4" s="13"/>
      <c r="I4" s="1"/>
      <c r="J4" s="2"/>
      <c r="K4" s="2"/>
    </row>
    <row r="5" spans="1:11" x14ac:dyDescent="0.2">
      <c r="A5" s="1" t="s">
        <v>67</v>
      </c>
      <c r="B5" s="9">
        <v>0</v>
      </c>
      <c r="C5" s="9">
        <v>20</v>
      </c>
      <c r="D5" s="9">
        <v>0</v>
      </c>
      <c r="E5" s="1"/>
      <c r="F5" s="1"/>
      <c r="G5" s="1"/>
      <c r="H5" s="13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3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3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3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3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3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3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3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3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3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3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3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3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3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3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K21"/>
  <sheetViews>
    <sheetView workbookViewId="0">
      <selection sqref="A1:XFD2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65</v>
      </c>
      <c r="B2">
        <v>75</v>
      </c>
      <c r="C2">
        <v>40</v>
      </c>
      <c r="D2">
        <v>0</v>
      </c>
    </row>
    <row r="3" spans="1:11" x14ac:dyDescent="0.2">
      <c r="A3" t="s">
        <v>65</v>
      </c>
      <c r="B3">
        <v>75</v>
      </c>
      <c r="C3">
        <v>40</v>
      </c>
      <c r="D3">
        <v>100</v>
      </c>
    </row>
    <row r="4" spans="1:11" x14ac:dyDescent="0.2">
      <c r="A4" t="s">
        <v>65</v>
      </c>
      <c r="B4">
        <v>75</v>
      </c>
      <c r="C4">
        <v>40</v>
      </c>
      <c r="D4">
        <v>500</v>
      </c>
    </row>
    <row r="5" spans="1:11" x14ac:dyDescent="0.2">
      <c r="A5" t="s">
        <v>65</v>
      </c>
      <c r="B5">
        <v>75</v>
      </c>
      <c r="C5">
        <v>40</v>
      </c>
      <c r="D5">
        <v>1000</v>
      </c>
    </row>
    <row r="6" spans="1:11" x14ac:dyDescent="0.2">
      <c r="A6" t="s">
        <v>65</v>
      </c>
      <c r="B6">
        <v>75</v>
      </c>
      <c r="C6">
        <v>40</v>
      </c>
      <c r="D6">
        <v>1500</v>
      </c>
    </row>
    <row r="7" spans="1:11" x14ac:dyDescent="0.2">
      <c r="A7" t="s">
        <v>65</v>
      </c>
      <c r="B7">
        <v>75</v>
      </c>
      <c r="C7">
        <v>40</v>
      </c>
      <c r="D7">
        <v>2000</v>
      </c>
    </row>
    <row r="8" spans="1:11" x14ac:dyDescent="0.2">
      <c r="A8" t="s">
        <v>65</v>
      </c>
      <c r="B8">
        <v>75</v>
      </c>
      <c r="C8">
        <v>40</v>
      </c>
      <c r="D8">
        <v>2500</v>
      </c>
    </row>
    <row r="9" spans="1:11" x14ac:dyDescent="0.2">
      <c r="A9" t="s">
        <v>65</v>
      </c>
      <c r="B9">
        <v>75</v>
      </c>
      <c r="C9">
        <v>40</v>
      </c>
      <c r="D9">
        <v>3000</v>
      </c>
    </row>
    <row r="10" spans="1:11" x14ac:dyDescent="0.2">
      <c r="A10" t="s">
        <v>65</v>
      </c>
      <c r="B10">
        <v>75</v>
      </c>
      <c r="C10">
        <v>40</v>
      </c>
      <c r="D10">
        <v>4000</v>
      </c>
    </row>
    <row r="11" spans="1:11" x14ac:dyDescent="0.2">
      <c r="A11" t="s">
        <v>65</v>
      </c>
      <c r="B11">
        <v>75</v>
      </c>
      <c r="C11">
        <v>40</v>
      </c>
      <c r="D11">
        <v>5000</v>
      </c>
    </row>
    <row r="12" spans="1:11" x14ac:dyDescent="0.2">
      <c r="A12" t="s">
        <v>82</v>
      </c>
      <c r="B12">
        <v>0</v>
      </c>
      <c r="C12">
        <v>78</v>
      </c>
      <c r="D12">
        <v>0</v>
      </c>
    </row>
    <row r="13" spans="1:11" x14ac:dyDescent="0.2">
      <c r="A13" t="s">
        <v>82</v>
      </c>
      <c r="B13">
        <v>0</v>
      </c>
      <c r="C13">
        <v>78</v>
      </c>
      <c r="D13">
        <v>100</v>
      </c>
    </row>
    <row r="14" spans="1:11" x14ac:dyDescent="0.2">
      <c r="A14" t="s">
        <v>82</v>
      </c>
      <c r="B14">
        <v>0</v>
      </c>
      <c r="C14">
        <v>78</v>
      </c>
      <c r="D14">
        <v>500</v>
      </c>
    </row>
    <row r="15" spans="1:11" x14ac:dyDescent="0.2">
      <c r="A15" t="s">
        <v>82</v>
      </c>
      <c r="B15">
        <v>0</v>
      </c>
      <c r="C15">
        <v>78</v>
      </c>
      <c r="D15">
        <v>1000</v>
      </c>
    </row>
    <row r="16" spans="1:11" x14ac:dyDescent="0.2">
      <c r="A16" t="s">
        <v>82</v>
      </c>
      <c r="B16">
        <v>0</v>
      </c>
      <c r="C16">
        <v>78</v>
      </c>
      <c r="D16">
        <v>1500</v>
      </c>
    </row>
    <row r="17" spans="1:4" x14ac:dyDescent="0.2">
      <c r="A17" t="s">
        <v>82</v>
      </c>
      <c r="B17">
        <v>0</v>
      </c>
      <c r="C17">
        <v>78</v>
      </c>
      <c r="D17">
        <v>2000</v>
      </c>
    </row>
    <row r="18" spans="1:4" x14ac:dyDescent="0.2">
      <c r="A18" t="s">
        <v>82</v>
      </c>
      <c r="B18">
        <v>0</v>
      </c>
      <c r="C18">
        <v>78</v>
      </c>
      <c r="D18">
        <v>2500</v>
      </c>
    </row>
    <row r="19" spans="1:4" x14ac:dyDescent="0.2">
      <c r="A19" t="s">
        <v>82</v>
      </c>
      <c r="B19">
        <v>0</v>
      </c>
      <c r="C19">
        <v>78</v>
      </c>
      <c r="D19">
        <v>3000</v>
      </c>
    </row>
    <row r="20" spans="1:4" x14ac:dyDescent="0.2">
      <c r="A20" t="s">
        <v>82</v>
      </c>
      <c r="B20">
        <v>0</v>
      </c>
      <c r="C20">
        <v>78</v>
      </c>
      <c r="D20">
        <v>4000</v>
      </c>
    </row>
    <row r="21" spans="1:4" x14ac:dyDescent="0.2">
      <c r="A21" t="s">
        <v>82</v>
      </c>
      <c r="B21">
        <v>0</v>
      </c>
      <c r="C21">
        <v>78</v>
      </c>
      <c r="D21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K11"/>
  <sheetViews>
    <sheetView workbookViewId="0">
      <selection activeCell="A2" sqref="A2:XFD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81</v>
      </c>
      <c r="B2" s="9">
        <v>20</v>
      </c>
      <c r="C2" s="9">
        <v>73</v>
      </c>
      <c r="D2" s="9">
        <v>0</v>
      </c>
    </row>
    <row r="3" spans="1:11" x14ac:dyDescent="0.2">
      <c r="B3" s="9"/>
      <c r="C3" s="9"/>
      <c r="D3" s="9"/>
    </row>
    <row r="4" spans="1:11" x14ac:dyDescent="0.2">
      <c r="B4" s="9"/>
      <c r="C4" s="9"/>
      <c r="D4" s="9"/>
    </row>
    <row r="5" spans="1:11" x14ac:dyDescent="0.2">
      <c r="B5" s="9"/>
      <c r="C5" s="9"/>
      <c r="D5" s="9"/>
    </row>
    <row r="6" spans="1:11" x14ac:dyDescent="0.2">
      <c r="B6" s="9"/>
      <c r="C6" s="9"/>
      <c r="D6" s="9"/>
    </row>
    <row r="7" spans="1:11" x14ac:dyDescent="0.2">
      <c r="B7" s="9"/>
      <c r="C7" s="9"/>
      <c r="D7" s="9"/>
    </row>
    <row r="8" spans="1:11" x14ac:dyDescent="0.2">
      <c r="B8" s="9"/>
      <c r="C8" s="9"/>
      <c r="D8" s="9"/>
    </row>
    <row r="9" spans="1:11" x14ac:dyDescent="0.2">
      <c r="B9" s="9"/>
      <c r="C9" s="9"/>
      <c r="D9" s="9"/>
    </row>
    <row r="10" spans="1:11" x14ac:dyDescent="0.2">
      <c r="B10" s="9"/>
      <c r="C10" s="9"/>
      <c r="D10" s="9"/>
    </row>
    <row r="11" spans="1:11" x14ac:dyDescent="0.2">
      <c r="B11" s="9"/>
      <c r="C11" s="9"/>
      <c r="D1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L11"/>
  <sheetViews>
    <sheetView workbookViewId="0">
      <selection activeCell="D14" sqref="D1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2" x14ac:dyDescent="0.2">
      <c r="A2" s="1" t="s">
        <v>58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3"/>
      <c r="I2" s="1"/>
      <c r="J2" s="2">
        <v>2380000</v>
      </c>
      <c r="K2" s="2">
        <v>56000</v>
      </c>
      <c r="L2">
        <v>15</v>
      </c>
    </row>
    <row r="3" spans="1:12" x14ac:dyDescent="0.2">
      <c r="A3" s="1" t="s">
        <v>64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3"/>
      <c r="I3" s="1"/>
      <c r="J3" s="2">
        <v>2630000</v>
      </c>
      <c r="K3" s="7">
        <v>59000</v>
      </c>
      <c r="L3">
        <v>15</v>
      </c>
    </row>
    <row r="4" spans="1:12" x14ac:dyDescent="0.2">
      <c r="A4" s="4" t="s">
        <v>61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3"/>
      <c r="I4" s="1"/>
      <c r="J4" s="2">
        <v>2750000</v>
      </c>
      <c r="K4" s="7">
        <v>57000</v>
      </c>
      <c r="L4">
        <v>15</v>
      </c>
    </row>
    <row r="5" spans="1:12" x14ac:dyDescent="0.2">
      <c r="A5" s="4" t="s">
        <v>59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3"/>
      <c r="I5" s="1"/>
      <c r="J5" s="2">
        <v>330000</v>
      </c>
      <c r="K5" s="7">
        <v>550000</v>
      </c>
      <c r="L5">
        <v>35</v>
      </c>
    </row>
    <row r="6" spans="1:12" x14ac:dyDescent="0.2">
      <c r="A6" s="4" t="s">
        <v>62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3"/>
      <c r="I6" s="1"/>
      <c r="J6" s="2">
        <v>730000</v>
      </c>
      <c r="K6" s="7">
        <v>540000</v>
      </c>
      <c r="L6">
        <v>45</v>
      </c>
    </row>
    <row r="7" spans="1:12" x14ac:dyDescent="0.2">
      <c r="A7" s="4" t="s">
        <v>63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3"/>
      <c r="I7" s="1"/>
      <c r="J7" s="2">
        <v>340000</v>
      </c>
      <c r="K7" s="7">
        <v>600000</v>
      </c>
      <c r="L7">
        <v>35</v>
      </c>
    </row>
    <row r="8" spans="1:12" x14ac:dyDescent="0.2">
      <c r="A8" s="3" t="s">
        <v>60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3"/>
      <c r="I8" s="1"/>
      <c r="J8" s="2">
        <v>590000</v>
      </c>
      <c r="K8" s="7">
        <v>560000</v>
      </c>
      <c r="L8">
        <v>55</v>
      </c>
    </row>
    <row r="10" spans="1:12" x14ac:dyDescent="0.2">
      <c r="B10" s="1"/>
    </row>
    <row r="11" spans="1:12" x14ac:dyDescent="0.2">
      <c r="B11" s="1">
        <v>27.5</v>
      </c>
      <c r="C11" s="16">
        <v>28.5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B3A1-D71F-474D-89CB-3BE7E854D433}">
  <dimension ref="A1:K9"/>
  <sheetViews>
    <sheetView workbookViewId="0">
      <selection activeCell="A2" sqref="A2:XFD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ht="18" x14ac:dyDescent="0.2">
      <c r="A2" t="s">
        <v>73</v>
      </c>
      <c r="B2" s="15">
        <v>35.5944</v>
      </c>
      <c r="C2" s="15">
        <v>111.63420000000001</v>
      </c>
      <c r="D2" s="15">
        <v>1837</v>
      </c>
      <c r="E2" s="15">
        <v>8</v>
      </c>
      <c r="F2" s="15">
        <v>2.25</v>
      </c>
      <c r="G2" s="15">
        <v>0.99</v>
      </c>
      <c r="H2" s="15">
        <v>0</v>
      </c>
      <c r="J2" s="15">
        <f>4.09*10^6</f>
        <v>4090000</v>
      </c>
      <c r="K2">
        <f>0.45*10^6</f>
        <v>450000</v>
      </c>
    </row>
    <row r="3" spans="1:11" ht="18" x14ac:dyDescent="0.2">
      <c r="A3" t="s">
        <v>74</v>
      </c>
      <c r="B3" s="15">
        <v>35.605600000000003</v>
      </c>
      <c r="C3" s="15">
        <v>111.61750000000001</v>
      </c>
      <c r="D3" s="15">
        <v>1807</v>
      </c>
      <c r="E3" s="15">
        <v>8</v>
      </c>
      <c r="F3" s="15">
        <v>2.2599999999999998</v>
      </c>
      <c r="G3" s="15">
        <v>0.99</v>
      </c>
      <c r="H3" s="15">
        <v>0</v>
      </c>
      <c r="J3" s="15">
        <f>4.42*10^6</f>
        <v>4420000</v>
      </c>
      <c r="K3">
        <f>0.44*10^6</f>
        <v>440000</v>
      </c>
    </row>
    <row r="4" spans="1:11" ht="18" x14ac:dyDescent="0.2">
      <c r="A4" t="s">
        <v>75</v>
      </c>
      <c r="B4" s="15">
        <v>35.61</v>
      </c>
      <c r="C4" s="15">
        <v>111.61369999999999</v>
      </c>
      <c r="D4" s="15">
        <v>1810</v>
      </c>
      <c r="E4" s="15">
        <v>13</v>
      </c>
      <c r="F4" s="15">
        <v>3.15</v>
      </c>
      <c r="G4" s="15">
        <v>0.99</v>
      </c>
      <c r="H4" s="15">
        <v>0</v>
      </c>
      <c r="J4" s="15">
        <f>4.17*10^6</f>
        <v>4170000</v>
      </c>
      <c r="K4">
        <f>0.39*10^6</f>
        <v>390000</v>
      </c>
    </row>
    <row r="5" spans="1:11" ht="18" x14ac:dyDescent="0.2">
      <c r="A5" t="s">
        <v>76</v>
      </c>
      <c r="B5" s="15">
        <v>35.616300000000003</v>
      </c>
      <c r="C5" s="15">
        <v>111.60809999999999</v>
      </c>
      <c r="D5" s="15">
        <v>1800</v>
      </c>
      <c r="E5" s="15">
        <v>13</v>
      </c>
      <c r="F5" s="15">
        <v>2.2799999999999998</v>
      </c>
      <c r="G5" s="15">
        <v>1</v>
      </c>
      <c r="H5" s="15">
        <v>0</v>
      </c>
      <c r="J5" s="15">
        <f>4.16*10^6</f>
        <v>4160000</v>
      </c>
      <c r="K5">
        <f>0.46*10^6</f>
        <v>460000</v>
      </c>
    </row>
    <row r="6" spans="1:11" ht="18" x14ac:dyDescent="0.2">
      <c r="A6" t="s">
        <v>77</v>
      </c>
      <c r="B6" s="15">
        <v>35.624499999999998</v>
      </c>
      <c r="C6" s="15">
        <v>111.6057</v>
      </c>
      <c r="D6" s="15">
        <v>1778</v>
      </c>
      <c r="E6" s="15">
        <v>13</v>
      </c>
      <c r="F6" s="15">
        <v>2.29</v>
      </c>
      <c r="G6" s="15">
        <v>1</v>
      </c>
      <c r="H6" s="15">
        <v>0</v>
      </c>
      <c r="J6" s="15">
        <f>3.9*10^6</f>
        <v>3900000</v>
      </c>
      <c r="K6">
        <f>0.45*10^6</f>
        <v>450000</v>
      </c>
    </row>
    <row r="7" spans="1:11" ht="18" x14ac:dyDescent="0.2">
      <c r="A7" t="s">
        <v>78</v>
      </c>
      <c r="B7" s="15">
        <v>35.616399999999999</v>
      </c>
      <c r="C7" s="15">
        <v>111.6087</v>
      </c>
      <c r="D7" s="15">
        <v>1800</v>
      </c>
      <c r="E7" s="15">
        <v>13</v>
      </c>
      <c r="F7" s="15">
        <v>2.4500000000000002</v>
      </c>
      <c r="G7" s="15">
        <v>1</v>
      </c>
      <c r="H7" s="15">
        <v>0</v>
      </c>
      <c r="J7" s="15">
        <f>4.02*10^6</f>
        <v>4019999.9999999995</v>
      </c>
      <c r="K7">
        <f>0.52*10^6</f>
        <v>520000</v>
      </c>
    </row>
    <row r="8" spans="1:11" ht="18" x14ac:dyDescent="0.2">
      <c r="A8" t="s">
        <v>79</v>
      </c>
      <c r="B8" s="15">
        <v>35.609400000000001</v>
      </c>
      <c r="C8" s="15">
        <v>111.6135</v>
      </c>
      <c r="D8" s="15">
        <v>1810</v>
      </c>
      <c r="E8" s="15">
        <v>13</v>
      </c>
      <c r="F8" s="15">
        <v>2.29</v>
      </c>
      <c r="G8" s="15">
        <v>0.99</v>
      </c>
      <c r="H8" s="15">
        <v>0</v>
      </c>
      <c r="J8" s="15">
        <f>4.17*10^6</f>
        <v>4170000</v>
      </c>
      <c r="K8">
        <f>0.66*10^6</f>
        <v>660000</v>
      </c>
    </row>
    <row r="9" spans="1:11" ht="18" x14ac:dyDescent="0.2">
      <c r="A9" t="s">
        <v>80</v>
      </c>
      <c r="B9" s="15">
        <v>35.587800000000001</v>
      </c>
      <c r="C9" s="15">
        <v>111.6345</v>
      </c>
      <c r="D9" s="15">
        <v>1876</v>
      </c>
      <c r="E9" s="15">
        <v>6</v>
      </c>
      <c r="F9" s="15">
        <v>2.25</v>
      </c>
      <c r="G9" s="15">
        <v>0.99</v>
      </c>
      <c r="H9" s="15">
        <v>0</v>
      </c>
      <c r="J9" s="15">
        <f>4.36*10^6</f>
        <v>4360000</v>
      </c>
      <c r="K9">
        <f>0.47*10^6</f>
        <v>470000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48F5-9F92-C54B-B1C5-62D0C1F0285D}">
  <dimension ref="A1:K39"/>
  <sheetViews>
    <sheetView workbookViewId="0">
      <selection activeCell="A2" sqref="A2:XFD18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30</v>
      </c>
      <c r="B2" s="3">
        <v>41.204810000000002</v>
      </c>
      <c r="C2" s="3">
        <v>101.66759999999999</v>
      </c>
      <c r="D2" s="1">
        <v>997</v>
      </c>
      <c r="E2" s="1">
        <v>3</v>
      </c>
      <c r="F2" s="1">
        <v>3</v>
      </c>
      <c r="G2" s="1">
        <v>1</v>
      </c>
      <c r="H2" s="13">
        <v>0</v>
      </c>
      <c r="I2" s="1"/>
      <c r="J2" s="14">
        <v>6300000</v>
      </c>
      <c r="K2" s="14">
        <v>1100000</v>
      </c>
    </row>
    <row r="3" spans="1:11" x14ac:dyDescent="0.2">
      <c r="A3" s="1" t="s">
        <v>31</v>
      </c>
      <c r="B3" s="3">
        <v>41.204810000000002</v>
      </c>
      <c r="C3" s="3">
        <v>101.66759999999999</v>
      </c>
      <c r="D3" s="1">
        <v>997</v>
      </c>
      <c r="E3" s="1">
        <v>3</v>
      </c>
      <c r="F3" s="1">
        <v>3</v>
      </c>
      <c r="G3" s="1">
        <v>1</v>
      </c>
      <c r="H3" s="13">
        <v>0</v>
      </c>
      <c r="I3" s="1"/>
      <c r="J3" s="14">
        <v>27600000</v>
      </c>
      <c r="K3" s="14">
        <v>2100000</v>
      </c>
    </row>
    <row r="4" spans="1:11" x14ac:dyDescent="0.2">
      <c r="A4" s="4" t="s">
        <v>32</v>
      </c>
      <c r="B4" s="3">
        <v>41.204810000000002</v>
      </c>
      <c r="C4" s="3">
        <v>101.66759999999999</v>
      </c>
      <c r="D4" s="1">
        <v>997</v>
      </c>
      <c r="E4" s="1">
        <v>3</v>
      </c>
      <c r="F4" s="1">
        <v>3</v>
      </c>
      <c r="G4" s="1">
        <v>1</v>
      </c>
      <c r="H4" s="13">
        <v>0</v>
      </c>
      <c r="I4" s="1"/>
      <c r="J4" s="14">
        <v>35700000</v>
      </c>
      <c r="K4" s="14">
        <v>2000000</v>
      </c>
    </row>
    <row r="5" spans="1:11" x14ac:dyDescent="0.2">
      <c r="A5" s="4" t="s">
        <v>33</v>
      </c>
      <c r="B5" s="3">
        <v>41.204810000000002</v>
      </c>
      <c r="C5" s="3">
        <v>101.66759999999999</v>
      </c>
      <c r="D5" s="1">
        <v>997</v>
      </c>
      <c r="E5" s="1">
        <v>3</v>
      </c>
      <c r="F5" s="1">
        <v>3</v>
      </c>
      <c r="G5" s="1">
        <v>1</v>
      </c>
      <c r="H5" s="13">
        <v>0</v>
      </c>
      <c r="I5" s="1"/>
      <c r="J5" s="14">
        <v>2300000</v>
      </c>
      <c r="K5" s="14">
        <v>1300000</v>
      </c>
    </row>
    <row r="6" spans="1:11" x14ac:dyDescent="0.2">
      <c r="A6" s="3" t="s">
        <v>34</v>
      </c>
      <c r="B6" s="3">
        <v>41.204810000000002</v>
      </c>
      <c r="C6" s="3">
        <v>101.66759999999999</v>
      </c>
      <c r="D6" s="1">
        <v>997</v>
      </c>
      <c r="E6" s="1">
        <v>3</v>
      </c>
      <c r="F6" s="1">
        <v>3</v>
      </c>
      <c r="G6" s="1">
        <v>1</v>
      </c>
      <c r="H6" s="13">
        <v>0</v>
      </c>
      <c r="I6" s="1"/>
      <c r="J6" s="14">
        <v>313000000</v>
      </c>
      <c r="K6" s="14">
        <v>10000000</v>
      </c>
    </row>
    <row r="7" spans="1:11" x14ac:dyDescent="0.2">
      <c r="A7" s="3" t="s">
        <v>35</v>
      </c>
      <c r="B7" s="3">
        <v>41.497039999999998</v>
      </c>
      <c r="C7" s="3">
        <v>102.1728</v>
      </c>
      <c r="D7" s="3">
        <v>1122</v>
      </c>
      <c r="E7" s="1">
        <v>3</v>
      </c>
      <c r="F7" s="1">
        <v>3</v>
      </c>
      <c r="G7" s="1">
        <v>1</v>
      </c>
      <c r="H7" s="13">
        <v>0</v>
      </c>
      <c r="I7" s="1"/>
      <c r="J7" s="14">
        <v>37300000</v>
      </c>
      <c r="K7" s="14">
        <v>2000000</v>
      </c>
    </row>
    <row r="8" spans="1:11" x14ac:dyDescent="0.2">
      <c r="A8" s="4" t="s">
        <v>36</v>
      </c>
      <c r="B8" s="3">
        <v>41.497039999999998</v>
      </c>
      <c r="C8" s="3">
        <v>102.1728</v>
      </c>
      <c r="D8" s="3">
        <v>1122</v>
      </c>
      <c r="E8" s="1">
        <v>3</v>
      </c>
      <c r="F8" s="1">
        <v>3</v>
      </c>
      <c r="G8" s="1">
        <v>1</v>
      </c>
      <c r="H8" s="13">
        <v>0</v>
      </c>
      <c r="I8" s="1"/>
      <c r="J8" s="14">
        <v>1270000</v>
      </c>
      <c r="K8" s="14">
        <v>1300000</v>
      </c>
    </row>
    <row r="9" spans="1:11" x14ac:dyDescent="0.2">
      <c r="A9" s="4" t="s">
        <v>37</v>
      </c>
      <c r="B9" s="3">
        <v>41.497039999999998</v>
      </c>
      <c r="C9" s="3">
        <v>102.1728</v>
      </c>
      <c r="D9" s="3">
        <v>1122</v>
      </c>
      <c r="E9" s="1">
        <v>3</v>
      </c>
      <c r="F9" s="1">
        <v>3</v>
      </c>
      <c r="G9" s="1">
        <v>1</v>
      </c>
      <c r="H9" s="13">
        <v>0</v>
      </c>
      <c r="I9" s="1"/>
      <c r="J9" s="14">
        <v>27100000</v>
      </c>
      <c r="K9" s="14">
        <v>1800000</v>
      </c>
    </row>
    <row r="10" spans="1:11" x14ac:dyDescent="0.2">
      <c r="A10" s="1" t="s">
        <v>38</v>
      </c>
      <c r="B10" s="3">
        <v>41.497039999999998</v>
      </c>
      <c r="C10" s="3">
        <v>102.1728</v>
      </c>
      <c r="D10" s="3">
        <v>1122</v>
      </c>
      <c r="E10" s="1">
        <v>3</v>
      </c>
      <c r="F10" s="1">
        <v>3</v>
      </c>
      <c r="G10" s="1">
        <v>1</v>
      </c>
      <c r="H10" s="13">
        <v>0</v>
      </c>
      <c r="I10" s="1"/>
      <c r="J10" s="14">
        <v>55100000</v>
      </c>
      <c r="K10" s="14">
        <v>2700000</v>
      </c>
    </row>
    <row r="11" spans="1:11" x14ac:dyDescent="0.2">
      <c r="A11" s="1" t="s">
        <v>39</v>
      </c>
      <c r="B11" s="3">
        <v>41.497039999999998</v>
      </c>
      <c r="C11" s="3">
        <v>102.1728</v>
      </c>
      <c r="D11" s="3">
        <v>1122</v>
      </c>
      <c r="E11" s="1">
        <v>3</v>
      </c>
      <c r="F11" s="1">
        <v>3</v>
      </c>
      <c r="G11" s="1">
        <v>1</v>
      </c>
      <c r="H11" s="13">
        <v>0</v>
      </c>
      <c r="I11" s="1"/>
      <c r="J11" s="14">
        <v>17700000</v>
      </c>
      <c r="K11" s="14">
        <v>950000</v>
      </c>
    </row>
    <row r="12" spans="1:11" x14ac:dyDescent="0.2">
      <c r="A12" s="5" t="s">
        <v>40</v>
      </c>
      <c r="B12" s="3">
        <v>41.210970000000003</v>
      </c>
      <c r="C12" s="3">
        <v>101.5956</v>
      </c>
      <c r="D12" s="1">
        <v>941</v>
      </c>
      <c r="E12" s="1">
        <v>3</v>
      </c>
      <c r="F12" s="1">
        <v>3</v>
      </c>
      <c r="G12" s="1">
        <v>1</v>
      </c>
      <c r="H12" s="13">
        <v>0</v>
      </c>
      <c r="I12" s="1"/>
      <c r="J12" s="14">
        <v>9100000</v>
      </c>
      <c r="K12" s="14">
        <v>1300000</v>
      </c>
    </row>
    <row r="13" spans="1:11" x14ac:dyDescent="0.2">
      <c r="A13" s="1" t="s">
        <v>41</v>
      </c>
      <c r="B13" s="3">
        <v>41.210970000000003</v>
      </c>
      <c r="C13" s="3">
        <v>101.5956</v>
      </c>
      <c r="D13" s="1">
        <v>941</v>
      </c>
      <c r="E13" s="1">
        <v>3</v>
      </c>
      <c r="F13" s="1">
        <v>3</v>
      </c>
      <c r="G13" s="1">
        <v>1</v>
      </c>
      <c r="H13" s="13">
        <v>0</v>
      </c>
      <c r="I13" s="1"/>
      <c r="J13" s="14">
        <v>2400000</v>
      </c>
      <c r="K13" s="14">
        <v>1100000</v>
      </c>
    </row>
    <row r="14" spans="1:11" x14ac:dyDescent="0.2">
      <c r="A14" s="1" t="s">
        <v>42</v>
      </c>
      <c r="B14" s="3">
        <v>41.210970000000003</v>
      </c>
      <c r="C14" s="3">
        <v>101.5956</v>
      </c>
      <c r="D14" s="1">
        <v>941</v>
      </c>
      <c r="E14" s="1">
        <v>3</v>
      </c>
      <c r="F14" s="1">
        <v>3</v>
      </c>
      <c r="G14" s="1">
        <v>1</v>
      </c>
      <c r="H14" s="13">
        <v>0</v>
      </c>
      <c r="I14" s="1"/>
      <c r="J14" s="14">
        <v>6200000</v>
      </c>
      <c r="K14" s="14">
        <v>1400000</v>
      </c>
    </row>
    <row r="15" spans="1:11" x14ac:dyDescent="0.2">
      <c r="A15" s="1" t="s">
        <v>43</v>
      </c>
      <c r="B15" s="3">
        <v>41.210970000000003</v>
      </c>
      <c r="C15" s="3">
        <v>101.5956</v>
      </c>
      <c r="D15" s="1">
        <v>941</v>
      </c>
      <c r="E15" s="1">
        <v>3</v>
      </c>
      <c r="F15" s="1">
        <v>3</v>
      </c>
      <c r="G15" s="1">
        <v>1</v>
      </c>
      <c r="H15" s="13">
        <v>0</v>
      </c>
      <c r="I15" s="1"/>
      <c r="J15" s="14">
        <v>53600000</v>
      </c>
      <c r="K15" s="14">
        <v>2600000</v>
      </c>
    </row>
    <row r="16" spans="1:11" x14ac:dyDescent="0.2">
      <c r="A16" s="3" t="s">
        <v>44</v>
      </c>
      <c r="B16" s="3">
        <v>41.210970000000003</v>
      </c>
      <c r="C16" s="3">
        <v>101.5956</v>
      </c>
      <c r="D16" s="1">
        <v>941</v>
      </c>
      <c r="E16" s="1">
        <v>3</v>
      </c>
      <c r="F16" s="1">
        <v>3</v>
      </c>
      <c r="G16" s="1">
        <v>1</v>
      </c>
      <c r="H16" s="13">
        <v>0</v>
      </c>
      <c r="I16" s="1"/>
      <c r="J16" s="14">
        <v>19900000</v>
      </c>
      <c r="K16" s="14">
        <v>1700000</v>
      </c>
    </row>
    <row r="17" spans="1:11" x14ac:dyDescent="0.2">
      <c r="A17" s="3" t="s">
        <v>45</v>
      </c>
      <c r="B17" s="3">
        <v>41.210970000000003</v>
      </c>
      <c r="C17" s="3">
        <v>101.5956</v>
      </c>
      <c r="D17" s="1">
        <v>941</v>
      </c>
      <c r="E17" s="1">
        <v>3</v>
      </c>
      <c r="F17" s="1">
        <v>3</v>
      </c>
      <c r="G17" s="1">
        <v>1</v>
      </c>
      <c r="H17" s="13">
        <v>0</v>
      </c>
      <c r="I17" s="1"/>
      <c r="J17" s="14">
        <v>45700000</v>
      </c>
      <c r="K17" s="14">
        <v>2300000</v>
      </c>
    </row>
    <row r="18" spans="1:11" x14ac:dyDescent="0.2">
      <c r="A18" s="6" t="s">
        <v>46</v>
      </c>
      <c r="B18" s="3">
        <v>41.210970000000003</v>
      </c>
      <c r="C18" s="3">
        <v>101.5956</v>
      </c>
      <c r="D18" s="1">
        <v>941</v>
      </c>
      <c r="E18" s="1">
        <v>3</v>
      </c>
      <c r="F18" s="1">
        <v>3</v>
      </c>
      <c r="G18" s="1">
        <v>1</v>
      </c>
      <c r="H18" s="13">
        <v>0</v>
      </c>
      <c r="I18" s="1"/>
      <c r="J18" s="14">
        <v>118000000</v>
      </c>
      <c r="K18" s="14">
        <v>4700000</v>
      </c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</row>
    <row r="21" spans="1:11" x14ac:dyDescent="0.2">
      <c r="A21" s="6"/>
      <c r="B21" s="12"/>
      <c r="C21" s="12"/>
      <c r="D21" s="12"/>
      <c r="E21" s="1"/>
      <c r="F21" s="1"/>
      <c r="G21" s="1"/>
      <c r="H21" s="13"/>
      <c r="I21" s="1"/>
    </row>
    <row r="23" spans="1:11" x14ac:dyDescent="0.2">
      <c r="E23" s="1"/>
      <c r="H23" s="1"/>
      <c r="I23" s="1"/>
    </row>
    <row r="24" spans="1:11" x14ac:dyDescent="0.2">
      <c r="E24" s="1"/>
      <c r="H24" s="1"/>
      <c r="I24" s="1"/>
    </row>
    <row r="25" spans="1:11" x14ac:dyDescent="0.2">
      <c r="E25" s="1"/>
      <c r="H25" s="1"/>
      <c r="I25" s="1"/>
    </row>
    <row r="26" spans="1:11" x14ac:dyDescent="0.2"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39" spans="5:9" x14ac:dyDescent="0.2">
      <c r="E39" s="1"/>
      <c r="H39" s="1"/>
      <c r="I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Active</vt:lpstr>
      <vt:lpstr>Figure 1</vt:lpstr>
      <vt:lpstr>Figure 2</vt:lpstr>
      <vt:lpstr>Figure 3</vt:lpstr>
      <vt:lpstr>Figure 5</vt:lpstr>
      <vt:lpstr>Figure 6</vt:lpstr>
      <vt:lpstr>Libarkin</vt:lpstr>
      <vt:lpstr>SPICE</vt:lpstr>
      <vt:lpstr>Sinclair</vt:lpstr>
      <vt:lpstr>Evenstar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2023-03-21T12:56:19Z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