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0E599178-1960-F846-B7E6-A8A0F4B7182C}" xr6:coauthVersionLast="47" xr6:coauthVersionMax="47" xr10:uidLastSave="{00000000-0000-0000-0000-000000000000}"/>
  <bookViews>
    <workbookView xWindow="1240" yWindow="460" windowWidth="24420" windowHeight="1668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6" sheetId="5" r:id="rId5"/>
    <sheet name="Libarkin" sheetId="11" r:id="rId6"/>
    <sheet name="SPICE" sheetId="9" r:id="rId7"/>
    <sheet name="Sinclair" sheetId="3" r:id="rId8"/>
    <sheet name="Evenstar" sheetId="2" r:id="rId9"/>
    <sheet name="README" sheetId="4" r:id="rId10"/>
  </sheets>
  <definedNames>
    <definedName name="solver_adj" localSheetId="0" hidden="1">Active!$B$74,Active!$B$79,Active!$B$81,Active!$B$82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Active!$B$85</definedName>
    <definedName name="solver_lhs1" localSheetId="3" hidden="1">'Figure 3'!$B$85</definedName>
    <definedName name="solver_lhs2" localSheetId="0" hidden="1">Active!$F$52</definedName>
    <definedName name="solver_lhs2" localSheetId="3" hidden="1">'Figure 3'!$F$52</definedName>
    <definedName name="solver_lhs3" localSheetId="0" hidden="1">Active!$F$53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Active!$F$51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1" l="1"/>
  <c r="H7" i="11"/>
  <c r="H6" i="11"/>
  <c r="H5" i="11"/>
  <c r="H4" i="11"/>
  <c r="H3" i="11"/>
  <c r="H2" i="11"/>
  <c r="K9" i="9"/>
  <c r="K8" i="9"/>
  <c r="K7" i="9"/>
  <c r="K6" i="9"/>
  <c r="K5" i="9"/>
  <c r="K4" i="9"/>
  <c r="K3" i="9"/>
  <c r="K2" i="9"/>
  <c r="J9" i="9"/>
  <c r="J8" i="9"/>
  <c r="J7" i="9"/>
  <c r="J6" i="9"/>
  <c r="J5" i="9"/>
  <c r="J4" i="9"/>
  <c r="J3" i="9"/>
  <c r="J2" i="9"/>
  <c r="K5" i="8"/>
  <c r="J5" i="8"/>
  <c r="K4" i="8"/>
  <c r="J4" i="8"/>
  <c r="K3" i="8"/>
  <c r="J3" i="8"/>
  <c r="K2" i="8"/>
  <c r="J2" i="8"/>
  <c r="K2" i="7"/>
  <c r="J2" i="7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<sst xmlns="http://schemas.openxmlformats.org/spreadsheetml/2006/main" count="179" uniqueCount="82">
  <si>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</si>
  <si>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</si>
  <si>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</si>
  <si>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</si>
  <si>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</si>
  <si>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</si>
  <si>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</si>
  <si>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</si>
  <si>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</si>
  <si>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</si>
  <si>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</si>
  <si>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</si>
  <si>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</si>
  <si>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</si>
  <si>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</si>
  <si>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</si>
  <si>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</si>
  <si>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</si>
  <si>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</si>
  <si>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</si>
  <si>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</si>
  <si>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</si>
  <si>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</si>
  <si>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</si>
  <si>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</si>
  <si>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</si>
  <si>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</si>
  <si>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</si>
  <si>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</si>
  <si>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</si>
  <si>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</si>
  <si>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</si>
  <si>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</si>
  <si>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</si>
  <si>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</si>
  <si>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</si>
  <si>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</si>
  <si>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</si>
  <si>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</si>
  <si>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</si>
  <si>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</si>
  <si>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</si>
  <si>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</si>
  <si>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</si>
  <si>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</si>
  <si>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</si>
  <si>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</si>
  <si>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</si>
  <si>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</si>
  <si>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</si>
  <si>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</si>
  <si>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</si>
  <si>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</si>
  <si>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</si>
  <si>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</si>
  <si>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from CRONUS</t>
  </si>
  <si>
    <t>recommend using 0 for long exposures</t>
  </si>
  <si>
    <t>code applies this value over the entire exposure duration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</si>
  <si>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</si>
  <si>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</si>
  <si>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</si>
  <si>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</si>
  <si>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</si>
  <si>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</si>
  <si>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</si>
  <si>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</si>
  <si>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</si>
  <si>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</si>
  <si>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</si>
  <si>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</si>
  <si>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</si>
  <si>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</si>
  <si>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</si>
  <si>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A1</t>
  </si>
  <si>
    <t>A2</t>
  </si>
  <si>
    <t>A3</t>
  </si>
  <si>
    <t>A5</t>
  </si>
  <si>
    <t>A6</t>
  </si>
  <si>
    <t>A7</t>
  </si>
  <si>
    <t>A9</t>
  </si>
  <si>
    <t>10SPC01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</si>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</sst>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7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tabSelected="1" workbookViewId="0">
      <selection activeCell="F13" sqref="F13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81</v>
      </c>
      <c r="B2" s="9">
        <v>20</v>
      </c>
      <c r="C2" s="9">
        <v>73</v>
      </c>
      <c r="D2" s="9">
        <v>0</v>
      </c>
    </row>
    <row r="3" spans="1:11" x14ac:dyDescent="0.2">
      <c r="A3" s="1"/>
      <c r="B3" s="9"/>
      <c r="C3" s="9"/>
      <c r="D3" s="9"/>
      <c r="E3" s="1"/>
      <c r="F3" s="1"/>
      <c r="G3" s="1"/>
      <c r="H3" s="13"/>
      <c r="I3" s="1"/>
      <c r="J3" s="2"/>
      <c r="K3" s="2"/>
    </row>
    <row r="4" spans="1:11" x14ac:dyDescent="0.2">
      <c r="A4" s="1"/>
      <c r="B4" s="9"/>
      <c r="C4" s="9"/>
      <c r="D4" s="9"/>
      <c r="E4" s="1"/>
      <c r="F4" s="1"/>
      <c r="G4" s="1"/>
      <c r="H4" s="13"/>
      <c r="I4" s="1"/>
      <c r="J4" s="2"/>
      <c r="K4" s="2"/>
    </row>
    <row r="5" spans="1:11" x14ac:dyDescent="0.2">
      <c r="A5" s="1"/>
      <c r="B5" s="9"/>
      <c r="C5" s="9"/>
      <c r="D5" s="9"/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1"/>
      <c r="E6" s="1"/>
      <c r="F6" s="1"/>
      <c r="G6" s="1"/>
      <c r="H6" s="13"/>
    </row>
    <row r="7" spans="1:11" x14ac:dyDescent="0.2">
      <c r="A7" s="1"/>
      <c r="B7" s="10"/>
      <c r="C7" s="10"/>
      <c r="D7" s="1"/>
      <c r="E7" s="1"/>
      <c r="F7" s="1"/>
      <c r="G7" s="1"/>
      <c r="H7" s="13"/>
    </row>
    <row r="8" spans="1:11" x14ac:dyDescent="0.2">
      <c r="A8" s="1"/>
      <c r="B8" s="10"/>
      <c r="C8" s="10"/>
      <c r="D8" s="1"/>
      <c r="E8" s="1"/>
      <c r="F8" s="1"/>
      <c r="G8" s="1"/>
      <c r="H8" s="13"/>
    </row>
    <row r="9" spans="1:11" x14ac:dyDescent="0.2">
      <c r="A9" s="1"/>
      <c r="B9" s="10"/>
      <c r="C9" s="10"/>
      <c r="D9" s="1"/>
      <c r="E9" s="1"/>
      <c r="F9" s="1"/>
      <c r="G9" s="1"/>
      <c r="H9" s="13"/>
    </row>
    <row r="10" spans="1:11" x14ac:dyDescent="0.2">
      <c r="A10" s="1"/>
      <c r="B10" s="9"/>
      <c r="C10" s="9"/>
      <c r="D10" s="1"/>
      <c r="E10" s="1"/>
      <c r="F10" s="1"/>
      <c r="G10" s="1"/>
      <c r="H10" s="13"/>
    </row>
    <row r="11" spans="1:11" x14ac:dyDescent="0.2">
      <c r="A11" s="1"/>
      <c r="B11" s="10"/>
      <c r="C11" s="10"/>
      <c r="D11" s="1"/>
      <c r="E11" s="1"/>
      <c r="F11" s="1"/>
      <c r="G11" s="1"/>
      <c r="H11" s="13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B27" s="9"/>
      <c r="E27" s="1"/>
      <c r="H27" s="1"/>
      <c r="I27" s="1"/>
    </row>
    <row r="28" spans="1:11" x14ac:dyDescent="0.2">
      <c r="B28" s="9"/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topLeftCell="B1" workbookViewId="0">
      <selection activeCell="J1" sqref="J1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/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55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56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57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68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69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70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71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72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5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66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65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67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81</v>
      </c>
      <c r="B2" s="9">
        <v>20</v>
      </c>
      <c r="C2" s="9">
        <v>73</v>
      </c>
      <c r="D2" s="9">
        <v>0</v>
      </c>
    </row>
    <row r="3" spans="1:11" x14ac:dyDescent="0.2">
      <c r="B3" s="9"/>
      <c r="C3" s="9"/>
      <c r="D3" s="9"/>
    </row>
    <row r="4" spans="1:11" x14ac:dyDescent="0.2">
      <c r="B4" s="9"/>
      <c r="C4" s="9"/>
      <c r="D4" s="9"/>
    </row>
    <row r="5" spans="1:11" x14ac:dyDescent="0.2">
      <c r="B5" s="9"/>
      <c r="C5" s="9"/>
      <c r="D5" s="9"/>
    </row>
    <row r="6" spans="1:11" x14ac:dyDescent="0.2">
      <c r="B6" s="9"/>
      <c r="C6" s="9"/>
      <c r="D6" s="9"/>
    </row>
    <row r="7" spans="1:11" x14ac:dyDescent="0.2">
      <c r="B7" s="9"/>
      <c r="C7" s="9"/>
      <c r="D7" s="9"/>
    </row>
    <row r="8" spans="1:11" x14ac:dyDescent="0.2">
      <c r="B8" s="9"/>
      <c r="C8" s="9"/>
      <c r="D8" s="9"/>
    </row>
    <row r="9" spans="1:11" x14ac:dyDescent="0.2">
      <c r="B9" s="9"/>
      <c r="C9" s="9"/>
      <c r="D9" s="9"/>
    </row>
    <row r="10" spans="1:11" x14ac:dyDescent="0.2">
      <c r="B10" s="9"/>
      <c r="C10" s="9"/>
      <c r="D10" s="9"/>
    </row>
    <row r="11" spans="1:11" x14ac:dyDescent="0.2">
      <c r="B11" s="9"/>
      <c r="C11" s="9"/>
      <c r="D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K10"/>
  <sheetViews>
    <sheetView workbookViewId="0">
      <selection activeCell="F2" sqref="F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58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>
        <f>10^-6</f>
        <v>9.9999999999999995E-7</v>
      </c>
      <c r="I2" s="1"/>
      <c r="J2" s="2">
        <v>2380000</v>
      </c>
      <c r="K2" s="2">
        <v>56000</v>
      </c>
    </row>
    <row r="3" spans="1:11" x14ac:dyDescent="0.2">
      <c r="A3" s="1" t="s">
        <v>64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>
        <f t="shared" ref="H3:H8" si="0">10^-6</f>
        <v>9.9999999999999995E-7</v>
      </c>
      <c r="I3" s="1"/>
      <c r="J3" s="2">
        <v>2630000</v>
      </c>
      <c r="K3" s="7">
        <v>59000</v>
      </c>
    </row>
    <row r="4" spans="1:11" x14ac:dyDescent="0.2">
      <c r="A4" s="4" t="s">
        <v>61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>
        <f t="shared" si="0"/>
        <v>9.9999999999999995E-7</v>
      </c>
      <c r="I4" s="1"/>
      <c r="J4" s="2">
        <v>2750000</v>
      </c>
      <c r="K4" s="7">
        <v>57000</v>
      </c>
    </row>
    <row r="5" spans="1:11" x14ac:dyDescent="0.2">
      <c r="A5" s="4" t="s">
        <v>59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>
        <f t="shared" si="0"/>
        <v>9.9999999999999995E-7</v>
      </c>
      <c r="I5" s="1"/>
      <c r="J5" s="2">
        <v>33000</v>
      </c>
      <c r="K5" s="7">
        <v>55000</v>
      </c>
    </row>
    <row r="6" spans="1:11" x14ac:dyDescent="0.2">
      <c r="A6" s="4" t="s">
        <v>62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>
        <f t="shared" si="0"/>
        <v>9.9999999999999995E-7</v>
      </c>
      <c r="I6" s="1"/>
      <c r="J6" s="2">
        <v>73000</v>
      </c>
      <c r="K6" s="7">
        <v>54000</v>
      </c>
    </row>
    <row r="7" spans="1:11" x14ac:dyDescent="0.2">
      <c r="A7" s="4" t="s">
        <v>63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>
        <f t="shared" si="0"/>
        <v>9.9999999999999995E-7</v>
      </c>
      <c r="I7" s="1"/>
      <c r="J7" s="2">
        <v>34000</v>
      </c>
      <c r="K7" s="7">
        <v>60000</v>
      </c>
    </row>
    <row r="8" spans="1:11" x14ac:dyDescent="0.2">
      <c r="A8" s="3" t="s">
        <v>60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>
        <f t="shared" si="0"/>
        <v>9.9999999999999995E-7</v>
      </c>
      <c r="I8" s="1"/>
      <c r="J8" s="2">
        <v>59000</v>
      </c>
      <c r="K8" s="7">
        <v>56000</v>
      </c>
    </row>
    <row r="10" spans="1:11" x14ac:dyDescent="0.2">
      <c r="B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B3A1-D71F-474D-89CB-3BE7E854D433}">
  <dimension ref="A1:K9"/>
  <sheetViews>
    <sheetView workbookViewId="0">
      <selection activeCell="A2" sqref="A2:XFD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ht="18" x14ac:dyDescent="0.2">
      <c r="A2" t="s">
        <v>73</v>
      </c>
      <c r="B2" s="15">
        <v>35.5944</v>
      </c>
      <c r="C2" s="15">
        <v>111.63420000000001</v>
      </c>
      <c r="D2" s="15">
        <v>1837</v>
      </c>
      <c r="E2" s="15">
        <v>8</v>
      </c>
      <c r="F2" s="15">
        <v>2.25</v>
      </c>
      <c r="G2" s="15">
        <v>0.99</v>
      </c>
      <c r="H2" s="15">
        <v>0</v>
      </c>
      <c r="J2" s="15">
        <f>4.09*10^6</f>
        <v>4090000</v>
      </c>
      <c r="K2">
        <f>0.45*10^6</f>
        <v>450000</v>
      </c>
    </row>
    <row r="3" spans="1:11" ht="18" x14ac:dyDescent="0.2">
      <c r="A3" t="s">
        <v>74</v>
      </c>
      <c r="B3" s="15">
        <v>35.605600000000003</v>
      </c>
      <c r="C3" s="15">
        <v>111.61750000000001</v>
      </c>
      <c r="D3" s="15">
        <v>1807</v>
      </c>
      <c r="E3" s="15">
        <v>8</v>
      </c>
      <c r="F3" s="15">
        <v>2.2599999999999998</v>
      </c>
      <c r="G3" s="15">
        <v>0.99</v>
      </c>
      <c r="H3" s="15">
        <v>0</v>
      </c>
      <c r="J3" s="15">
        <f>4.42*10^6</f>
        <v>4420000</v>
      </c>
      <c r="K3">
        <f>0.44*10^6</f>
        <v>440000</v>
      </c>
    </row>
    <row r="4" spans="1:11" ht="18" x14ac:dyDescent="0.2">
      <c r="A4" t="s">
        <v>75</v>
      </c>
      <c r="B4" s="15">
        <v>35.61</v>
      </c>
      <c r="C4" s="15">
        <v>111.61369999999999</v>
      </c>
      <c r="D4" s="15">
        <v>1810</v>
      </c>
      <c r="E4" s="15">
        <v>13</v>
      </c>
      <c r="F4" s="15">
        <v>3.15</v>
      </c>
      <c r="G4" s="15">
        <v>0.99</v>
      </c>
      <c r="H4" s="15">
        <v>0</v>
      </c>
      <c r="J4" s="15">
        <f>4.17*10^6</f>
        <v>4170000</v>
      </c>
      <c r="K4">
        <f>0.39*10^6</f>
        <v>390000</v>
      </c>
    </row>
    <row r="5" spans="1:11" ht="18" x14ac:dyDescent="0.2">
      <c r="A5" t="s">
        <v>76</v>
      </c>
      <c r="B5" s="15">
        <v>35.616300000000003</v>
      </c>
      <c r="C5" s="15">
        <v>111.60809999999999</v>
      </c>
      <c r="D5" s="15">
        <v>1800</v>
      </c>
      <c r="E5" s="15">
        <v>13</v>
      </c>
      <c r="F5" s="15">
        <v>2.2799999999999998</v>
      </c>
      <c r="G5" s="15">
        <v>1</v>
      </c>
      <c r="H5" s="15">
        <v>0</v>
      </c>
      <c r="J5" s="15">
        <f>4.16*10^6</f>
        <v>4160000</v>
      </c>
      <c r="K5">
        <f>0.46*10^6</f>
        <v>460000</v>
      </c>
    </row>
    <row r="6" spans="1:11" ht="18" x14ac:dyDescent="0.2">
      <c r="A6" t="s">
        <v>77</v>
      </c>
      <c r="B6" s="15">
        <v>35.624499999999998</v>
      </c>
      <c r="C6" s="15">
        <v>111.6057</v>
      </c>
      <c r="D6" s="15">
        <v>1778</v>
      </c>
      <c r="E6" s="15">
        <v>13</v>
      </c>
      <c r="F6" s="15">
        <v>2.29</v>
      </c>
      <c r="G6" s="15">
        <v>1</v>
      </c>
      <c r="H6" s="15">
        <v>0</v>
      </c>
      <c r="J6" s="15">
        <f>3.9*10^6</f>
        <v>3900000</v>
      </c>
      <c r="K6">
        <f>0.45*10^6</f>
        <v>450000</v>
      </c>
    </row>
    <row r="7" spans="1:11" ht="18" x14ac:dyDescent="0.2">
      <c r="A7" t="s">
        <v>78</v>
      </c>
      <c r="B7" s="15">
        <v>35.616399999999999</v>
      </c>
      <c r="C7" s="15">
        <v>111.6087</v>
      </c>
      <c r="D7" s="15">
        <v>1800</v>
      </c>
      <c r="E7" s="15">
        <v>13</v>
      </c>
      <c r="F7" s="15">
        <v>2.4500000000000002</v>
      </c>
      <c r="G7" s="15">
        <v>1</v>
      </c>
      <c r="H7" s="15">
        <v>0</v>
      </c>
      <c r="J7" s="15">
        <f>4.02*10^6</f>
        <v>4019999.9999999995</v>
      </c>
      <c r="K7">
        <f>0.52*10^6</f>
        <v>520000</v>
      </c>
    </row>
    <row r="8" spans="1:11" ht="18" x14ac:dyDescent="0.2">
      <c r="A8" t="s">
        <v>79</v>
      </c>
      <c r="B8" s="15">
        <v>35.609400000000001</v>
      </c>
      <c r="C8" s="15">
        <v>111.6135</v>
      </c>
      <c r="D8" s="15">
        <v>1810</v>
      </c>
      <c r="E8" s="15">
        <v>13</v>
      </c>
      <c r="F8" s="15">
        <v>2.29</v>
      </c>
      <c r="G8" s="15">
        <v>0.99</v>
      </c>
      <c r="H8" s="15">
        <v>0</v>
      </c>
      <c r="J8" s="15">
        <f>4.17*10^6</f>
        <v>4170000</v>
      </c>
      <c r="K8">
        <f>0.66*10^6</f>
        <v>660000</v>
      </c>
    </row>
    <row r="9" spans="1:11" ht="18" x14ac:dyDescent="0.2">
      <c r="A9" t="s">
        <v>80</v>
      </c>
      <c r="B9" s="15">
        <v>35.587800000000001</v>
      </c>
      <c r="C9" s="15">
        <v>111.6345</v>
      </c>
      <c r="D9" s="15">
        <v>1876</v>
      </c>
      <c r="E9" s="15">
        <v>6</v>
      </c>
      <c r="F9" s="15">
        <v>2.25</v>
      </c>
      <c r="G9" s="15">
        <v>0.99</v>
      </c>
      <c r="H9" s="15">
        <v>0</v>
      </c>
      <c r="J9" s="15">
        <f>4.36*10^6</f>
        <v>4360000</v>
      </c>
      <c r="K9">
        <f>0.47*10^6</f>
        <v>470000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</vt:lpstr>
      <vt:lpstr>Figure 1</vt:lpstr>
      <vt:lpstr>Figure 2</vt:lpstr>
      <vt:lpstr>Figure 3</vt:lpstr>
      <vt:lpstr>Figure 6</vt:lpstr>
      <vt:lpstr>Libarkin</vt:lpstr>
      <vt:lpstr>SPICE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2023-02-28T19:12:27Z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