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socarumi-my.sharepoint.com/personal/murad_mirzayev_socarupstream_az1/Documents/Desktop/Karabakh/"/>
    </mc:Choice>
  </mc:AlternateContent>
  <xr:revisionPtr revIDLastSave="10" documentId="13_ncr:1_{FAC482A0-868E-4406-91B4-4B85AB907A3C}" xr6:coauthVersionLast="47" xr6:coauthVersionMax="47" xr10:uidLastSave="{3C844C7C-0F1A-4DE5-B5D5-B07FE0FDC3E6}"/>
  <bookViews>
    <workbookView xWindow="-108" yWindow="-108" windowWidth="23256" windowHeight="12576" activeTab="3" xr2:uid="{00000000-000D-0000-FFFF-FFFF00000000}"/>
  </bookViews>
  <sheets>
    <sheet name="Intro" sheetId="1" r:id="rId1"/>
    <sheet name="Model Inputs" sheetId="2" r:id="rId2"/>
    <sheet name="RSA Model" sheetId="3" r:id="rId3"/>
    <sheet name="Cash Flow" sheetId="4" r:id="rId4"/>
    <sheet name="Result" sheetId="5" r:id="rId5"/>
  </sheets>
  <definedNames>
    <definedName name="abandonment_fund_CAPEX" localSheetId="2">#REF!</definedName>
    <definedName name="abandonment_fund_CAPEX">#REF!</definedName>
    <definedName name="appraisal_well_sensitivity" localSheetId="2">#REF!</definedName>
    <definedName name="appraisal_well_sensitivity">#REF!</definedName>
    <definedName name="asd">#REF!</definedName>
    <definedName name="associated_gas_production_sensitivity" localSheetId="2">#REF!</definedName>
    <definedName name="associated_gas_production_sensitivity">#REF!</definedName>
    <definedName name="brownfield_sensitivity" localSheetId="2">#REF!</definedName>
    <definedName name="brownfield_sensitivity">#REF!</definedName>
    <definedName name="capex_scenario" localSheetId="2">#REF!</definedName>
    <definedName name="capex_scenario">#REF!</definedName>
    <definedName name="condensate_production_sensitivity" localSheetId="2">#REF!</definedName>
    <definedName name="condensate_production_sensitivity">#REF!</definedName>
    <definedName name="contingency_sensitivity" localSheetId="2">#REF!</definedName>
    <definedName name="contingency_sensitivity">#REF!</definedName>
    <definedName name="discount_rate" localSheetId="2">#REF!</definedName>
    <definedName name="discount_rate">#REF!</definedName>
    <definedName name="discounting_year" localSheetId="2">#REF!</definedName>
    <definedName name="discounting_year">#REF!</definedName>
    <definedName name="dw_studies_sensitivity" localSheetId="2">#REF!</definedName>
    <definedName name="dw_studies_sensitivity">#REF!</definedName>
    <definedName name="economic_limit" localSheetId="2">#REF!</definedName>
    <definedName name="economic_limit">#REF!</definedName>
    <definedName name="environmental_sensitivity" localSheetId="2">#REF!</definedName>
    <definedName name="environmental_sensitivity">#REF!</definedName>
    <definedName name="Equinor_share" localSheetId="2">#REF!</definedName>
    <definedName name="Equinor_share">#REF!</definedName>
    <definedName name="Equinor_WACC" localSheetId="2">#REF!</definedName>
    <definedName name="Equinor_WACC">#REF!</definedName>
    <definedName name="export">Intro!$C$17</definedName>
    <definedName name="flowlines_sensitivity" localSheetId="2">#REF!</definedName>
    <definedName name="flowlines_sensitivity">#REF!</definedName>
    <definedName name="gas_price" localSheetId="2">#REF!</definedName>
    <definedName name="gas_price">#REF!</definedName>
    <definedName name="gas_price_sensitivity" localSheetId="2">#REF!</definedName>
    <definedName name="gas_price_sensitivity">#REF!</definedName>
    <definedName name="gas_production_cost" localSheetId="2">#REF!</definedName>
    <definedName name="gas_production_cost">#REF!</definedName>
    <definedName name="gas_transportation_tariff" localSheetId="2">#REF!</definedName>
    <definedName name="gas_transportation_tariff">#REF!</definedName>
    <definedName name="inflation_year" localSheetId="2">#REF!</definedName>
    <definedName name="inflation_year">#REF!</definedName>
    <definedName name="jacket_sensitivity" localSheetId="2">#REF!</definedName>
    <definedName name="jacket_sensitivity">#REF!</definedName>
    <definedName name="legal_limit_year" localSheetId="2">#REF!</definedName>
    <definedName name="legal_limit_year">#REF!</definedName>
    <definedName name="nonassociated_gas_production_sensitivity" localSheetId="2">#REF!</definedName>
    <definedName name="nonassociated_gas_production_sensitivity">#REF!</definedName>
    <definedName name="oil_price" localSheetId="2">#REF!</definedName>
    <definedName name="oil_price">#REF!</definedName>
    <definedName name="oil_price_sensitivity" localSheetId="2">#REF!</definedName>
    <definedName name="oil_price_sensitivity">#REF!</definedName>
    <definedName name="oil_production_cost" localSheetId="2">#REF!</definedName>
    <definedName name="oil_production_cost">#REF!</definedName>
    <definedName name="oil_production_sensitivity" localSheetId="2">#REF!</definedName>
    <definedName name="oil_production_sensitivity">#REF!</definedName>
    <definedName name="oil_transport_tariff" localSheetId="2">#REF!</definedName>
    <definedName name="oil_transport_tariff">#REF!</definedName>
    <definedName name="owner_cost_sensitivity" localSheetId="2">#REF!</definedName>
    <definedName name="owner_cost_sensitivity">#REF!</definedName>
    <definedName name="pipeline_sensitivity" localSheetId="2">#REF!</definedName>
    <definedName name="pipeline_sensitivity">#REF!</definedName>
    <definedName name="production_scenario" localSheetId="2">#REF!</definedName>
    <definedName name="production_scenario">#REF!</definedName>
    <definedName name="recovery_factor" localSheetId="2">#REF!</definedName>
    <definedName name="recovery_factor">#REF!</definedName>
    <definedName name="rig_equipment_sensitivity" localSheetId="2">#REF!</definedName>
    <definedName name="rig_equipment_sensitivity">#REF!</definedName>
    <definedName name="RSA_WACC" localSheetId="2">#REF!</definedName>
    <definedName name="RSA_WACC">#REF!</definedName>
    <definedName name="SOCAR_Karabakh_share" localSheetId="2">#REF!</definedName>
    <definedName name="SOCAR_Karabakh_share">#REF!</definedName>
    <definedName name="SOCAR_Karabakh_WACC" localSheetId="2">#REF!</definedName>
    <definedName name="SOCAR_Karabakh_WACC">#REF!</definedName>
    <definedName name="SOFAZ_WACC" localSheetId="2">#REF!</definedName>
    <definedName name="SOFAZ_WACC">#REF!</definedName>
    <definedName name="sps_sensitivity" localSheetId="2">#REF!</definedName>
    <definedName name="sps_sensitivity">#REF!</definedName>
    <definedName name="tax_rate" localSheetId="2">#REF!</definedName>
    <definedName name="tax_rate">#REF!</definedName>
    <definedName name="topside_sensitivity" localSheetId="2">#REF!</definedName>
    <definedName name="topside_sensitivity">#REF!</definedName>
    <definedName name="umbilicals_sensitivity" localSheetId="2">#REF!</definedName>
    <definedName name="umbilicals_sensitivit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4" l="1"/>
  <c r="Q17" i="4"/>
  <c r="P17" i="4"/>
  <c r="O17" i="4"/>
  <c r="N17" i="4"/>
  <c r="R28" i="4"/>
  <c r="Q28" i="4"/>
  <c r="P28" i="4"/>
  <c r="O28" i="4"/>
  <c r="N28" i="4"/>
  <c r="G38" i="3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H200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D3" i="3"/>
  <c r="H147" i="2" l="1"/>
  <c r="H148" i="2" l="1"/>
  <c r="E24" i="5"/>
  <c r="E23" i="5"/>
  <c r="B17" i="1" l="1"/>
  <c r="C190" i="2" l="1"/>
  <c r="C192" i="2"/>
  <c r="C195" i="2"/>
  <c r="C197" i="2"/>
  <c r="C198" i="2"/>
  <c r="C199" i="2"/>
  <c r="C200" i="2"/>
  <c r="C191" i="2"/>
  <c r="C189" i="2"/>
  <c r="I147" i="2" l="1"/>
  <c r="I148" i="2" s="1"/>
  <c r="J147" i="2"/>
  <c r="J148" i="2" s="1"/>
  <c r="L147" i="2"/>
  <c r="L148" i="2" s="1"/>
  <c r="K147" i="2"/>
  <c r="K148" i="2" s="1"/>
  <c r="C196" i="2"/>
  <c r="C194" i="2"/>
  <c r="C193" i="2"/>
  <c r="C118" i="2" l="1"/>
  <c r="C119" i="2"/>
  <c r="C120" i="2"/>
  <c r="C121" i="2"/>
  <c r="C122" i="2"/>
  <c r="C123" i="2"/>
  <c r="C124" i="2"/>
  <c r="C125" i="2"/>
  <c r="C126" i="2"/>
  <c r="C127" i="2"/>
  <c r="C128" i="2"/>
  <c r="C129" i="2"/>
  <c r="C117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51" i="2"/>
  <c r="AC3" i="4"/>
  <c r="AD3" i="4" s="1"/>
  <c r="AC16" i="4"/>
  <c r="AC27" i="4"/>
  <c r="AC38" i="4"/>
  <c r="AC44" i="4"/>
  <c r="AC51" i="4"/>
  <c r="AC2" i="3"/>
  <c r="AD2" i="3" s="1"/>
  <c r="AC10" i="3"/>
  <c r="AC14" i="3"/>
  <c r="AD14" i="3"/>
  <c r="AE14" i="3"/>
  <c r="AF14" i="3"/>
  <c r="AG14" i="3"/>
  <c r="AH14" i="3"/>
  <c r="AI14" i="3"/>
  <c r="AJ14" i="3"/>
  <c r="AC29" i="3"/>
  <c r="AC47" i="3"/>
  <c r="AC55" i="3"/>
  <c r="AF27" i="2"/>
  <c r="AG24" i="2"/>
  <c r="AH24" i="2"/>
  <c r="AH33" i="2" s="1"/>
  <c r="AI24" i="2"/>
  <c r="AJ24" i="2"/>
  <c r="AJ33" i="2" s="1"/>
  <c r="AK24" i="2"/>
  <c r="AG25" i="2"/>
  <c r="AG34" i="2" s="1"/>
  <c r="AG35" i="2" s="1"/>
  <c r="AH25" i="2"/>
  <c r="AH34" i="2" s="1"/>
  <c r="AH35" i="2" s="1"/>
  <c r="AI25" i="2"/>
  <c r="AI34" i="2" s="1"/>
  <c r="AI35" i="2" s="1"/>
  <c r="AJ25" i="2"/>
  <c r="AJ34" i="2" s="1"/>
  <c r="AJ35" i="2" s="1"/>
  <c r="AK25" i="2"/>
  <c r="AG26" i="2"/>
  <c r="AH26" i="2"/>
  <c r="AI26" i="2"/>
  <c r="AI36" i="2" s="1"/>
  <c r="AJ26" i="2"/>
  <c r="AK26" i="2"/>
  <c r="AK36" i="2" s="1"/>
  <c r="AG27" i="2"/>
  <c r="AH27" i="2"/>
  <c r="AI27" i="2"/>
  <c r="AJ27" i="2"/>
  <c r="AK27" i="2"/>
  <c r="AK37" i="2" s="1"/>
  <c r="AK38" i="2" s="1"/>
  <c r="AH36" i="2"/>
  <c r="AH40" i="2"/>
  <c r="AH66" i="2" s="1"/>
  <c r="AI40" i="2"/>
  <c r="AJ40" i="2"/>
  <c r="AJ66" i="2" s="1"/>
  <c r="AK40" i="2"/>
  <c r="AK66" i="2" s="1"/>
  <c r="AH41" i="2"/>
  <c r="AH67" i="2" s="1"/>
  <c r="AI41" i="2"/>
  <c r="AI67" i="2" s="1"/>
  <c r="AJ41" i="2"/>
  <c r="AJ67" i="2" s="1"/>
  <c r="AK41" i="2"/>
  <c r="AK67" i="2" s="1"/>
  <c r="AH42" i="2"/>
  <c r="AH68" i="2" s="1"/>
  <c r="AI42" i="2"/>
  <c r="AI68" i="2" s="1"/>
  <c r="AJ42" i="2"/>
  <c r="AJ68" i="2" s="1"/>
  <c r="AK42" i="2"/>
  <c r="AK68" i="2" s="1"/>
  <c r="AH43" i="2"/>
  <c r="AH69" i="2" s="1"/>
  <c r="AI43" i="2"/>
  <c r="AI69" i="2" s="1"/>
  <c r="AJ43" i="2"/>
  <c r="AJ69" i="2" s="1"/>
  <c r="AK43" i="2"/>
  <c r="AK69" i="2" s="1"/>
  <c r="AH44" i="2"/>
  <c r="AH70" i="2" s="1"/>
  <c r="AG70" i="3" s="1"/>
  <c r="AI44" i="2"/>
  <c r="AI70" i="2" s="1"/>
  <c r="AJ44" i="2"/>
  <c r="AJ70" i="2" s="1"/>
  <c r="AK44" i="2"/>
  <c r="AK70" i="2" s="1"/>
  <c r="AH45" i="2"/>
  <c r="AH71" i="2" s="1"/>
  <c r="AI45" i="2"/>
  <c r="AI71" i="2" s="1"/>
  <c r="AJ45" i="2"/>
  <c r="AJ71" i="2" s="1"/>
  <c r="AK45" i="2"/>
  <c r="AK71" i="2" s="1"/>
  <c r="AH46" i="2"/>
  <c r="AH72" i="2" s="1"/>
  <c r="AI46" i="2"/>
  <c r="AI72" i="2" s="1"/>
  <c r="AJ46" i="2"/>
  <c r="AJ72" i="2" s="1"/>
  <c r="AK46" i="2"/>
  <c r="AK72" i="2" s="1"/>
  <c r="AH47" i="2"/>
  <c r="AH73" i="2" s="1"/>
  <c r="AI47" i="2"/>
  <c r="AI73" i="2" s="1"/>
  <c r="AJ47" i="2"/>
  <c r="AK47" i="2"/>
  <c r="AK73" i="2" s="1"/>
  <c r="AH49" i="2"/>
  <c r="AH74" i="2" s="1"/>
  <c r="AI49" i="2"/>
  <c r="AI74" i="2" s="1"/>
  <c r="AJ49" i="2"/>
  <c r="AJ74" i="2" s="1"/>
  <c r="AK49" i="2"/>
  <c r="AK74" i="2" s="1"/>
  <c r="AH50" i="2"/>
  <c r="AH75" i="2" s="1"/>
  <c r="AI50" i="2"/>
  <c r="AI75" i="2" s="1"/>
  <c r="AJ50" i="2"/>
  <c r="AJ75" i="2" s="1"/>
  <c r="AK50" i="2"/>
  <c r="AK75" i="2" s="1"/>
  <c r="AH51" i="2"/>
  <c r="AH76" i="2" s="1"/>
  <c r="AI51" i="2"/>
  <c r="AI76" i="2" s="1"/>
  <c r="AJ51" i="2"/>
  <c r="AJ76" i="2" s="1"/>
  <c r="AK51" i="2"/>
  <c r="AK76" i="2" s="1"/>
  <c r="AH52" i="2"/>
  <c r="AH77" i="2" s="1"/>
  <c r="AI52" i="2"/>
  <c r="AI77" i="2" s="1"/>
  <c r="AJ52" i="2"/>
  <c r="AJ77" i="2" s="1"/>
  <c r="AK52" i="2"/>
  <c r="AK77" i="2" s="1"/>
  <c r="AH53" i="2"/>
  <c r="AH78" i="2" s="1"/>
  <c r="AI53" i="2"/>
  <c r="AI78" i="2" s="1"/>
  <c r="AJ53" i="2"/>
  <c r="AJ78" i="2" s="1"/>
  <c r="AK53" i="2"/>
  <c r="AK78" i="2" s="1"/>
  <c r="AG60" i="2"/>
  <c r="AH60" i="2"/>
  <c r="AI60" i="2"/>
  <c r="AJ60" i="2"/>
  <c r="AK60" i="2"/>
  <c r="AI66" i="2"/>
  <c r="AJ73" i="2"/>
  <c r="AD24" i="2"/>
  <c r="AD33" i="2" s="1"/>
  <c r="AE24" i="2"/>
  <c r="AF24" i="2"/>
  <c r="AD25" i="2"/>
  <c r="AD34" i="2" s="1"/>
  <c r="AD35" i="2" s="1"/>
  <c r="AE25" i="2"/>
  <c r="AF25" i="2"/>
  <c r="AF34" i="2" s="1"/>
  <c r="AF35" i="2" s="1"/>
  <c r="AD26" i="2"/>
  <c r="AD36" i="2" s="1"/>
  <c r="AE26" i="2"/>
  <c r="AE36" i="2" s="1"/>
  <c r="AF26" i="2"/>
  <c r="AD27" i="2"/>
  <c r="AE27" i="2"/>
  <c r="AD60" i="2"/>
  <c r="AE60" i="2"/>
  <c r="AF60" i="2"/>
  <c r="AD6" i="2"/>
  <c r="AE6" i="2"/>
  <c r="AF6" i="2"/>
  <c r="AG6" i="2"/>
  <c r="AH6" i="2"/>
  <c r="AI6" i="2"/>
  <c r="AJ6" i="2"/>
  <c r="AD7" i="2"/>
  <c r="AE7" i="2"/>
  <c r="AF7" i="2"/>
  <c r="AG7" i="2"/>
  <c r="AH7" i="2"/>
  <c r="AI7" i="2"/>
  <c r="AJ7" i="2"/>
  <c r="AD29" i="2" l="1"/>
  <c r="AD31" i="2" s="1"/>
  <c r="AI29" i="2"/>
  <c r="AI31" i="2" s="1"/>
  <c r="AK29" i="2"/>
  <c r="AK31" i="2" s="1"/>
  <c r="AJ57" i="3"/>
  <c r="AH56" i="3"/>
  <c r="AI70" i="3"/>
  <c r="AH70" i="3"/>
  <c r="AG57" i="3"/>
  <c r="AG71" i="3"/>
  <c r="AJ70" i="3"/>
  <c r="AG56" i="3"/>
  <c r="AI57" i="3"/>
  <c r="AH29" i="2"/>
  <c r="AH31" i="2" s="1"/>
  <c r="AE37" i="2"/>
  <c r="AE38" i="2" s="1"/>
  <c r="AJ56" i="3"/>
  <c r="AK33" i="2"/>
  <c r="AK30" i="2"/>
  <c r="AJ30" i="2"/>
  <c r="AF28" i="2"/>
  <c r="AF33" i="2"/>
  <c r="AG33" i="2"/>
  <c r="AF87" i="2"/>
  <c r="AG29" i="2"/>
  <c r="AG31" i="2" s="1"/>
  <c r="AD30" i="2"/>
  <c r="AH37" i="2"/>
  <c r="AH38" i="2" s="1"/>
  <c r="AG37" i="2"/>
  <c r="AG38" i="2" s="1"/>
  <c r="AG28" i="2"/>
  <c r="AH57" i="3"/>
  <c r="AH71" i="3"/>
  <c r="AJ71" i="3"/>
  <c r="AI71" i="3"/>
  <c r="AI56" i="3"/>
  <c r="AI28" i="2"/>
  <c r="AI65" i="2"/>
  <c r="AH30" i="3" s="1"/>
  <c r="AD16" i="4"/>
  <c r="AD27" i="4"/>
  <c r="AD38" i="4"/>
  <c r="AD44" i="4"/>
  <c r="AD51" i="4"/>
  <c r="AE3" i="4"/>
  <c r="AJ36" i="2"/>
  <c r="AD10" i="3"/>
  <c r="AD29" i="3"/>
  <c r="AD47" i="3"/>
  <c r="AD55" i="3"/>
  <c r="AE2" i="3"/>
  <c r="AF29" i="2"/>
  <c r="AF31" i="2" s="1"/>
  <c r="AF37" i="2"/>
  <c r="AF38" i="2" s="1"/>
  <c r="AE28" i="2"/>
  <c r="AD28" i="2"/>
  <c r="AF30" i="2"/>
  <c r="AD37" i="2"/>
  <c r="AD38" i="2" s="1"/>
  <c r="AE33" i="2"/>
  <c r="AE30" i="2"/>
  <c r="AF36" i="2"/>
  <c r="AH65" i="2"/>
  <c r="AG30" i="3" s="1"/>
  <c r="AK65" i="2"/>
  <c r="AJ65" i="2"/>
  <c r="AI30" i="2"/>
  <c r="AK28" i="2"/>
  <c r="AK34" i="2"/>
  <c r="AK35" i="2" s="1"/>
  <c r="AJ37" i="2"/>
  <c r="AJ38" i="2" s="1"/>
  <c r="AG36" i="2"/>
  <c r="AH30" i="2"/>
  <c r="AJ28" i="2"/>
  <c r="AI33" i="2"/>
  <c r="AI37" i="2"/>
  <c r="AI38" i="2" s="1"/>
  <c r="AG30" i="2"/>
  <c r="AH28" i="2"/>
  <c r="AJ29" i="2"/>
  <c r="AJ31" i="2" s="1"/>
  <c r="AE34" i="2"/>
  <c r="AE35" i="2" s="1"/>
  <c r="AE29" i="2"/>
  <c r="AE31" i="2" s="1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E99" i="2"/>
  <c r="C168" i="2"/>
  <c r="D10" i="2"/>
  <c r="C180" i="2"/>
  <c r="C179" i="2"/>
  <c r="C178" i="2"/>
  <c r="C177" i="2"/>
  <c r="C176" i="2"/>
  <c r="AH58" i="3" l="1"/>
  <c r="AJ58" i="3"/>
  <c r="AI58" i="3"/>
  <c r="AG58" i="3"/>
  <c r="AG87" i="2"/>
  <c r="AE87" i="2"/>
  <c r="AH87" i="2"/>
  <c r="AI30" i="3"/>
  <c r="AJ30" i="3"/>
  <c r="AE16" i="4"/>
  <c r="AE27" i="4"/>
  <c r="AE38" i="4"/>
  <c r="AE44" i="4"/>
  <c r="AE51" i="4"/>
  <c r="AF3" i="4"/>
  <c r="AE10" i="3"/>
  <c r="AE29" i="3"/>
  <c r="AE47" i="3"/>
  <c r="AE55" i="3"/>
  <c r="AF2" i="3"/>
  <c r="C182" i="2"/>
  <c r="AF16" i="4" l="1"/>
  <c r="AF27" i="4"/>
  <c r="AF38" i="4"/>
  <c r="AF44" i="4"/>
  <c r="AF51" i="4"/>
  <c r="AG3" i="4"/>
  <c r="AF10" i="3"/>
  <c r="AF29" i="3"/>
  <c r="AF47" i="3"/>
  <c r="AF55" i="3"/>
  <c r="AG2" i="3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D7" i="2"/>
  <c r="D6" i="2"/>
  <c r="E27" i="2"/>
  <c r="AG16" i="4" l="1"/>
  <c r="AG27" i="4"/>
  <c r="AG38" i="4"/>
  <c r="AG44" i="4"/>
  <c r="AG51" i="4"/>
  <c r="AH3" i="4"/>
  <c r="AH2" i="3"/>
  <c r="AG10" i="3"/>
  <c r="AG29" i="3"/>
  <c r="AG47" i="3"/>
  <c r="AG55" i="3"/>
  <c r="C166" i="2"/>
  <c r="D8" i="2"/>
  <c r="E132" i="2" s="1"/>
  <c r="D9" i="2"/>
  <c r="C47" i="5"/>
  <c r="E140" i="2" l="1"/>
  <c r="E142" i="2"/>
  <c r="E49" i="2" s="1"/>
  <c r="E143" i="2"/>
  <c r="E50" i="2" s="1"/>
  <c r="E136" i="2"/>
  <c r="E141" i="2"/>
  <c r="E47" i="2" s="1"/>
  <c r="E144" i="2"/>
  <c r="E138" i="2"/>
  <c r="E44" i="2" s="1"/>
  <c r="E146" i="2"/>
  <c r="E53" i="2" s="1"/>
  <c r="E78" i="2" s="1"/>
  <c r="E139" i="2"/>
  <c r="E134" i="2"/>
  <c r="E40" i="2" s="1"/>
  <c r="E135" i="2"/>
  <c r="E41" i="2" s="1"/>
  <c r="E137" i="2"/>
  <c r="E43" i="2" s="1"/>
  <c r="E145" i="2"/>
  <c r="E52" i="2" s="1"/>
  <c r="E77" i="2" s="1"/>
  <c r="AH27" i="4"/>
  <c r="AH51" i="4"/>
  <c r="AH38" i="4"/>
  <c r="AH44" i="4"/>
  <c r="AI3" i="4"/>
  <c r="AH16" i="4"/>
  <c r="AH55" i="3"/>
  <c r="AH10" i="3"/>
  <c r="AH29" i="3"/>
  <c r="AH47" i="3"/>
  <c r="AI2" i="3"/>
  <c r="H53" i="2"/>
  <c r="H78" i="2" s="1"/>
  <c r="I53" i="2"/>
  <c r="I78" i="2" s="1"/>
  <c r="J53" i="2"/>
  <c r="J78" i="2" s="1"/>
  <c r="K53" i="2"/>
  <c r="K78" i="2" s="1"/>
  <c r="L53" i="2"/>
  <c r="L78" i="2" s="1"/>
  <c r="M53" i="2"/>
  <c r="M78" i="2" s="1"/>
  <c r="N53" i="2"/>
  <c r="N78" i="2" s="1"/>
  <c r="O53" i="2"/>
  <c r="O78" i="2" s="1"/>
  <c r="H52" i="2"/>
  <c r="I52" i="2"/>
  <c r="J52" i="2"/>
  <c r="K52" i="2"/>
  <c r="L52" i="2"/>
  <c r="M52" i="2"/>
  <c r="N52" i="2"/>
  <c r="O52" i="2"/>
  <c r="H51" i="2"/>
  <c r="I51" i="2"/>
  <c r="J51" i="2"/>
  <c r="K51" i="2"/>
  <c r="L51" i="2"/>
  <c r="M51" i="2"/>
  <c r="E51" i="2"/>
  <c r="H50" i="2"/>
  <c r="I50" i="2"/>
  <c r="J50" i="2"/>
  <c r="K50" i="2"/>
  <c r="L50" i="2"/>
  <c r="M50" i="2"/>
  <c r="H49" i="2"/>
  <c r="I49" i="2"/>
  <c r="J49" i="2"/>
  <c r="K49" i="2"/>
  <c r="L49" i="2"/>
  <c r="M49" i="2"/>
  <c r="H47" i="2"/>
  <c r="I47" i="2"/>
  <c r="J47" i="2"/>
  <c r="K47" i="2"/>
  <c r="L47" i="2"/>
  <c r="M47" i="2"/>
  <c r="N47" i="2"/>
  <c r="O47" i="2"/>
  <c r="P47" i="2"/>
  <c r="Q47" i="2"/>
  <c r="H46" i="2"/>
  <c r="I46" i="2"/>
  <c r="J46" i="2"/>
  <c r="K46" i="2"/>
  <c r="L46" i="2"/>
  <c r="M46" i="2"/>
  <c r="N46" i="2"/>
  <c r="O46" i="2"/>
  <c r="P46" i="2"/>
  <c r="Q46" i="2"/>
  <c r="E46" i="2"/>
  <c r="H45" i="2"/>
  <c r="I45" i="2"/>
  <c r="J45" i="2"/>
  <c r="K45" i="2"/>
  <c r="L45" i="2"/>
  <c r="M45" i="2"/>
  <c r="N45" i="2"/>
  <c r="O45" i="2"/>
  <c r="P45" i="2"/>
  <c r="Q45" i="2"/>
  <c r="H44" i="2"/>
  <c r="I44" i="2"/>
  <c r="J44" i="2"/>
  <c r="K44" i="2"/>
  <c r="L44" i="2"/>
  <c r="M44" i="2"/>
  <c r="H43" i="2"/>
  <c r="I43" i="2"/>
  <c r="J43" i="2"/>
  <c r="K43" i="2"/>
  <c r="L43" i="2"/>
  <c r="M43" i="2"/>
  <c r="H41" i="2"/>
  <c r="I41" i="2"/>
  <c r="J41" i="2"/>
  <c r="K41" i="2"/>
  <c r="L41" i="2"/>
  <c r="H42" i="2"/>
  <c r="I42" i="2"/>
  <c r="J42" i="2"/>
  <c r="K42" i="2"/>
  <c r="L42" i="2"/>
  <c r="M42" i="2"/>
  <c r="E42" i="2"/>
  <c r="H40" i="2"/>
  <c r="I40" i="2"/>
  <c r="K40" i="2"/>
  <c r="L40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E26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E25" i="2"/>
  <c r="F24" i="2"/>
  <c r="G24" i="2"/>
  <c r="H24" i="2"/>
  <c r="I24" i="2"/>
  <c r="J24" i="2"/>
  <c r="K24" i="2"/>
  <c r="L24" i="2"/>
  <c r="M24" i="2"/>
  <c r="M28" i="2" s="1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E24" i="2"/>
  <c r="E59" i="2" s="1"/>
  <c r="E61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E60" i="2"/>
  <c r="H28" i="2" l="1"/>
  <c r="N28" i="2"/>
  <c r="E147" i="2"/>
  <c r="E45" i="2"/>
  <c r="AI16" i="4"/>
  <c r="AI27" i="4"/>
  <c r="AI38" i="4"/>
  <c r="AI44" i="4"/>
  <c r="AI51" i="4"/>
  <c r="AJ3" i="4"/>
  <c r="AI10" i="3"/>
  <c r="AI29" i="3"/>
  <c r="AI47" i="3"/>
  <c r="AI55" i="3"/>
  <c r="AJ2" i="3"/>
  <c r="E87" i="2"/>
  <c r="AJ16" i="4" l="1"/>
  <c r="AJ27" i="4"/>
  <c r="AJ38" i="4"/>
  <c r="AJ44" i="4"/>
  <c r="AJ51" i="4"/>
  <c r="AJ55" i="3"/>
  <c r="AJ10" i="3"/>
  <c r="AJ29" i="3"/>
  <c r="AJ47" i="3"/>
  <c r="B4" i="4"/>
  <c r="C51" i="4" l="1"/>
  <c r="D51" i="4"/>
  <c r="B51" i="4"/>
  <c r="C44" i="4"/>
  <c r="D44" i="4"/>
  <c r="B44" i="4"/>
  <c r="C38" i="4"/>
  <c r="D38" i="4"/>
  <c r="B38" i="4"/>
  <c r="C27" i="4"/>
  <c r="D27" i="4"/>
  <c r="B27" i="4"/>
  <c r="C16" i="4"/>
  <c r="D16" i="4"/>
  <c r="B16" i="4"/>
  <c r="C10" i="3"/>
  <c r="E3" i="4"/>
  <c r="C55" i="3"/>
  <c r="D55" i="3"/>
  <c r="B55" i="3"/>
  <c r="C47" i="3"/>
  <c r="D47" i="3"/>
  <c r="B47" i="3"/>
  <c r="C29" i="3"/>
  <c r="D29" i="3"/>
  <c r="B29" i="3"/>
  <c r="D10" i="3"/>
  <c r="B10" i="3"/>
  <c r="E2" i="3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E81" i="2"/>
  <c r="E64" i="2"/>
  <c r="E56" i="2"/>
  <c r="F3" i="4" l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E27" i="4"/>
  <c r="E38" i="4"/>
  <c r="E16" i="4"/>
  <c r="E51" i="4"/>
  <c r="E44" i="4"/>
  <c r="X10" i="3"/>
  <c r="H10" i="3"/>
  <c r="N29" i="3"/>
  <c r="P10" i="3"/>
  <c r="F29" i="3"/>
  <c r="Z55" i="3"/>
  <c r="R55" i="3"/>
  <c r="AB47" i="3"/>
  <c r="J55" i="3"/>
  <c r="T47" i="3"/>
  <c r="V29" i="3"/>
  <c r="L47" i="3"/>
  <c r="W10" i="3"/>
  <c r="O10" i="3"/>
  <c r="G10" i="3"/>
  <c r="U29" i="3"/>
  <c r="M29" i="3"/>
  <c r="E29" i="3"/>
  <c r="AA47" i="3"/>
  <c r="S47" i="3"/>
  <c r="K47" i="3"/>
  <c r="Y55" i="3"/>
  <c r="Q55" i="3"/>
  <c r="I55" i="3"/>
  <c r="V10" i="3"/>
  <c r="N10" i="3"/>
  <c r="F10" i="3"/>
  <c r="AB29" i="3"/>
  <c r="T29" i="3"/>
  <c r="L29" i="3"/>
  <c r="Z47" i="3"/>
  <c r="R47" i="3"/>
  <c r="J47" i="3"/>
  <c r="X55" i="3"/>
  <c r="P55" i="3"/>
  <c r="H55" i="3"/>
  <c r="U10" i="3"/>
  <c r="M10" i="3"/>
  <c r="E10" i="3"/>
  <c r="AA29" i="3"/>
  <c r="S29" i="3"/>
  <c r="K29" i="3"/>
  <c r="Y47" i="3"/>
  <c r="Q47" i="3"/>
  <c r="I47" i="3"/>
  <c r="W55" i="3"/>
  <c r="O55" i="3"/>
  <c r="G55" i="3"/>
  <c r="AB10" i="3"/>
  <c r="T10" i="3"/>
  <c r="L10" i="3"/>
  <c r="Z29" i="3"/>
  <c r="R29" i="3"/>
  <c r="J29" i="3"/>
  <c r="X47" i="3"/>
  <c r="P47" i="3"/>
  <c r="H47" i="3"/>
  <c r="V55" i="3"/>
  <c r="N55" i="3"/>
  <c r="F55" i="3"/>
  <c r="AA10" i="3"/>
  <c r="S10" i="3"/>
  <c r="K10" i="3"/>
  <c r="Y29" i="3"/>
  <c r="Q29" i="3"/>
  <c r="I29" i="3"/>
  <c r="W47" i="3"/>
  <c r="O47" i="3"/>
  <c r="G47" i="3"/>
  <c r="U55" i="3"/>
  <c r="M55" i="3"/>
  <c r="E55" i="3"/>
  <c r="Z10" i="3"/>
  <c r="R10" i="3"/>
  <c r="J10" i="3"/>
  <c r="X29" i="3"/>
  <c r="P29" i="3"/>
  <c r="H29" i="3"/>
  <c r="V47" i="3"/>
  <c r="N47" i="3"/>
  <c r="F47" i="3"/>
  <c r="AB55" i="3"/>
  <c r="T55" i="3"/>
  <c r="L55" i="3"/>
  <c r="Y10" i="3"/>
  <c r="Q10" i="3"/>
  <c r="I10" i="3"/>
  <c r="W29" i="3"/>
  <c r="O29" i="3"/>
  <c r="G29" i="3"/>
  <c r="U47" i="3"/>
  <c r="M47" i="3"/>
  <c r="E47" i="3"/>
  <c r="AA55" i="3"/>
  <c r="S55" i="3"/>
  <c r="K55" i="3"/>
  <c r="H44" i="4" l="1"/>
  <c r="G27" i="4"/>
  <c r="I16" i="4"/>
  <c r="M38" i="4"/>
  <c r="J16" i="4"/>
  <c r="Y44" i="4"/>
  <c r="K27" i="4"/>
  <c r="X44" i="4"/>
  <c r="U44" i="4"/>
  <c r="Y16" i="4"/>
  <c r="L27" i="4"/>
  <c r="O38" i="4"/>
  <c r="F44" i="4"/>
  <c r="N16" i="4"/>
  <c r="P27" i="4"/>
  <c r="Y27" i="4"/>
  <c r="H38" i="4"/>
  <c r="M51" i="4"/>
  <c r="Q16" i="4"/>
  <c r="H51" i="4"/>
  <c r="Y38" i="4"/>
  <c r="M44" i="4"/>
  <c r="L51" i="4"/>
  <c r="AA27" i="4"/>
  <c r="G16" i="4"/>
  <c r="K16" i="4"/>
  <c r="P38" i="4"/>
  <c r="U51" i="4"/>
  <c r="H27" i="4"/>
  <c r="L44" i="4"/>
  <c r="J44" i="4"/>
  <c r="S16" i="4"/>
  <c r="R27" i="4"/>
  <c r="O44" i="4"/>
  <c r="V51" i="4"/>
  <c r="O51" i="4"/>
  <c r="T38" i="4"/>
  <c r="K51" i="4"/>
  <c r="K44" i="4"/>
  <c r="AB16" i="4"/>
  <c r="Q38" i="4"/>
  <c r="Q44" i="4"/>
  <c r="U38" i="4"/>
  <c r="AB38" i="4"/>
  <c r="O27" i="4"/>
  <c r="T27" i="4"/>
  <c r="T51" i="4"/>
  <c r="X38" i="4"/>
  <c r="AB27" i="4"/>
  <c r="V38" i="4"/>
  <c r="K38" i="4"/>
  <c r="O16" i="4"/>
  <c r="P51" i="4"/>
  <c r="F27" i="4"/>
  <c r="R51" i="4"/>
  <c r="G38" i="4"/>
  <c r="AA16" i="4"/>
  <c r="AB51" i="4"/>
  <c r="J27" i="4"/>
  <c r="W27" i="4"/>
  <c r="G44" i="4"/>
  <c r="S27" i="4"/>
  <c r="T44" i="4"/>
  <c r="P44" i="4"/>
  <c r="F16" i="4"/>
  <c r="G51" i="4"/>
  <c r="S38" i="4"/>
  <c r="W16" i="4"/>
  <c r="X51" i="4"/>
  <c r="N27" i="4"/>
  <c r="N38" i="4"/>
  <c r="Z16" i="4"/>
  <c r="S51" i="4"/>
  <c r="W51" i="4"/>
  <c r="N44" i="4"/>
  <c r="H16" i="4"/>
  <c r="AA51" i="4"/>
  <c r="I27" i="4"/>
  <c r="F38" i="4"/>
  <c r="V44" i="4"/>
  <c r="L16" i="4"/>
  <c r="M16" i="4"/>
  <c r="F51" i="4"/>
  <c r="R38" i="4"/>
  <c r="M27" i="4"/>
  <c r="Z51" i="4"/>
  <c r="Z44" i="4"/>
  <c r="P16" i="4"/>
  <c r="Q51" i="4"/>
  <c r="AA38" i="4"/>
  <c r="V27" i="4"/>
  <c r="W38" i="4"/>
  <c r="Z27" i="4"/>
  <c r="J51" i="4"/>
  <c r="W44" i="4"/>
  <c r="R16" i="4"/>
  <c r="J38" i="4"/>
  <c r="V16" i="4"/>
  <c r="S44" i="4"/>
  <c r="R44" i="4"/>
  <c r="I51" i="4"/>
  <c r="Q27" i="4"/>
  <c r="X27" i="4"/>
  <c r="T16" i="4"/>
  <c r="I38" i="4"/>
  <c r="U16" i="4"/>
  <c r="N51" i="4"/>
  <c r="Z38" i="4"/>
  <c r="AA44" i="4"/>
  <c r="I44" i="4"/>
  <c r="U27" i="4"/>
  <c r="AB44" i="4"/>
  <c r="L38" i="4"/>
  <c r="X16" i="4"/>
  <c r="Y51" i="4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D14" i="3"/>
  <c r="D11" i="3"/>
  <c r="E5" i="2" l="1"/>
  <c r="E10" i="2" s="1"/>
  <c r="D14" i="2"/>
  <c r="D13" i="2"/>
  <c r="D12" i="2"/>
  <c r="D11" i="2"/>
  <c r="C60" i="2"/>
  <c r="B69" i="3"/>
  <c r="D50" i="3"/>
  <c r="D68" i="3"/>
  <c r="C7" i="3"/>
  <c r="D32" i="3" l="1"/>
  <c r="D19" i="3"/>
  <c r="D17" i="3"/>
  <c r="F5" i="2"/>
  <c r="F12" i="2" s="1"/>
  <c r="E8" i="2"/>
  <c r="D17" i="2"/>
  <c r="D20" i="2"/>
  <c r="D19" i="2"/>
  <c r="E9" i="2"/>
  <c r="B14" i="3"/>
  <c r="E14" i="2"/>
  <c r="E12" i="2"/>
  <c r="E13" i="2"/>
  <c r="E11" i="2"/>
  <c r="E20" i="2"/>
  <c r="F14" i="2"/>
  <c r="D16" i="2"/>
  <c r="F11" i="2" l="1"/>
  <c r="F9" i="2"/>
  <c r="F19" i="2" s="1"/>
  <c r="D20" i="3"/>
  <c r="F59" i="2"/>
  <c r="F132" i="2"/>
  <c r="D33" i="3"/>
  <c r="D34" i="3" s="1"/>
  <c r="G5" i="2"/>
  <c r="G8" i="2" s="1"/>
  <c r="F13" i="2"/>
  <c r="F8" i="2"/>
  <c r="F10" i="2"/>
  <c r="F20" i="2" s="1"/>
  <c r="D46" i="4"/>
  <c r="E19" i="2"/>
  <c r="E16" i="2"/>
  <c r="E17" i="2"/>
  <c r="F16" i="2"/>
  <c r="G13" i="2" l="1"/>
  <c r="G12" i="2"/>
  <c r="G9" i="2"/>
  <c r="G19" i="2" s="1"/>
  <c r="G59" i="2"/>
  <c r="G132" i="2"/>
  <c r="H59" i="2"/>
  <c r="H132" i="2"/>
  <c r="F139" i="2"/>
  <c r="F134" i="2"/>
  <c r="F138" i="2"/>
  <c r="F142" i="2"/>
  <c r="F146" i="2"/>
  <c r="F135" i="2"/>
  <c r="F41" i="2" s="1"/>
  <c r="F143" i="2"/>
  <c r="F137" i="2"/>
  <c r="F141" i="2"/>
  <c r="F145" i="2"/>
  <c r="F136" i="2"/>
  <c r="F144" i="2"/>
  <c r="F140" i="2"/>
  <c r="G14" i="2"/>
  <c r="G10" i="2"/>
  <c r="G20" i="2" s="1"/>
  <c r="F17" i="2"/>
  <c r="F46" i="4" s="1"/>
  <c r="H5" i="2"/>
  <c r="H9" i="2" s="1"/>
  <c r="G11" i="2"/>
  <c r="E46" i="4"/>
  <c r="G16" i="2" l="1"/>
  <c r="H8" i="2"/>
  <c r="I59" i="2" s="1"/>
  <c r="H10" i="2"/>
  <c r="H20" i="2" s="1"/>
  <c r="F51" i="2"/>
  <c r="F42" i="2"/>
  <c r="F52" i="2"/>
  <c r="F47" i="2"/>
  <c r="F50" i="2"/>
  <c r="F49" i="2"/>
  <c r="F44" i="2"/>
  <c r="G43" i="2"/>
  <c r="G47" i="2"/>
  <c r="G52" i="2"/>
  <c r="G134" i="2"/>
  <c r="G49" i="2"/>
  <c r="G41" i="2"/>
  <c r="G44" i="2"/>
  <c r="G53" i="2"/>
  <c r="G78" i="2" s="1"/>
  <c r="G45" i="2"/>
  <c r="G42" i="2"/>
  <c r="G46" i="2"/>
  <c r="G51" i="2"/>
  <c r="G50" i="2"/>
  <c r="F147" i="2"/>
  <c r="F40" i="2"/>
  <c r="F45" i="2"/>
  <c r="F43" i="2"/>
  <c r="F46" i="2"/>
  <c r="F53" i="2"/>
  <c r="F78" i="2" s="1"/>
  <c r="G17" i="2"/>
  <c r="G46" i="4" s="1"/>
  <c r="H12" i="2"/>
  <c r="H13" i="2"/>
  <c r="I5" i="2"/>
  <c r="I13" i="2" s="1"/>
  <c r="H14" i="2"/>
  <c r="H11" i="2"/>
  <c r="H16" i="2"/>
  <c r="H19" i="2"/>
  <c r="I132" i="2" l="1"/>
  <c r="I12" i="2"/>
  <c r="I11" i="2"/>
  <c r="I10" i="2"/>
  <c r="I20" i="2" s="1"/>
  <c r="J5" i="2"/>
  <c r="J13" i="2" s="1"/>
  <c r="I8" i="2"/>
  <c r="J59" i="2" s="1"/>
  <c r="I9" i="2"/>
  <c r="I16" i="2" s="1"/>
  <c r="H17" i="2"/>
  <c r="H46" i="4" s="1"/>
  <c r="I14" i="2"/>
  <c r="G147" i="2"/>
  <c r="G40" i="2"/>
  <c r="J14" i="2"/>
  <c r="K5" i="2" l="1"/>
  <c r="L5" i="2" s="1"/>
  <c r="J8" i="2"/>
  <c r="K59" i="2" s="1"/>
  <c r="J12" i="2"/>
  <c r="J10" i="2"/>
  <c r="J20" i="2" s="1"/>
  <c r="J9" i="2"/>
  <c r="J16" i="2" s="1"/>
  <c r="J11" i="2"/>
  <c r="I17" i="2"/>
  <c r="I46" i="4" s="1"/>
  <c r="J132" i="2"/>
  <c r="I19" i="2"/>
  <c r="K132" i="2"/>
  <c r="J17" i="2"/>
  <c r="K14" i="2"/>
  <c r="K13" i="2"/>
  <c r="K9" i="2"/>
  <c r="J19" i="2" l="1"/>
  <c r="K11" i="2"/>
  <c r="K10" i="2"/>
  <c r="K20" i="2" s="1"/>
  <c r="K8" i="2"/>
  <c r="K12" i="2"/>
  <c r="L59" i="2"/>
  <c r="L132" i="2"/>
  <c r="L8" i="2"/>
  <c r="L10" i="2"/>
  <c r="L20" i="2" s="1"/>
  <c r="J46" i="4"/>
  <c r="L12" i="2"/>
  <c r="L9" i="2"/>
  <c r="L11" i="2"/>
  <c r="L14" i="2"/>
  <c r="M5" i="2"/>
  <c r="L13" i="2"/>
  <c r="K16" i="2"/>
  <c r="K19" i="2"/>
  <c r="K17" i="2" l="1"/>
  <c r="M59" i="2"/>
  <c r="M132" i="2"/>
  <c r="M8" i="2"/>
  <c r="M10" i="2"/>
  <c r="M20" i="2" s="1"/>
  <c r="K46" i="4"/>
  <c r="L17" i="2"/>
  <c r="L19" i="2"/>
  <c r="L16" i="2"/>
  <c r="M11" i="2"/>
  <c r="N5" i="2"/>
  <c r="M12" i="2"/>
  <c r="M13" i="2"/>
  <c r="M14" i="2"/>
  <c r="M9" i="2"/>
  <c r="M41" i="2" l="1"/>
  <c r="N59" i="2"/>
  <c r="N132" i="2"/>
  <c r="N8" i="2"/>
  <c r="N10" i="2"/>
  <c r="N20" i="2" s="1"/>
  <c r="L46" i="4"/>
  <c r="O5" i="2"/>
  <c r="N14" i="2"/>
  <c r="N9" i="2"/>
  <c r="N11" i="2"/>
  <c r="N13" i="2"/>
  <c r="N12" i="2"/>
  <c r="M17" i="2"/>
  <c r="M19" i="2"/>
  <c r="M16" i="2"/>
  <c r="N41" i="2" l="1"/>
  <c r="O59" i="2"/>
  <c r="O132" i="2"/>
  <c r="M147" i="2"/>
  <c r="M148" i="2" s="1"/>
  <c r="M40" i="2"/>
  <c r="O8" i="2"/>
  <c r="O10" i="2"/>
  <c r="O20" i="2" s="1"/>
  <c r="M46" i="4"/>
  <c r="N17" i="2"/>
  <c r="N19" i="2"/>
  <c r="N16" i="2"/>
  <c r="O11" i="2"/>
  <c r="O14" i="2"/>
  <c r="O9" i="2"/>
  <c r="P5" i="2"/>
  <c r="O12" i="2"/>
  <c r="O13" i="2"/>
  <c r="N43" i="2" l="1"/>
  <c r="N44" i="2"/>
  <c r="N147" i="2"/>
  <c r="N40" i="2"/>
  <c r="N51" i="2"/>
  <c r="P59" i="2"/>
  <c r="P132" i="2"/>
  <c r="O42" i="2"/>
  <c r="O44" i="2"/>
  <c r="O50" i="2"/>
  <c r="O41" i="2"/>
  <c r="O43" i="2"/>
  <c r="O49" i="2"/>
  <c r="O51" i="2"/>
  <c r="N50" i="2"/>
  <c r="N49" i="2"/>
  <c r="N42" i="2"/>
  <c r="P8" i="2"/>
  <c r="P10" i="2"/>
  <c r="P20" i="2" s="1"/>
  <c r="N46" i="4"/>
  <c r="O17" i="2"/>
  <c r="O19" i="2"/>
  <c r="O16" i="2"/>
  <c r="P13" i="2"/>
  <c r="P11" i="2"/>
  <c r="P14" i="2"/>
  <c r="P9" i="2"/>
  <c r="P12" i="2"/>
  <c r="Q5" i="2"/>
  <c r="O147" i="2" l="1"/>
  <c r="O40" i="2"/>
  <c r="P41" i="2"/>
  <c r="P43" i="2"/>
  <c r="P51" i="2"/>
  <c r="P42" i="2"/>
  <c r="P44" i="2"/>
  <c r="P50" i="2"/>
  <c r="Q59" i="2"/>
  <c r="Q132" i="2"/>
  <c r="Q8" i="2"/>
  <c r="Q10" i="2"/>
  <c r="Q20" i="2" s="1"/>
  <c r="O46" i="4"/>
  <c r="P17" i="2"/>
  <c r="Q13" i="2"/>
  <c r="Q11" i="2"/>
  <c r="Q14" i="2"/>
  <c r="Q9" i="2"/>
  <c r="R5" i="2"/>
  <c r="Q12" i="2"/>
  <c r="P16" i="2"/>
  <c r="P19" i="2"/>
  <c r="P49" i="2" l="1"/>
  <c r="P53" i="2"/>
  <c r="P78" i="2" s="1"/>
  <c r="Q43" i="2"/>
  <c r="Q49" i="2"/>
  <c r="Q51" i="2"/>
  <c r="Q52" i="2"/>
  <c r="Q77" i="2" s="1"/>
  <c r="Q53" i="2"/>
  <c r="Q78" i="2" s="1"/>
  <c r="Q42" i="2"/>
  <c r="Q50" i="2"/>
  <c r="Q44" i="2"/>
  <c r="P147" i="2"/>
  <c r="P40" i="2"/>
  <c r="R59" i="2"/>
  <c r="R132" i="2"/>
  <c r="P52" i="2"/>
  <c r="P77" i="2" s="1"/>
  <c r="R8" i="2"/>
  <c r="R10" i="2"/>
  <c r="R20" i="2" s="1"/>
  <c r="P46" i="4"/>
  <c r="Q17" i="2"/>
  <c r="R12" i="2"/>
  <c r="R13" i="2"/>
  <c r="R11" i="2"/>
  <c r="S5" i="2"/>
  <c r="R14" i="2"/>
  <c r="R9" i="2"/>
  <c r="Q19" i="2"/>
  <c r="Q16" i="2"/>
  <c r="S59" i="2" l="1"/>
  <c r="S132" i="2"/>
  <c r="R49" i="2"/>
  <c r="R43" i="2"/>
  <c r="R51" i="2"/>
  <c r="R52" i="2"/>
  <c r="R77" i="2" s="1"/>
  <c r="R42" i="2"/>
  <c r="R44" i="2"/>
  <c r="R50" i="2"/>
  <c r="R53" i="2"/>
  <c r="R78" i="2" s="1"/>
  <c r="S8" i="2"/>
  <c r="S10" i="2"/>
  <c r="S20" i="2" s="1"/>
  <c r="Q46" i="4"/>
  <c r="R17" i="2"/>
  <c r="S13" i="2"/>
  <c r="T5" i="2"/>
  <c r="S11" i="2"/>
  <c r="S14" i="2"/>
  <c r="S9" i="2"/>
  <c r="S12" i="2"/>
  <c r="R16" i="2"/>
  <c r="R19" i="2"/>
  <c r="T59" i="2" l="1"/>
  <c r="T132" i="2"/>
  <c r="R45" i="2"/>
  <c r="R47" i="2"/>
  <c r="R46" i="2"/>
  <c r="S43" i="2"/>
  <c r="S49" i="2"/>
  <c r="S51" i="2"/>
  <c r="S42" i="2"/>
  <c r="S44" i="2"/>
  <c r="S45" i="2"/>
  <c r="S46" i="2"/>
  <c r="S47" i="2"/>
  <c r="S50" i="2"/>
  <c r="S53" i="2"/>
  <c r="S78" i="2" s="1"/>
  <c r="S52" i="2"/>
  <c r="S77" i="2" s="1"/>
  <c r="T8" i="2"/>
  <c r="T10" i="2"/>
  <c r="T20" i="2" s="1"/>
  <c r="R46" i="4"/>
  <c r="S16" i="2"/>
  <c r="S19" i="2"/>
  <c r="T12" i="2"/>
  <c r="T9" i="2"/>
  <c r="U5" i="2"/>
  <c r="T13" i="2"/>
  <c r="T11" i="2"/>
  <c r="T14" i="2"/>
  <c r="S17" i="2"/>
  <c r="U59" i="2" l="1"/>
  <c r="U132" i="2"/>
  <c r="T42" i="2"/>
  <c r="T44" i="2"/>
  <c r="T45" i="2"/>
  <c r="T46" i="2"/>
  <c r="T47" i="2"/>
  <c r="T50" i="2"/>
  <c r="T53" i="2"/>
  <c r="T78" i="2" s="1"/>
  <c r="T43" i="2"/>
  <c r="T49" i="2"/>
  <c r="T52" i="2"/>
  <c r="T77" i="2" s="1"/>
  <c r="T51" i="2"/>
  <c r="U8" i="2"/>
  <c r="U10" i="2"/>
  <c r="U20" i="2" s="1"/>
  <c r="S46" i="4"/>
  <c r="T17" i="2"/>
  <c r="V5" i="2"/>
  <c r="U12" i="2"/>
  <c r="U14" i="2"/>
  <c r="U13" i="2"/>
  <c r="U11" i="2"/>
  <c r="U9" i="2"/>
  <c r="T19" i="2"/>
  <c r="T16" i="2"/>
  <c r="V59" i="2" l="1"/>
  <c r="V132" i="2"/>
  <c r="U42" i="2"/>
  <c r="U44" i="2"/>
  <c r="U45" i="2"/>
  <c r="U46" i="2"/>
  <c r="U47" i="2"/>
  <c r="U50" i="2"/>
  <c r="U53" i="2"/>
  <c r="U78" i="2" s="1"/>
  <c r="U52" i="2"/>
  <c r="U77" i="2" s="1"/>
  <c r="U43" i="2"/>
  <c r="U51" i="2"/>
  <c r="U49" i="2"/>
  <c r="V8" i="2"/>
  <c r="V10" i="2"/>
  <c r="V20" i="2" s="1"/>
  <c r="T46" i="4"/>
  <c r="U19" i="2"/>
  <c r="U16" i="2"/>
  <c r="U17" i="2"/>
  <c r="W5" i="2"/>
  <c r="V14" i="2"/>
  <c r="V9" i="2"/>
  <c r="V12" i="2"/>
  <c r="V13" i="2"/>
  <c r="V11" i="2"/>
  <c r="W59" i="2" l="1"/>
  <c r="W132" i="2"/>
  <c r="V52" i="2"/>
  <c r="V77" i="2" s="1"/>
  <c r="V44" i="2"/>
  <c r="V45" i="2"/>
  <c r="V46" i="2"/>
  <c r="V47" i="2"/>
  <c r="V53" i="2"/>
  <c r="V78" i="2" s="1"/>
  <c r="V42" i="2"/>
  <c r="V50" i="2"/>
  <c r="V43" i="2"/>
  <c r="V49" i="2"/>
  <c r="V51" i="2"/>
  <c r="W8" i="2"/>
  <c r="W10" i="2"/>
  <c r="W20" i="2" s="1"/>
  <c r="U46" i="4"/>
  <c r="V19" i="2"/>
  <c r="V16" i="2"/>
  <c r="W11" i="2"/>
  <c r="W14" i="2"/>
  <c r="W9" i="2"/>
  <c r="W13" i="2"/>
  <c r="W12" i="2"/>
  <c r="X5" i="2"/>
  <c r="V17" i="2"/>
  <c r="X59" i="2" l="1"/>
  <c r="X132" i="2"/>
  <c r="W44" i="2"/>
  <c r="W53" i="2"/>
  <c r="W78" i="2" s="1"/>
  <c r="W52" i="2"/>
  <c r="W77" i="2" s="1"/>
  <c r="W42" i="2"/>
  <c r="W45" i="2"/>
  <c r="W46" i="2"/>
  <c r="W47" i="2"/>
  <c r="W43" i="2"/>
  <c r="W49" i="2"/>
  <c r="W51" i="2"/>
  <c r="W50" i="2"/>
  <c r="X8" i="2"/>
  <c r="X10" i="2"/>
  <c r="X20" i="2" s="1"/>
  <c r="V46" i="4"/>
  <c r="X11" i="2"/>
  <c r="Y5" i="2"/>
  <c r="X13" i="2"/>
  <c r="X14" i="2"/>
  <c r="X9" i="2"/>
  <c r="X12" i="2"/>
  <c r="W17" i="2"/>
  <c r="W16" i="2"/>
  <c r="W19" i="2"/>
  <c r="Y59" i="2" l="1"/>
  <c r="Y132" i="2"/>
  <c r="X43" i="2"/>
  <c r="X49" i="2"/>
  <c r="X51" i="2"/>
  <c r="X52" i="2"/>
  <c r="X77" i="2" s="1"/>
  <c r="X42" i="2"/>
  <c r="X47" i="2"/>
  <c r="X50" i="2"/>
  <c r="X44" i="2"/>
  <c r="X45" i="2"/>
  <c r="X46" i="2"/>
  <c r="X53" i="2"/>
  <c r="X78" i="2" s="1"/>
  <c r="Y8" i="2"/>
  <c r="Y10" i="2"/>
  <c r="Y20" i="2" s="1"/>
  <c r="W46" i="4"/>
  <c r="X17" i="2"/>
  <c r="Y13" i="2"/>
  <c r="Y12" i="2"/>
  <c r="Y11" i="2"/>
  <c r="Y14" i="2"/>
  <c r="Y9" i="2"/>
  <c r="Z5" i="2"/>
  <c r="X19" i="2"/>
  <c r="X16" i="2"/>
  <c r="Z59" i="2" l="1"/>
  <c r="Z132" i="2"/>
  <c r="Y52" i="2"/>
  <c r="Y77" i="2" s="1"/>
  <c r="Y43" i="2"/>
  <c r="Y49" i="2"/>
  <c r="Y51" i="2"/>
  <c r="Y42" i="2"/>
  <c r="Y50" i="2"/>
  <c r="Y46" i="2"/>
  <c r="Y45" i="2"/>
  <c r="Y53" i="2"/>
  <c r="Y78" i="2" s="1"/>
  <c r="Y47" i="2"/>
  <c r="Y44" i="2"/>
  <c r="Z8" i="2"/>
  <c r="Z10" i="2"/>
  <c r="Z20" i="2" s="1"/>
  <c r="X46" i="4"/>
  <c r="Y17" i="2"/>
  <c r="Y19" i="2"/>
  <c r="Y16" i="2"/>
  <c r="Z13" i="2"/>
  <c r="Z12" i="2"/>
  <c r="Z11" i="2"/>
  <c r="AA5" i="2"/>
  <c r="Z14" i="2"/>
  <c r="Z9" i="2"/>
  <c r="Z43" i="2" l="1"/>
  <c r="Z51" i="2"/>
  <c r="Z49" i="2"/>
  <c r="Z42" i="2"/>
  <c r="Z44" i="2"/>
  <c r="Z45" i="2"/>
  <c r="Z46" i="2"/>
  <c r="Z47" i="2"/>
  <c r="Z50" i="2"/>
  <c r="Z53" i="2"/>
  <c r="Z78" i="2" s="1"/>
  <c r="Z52" i="2"/>
  <c r="Z77" i="2" s="1"/>
  <c r="AA59" i="2"/>
  <c r="AA132" i="2"/>
  <c r="AA8" i="2"/>
  <c r="AA10" i="2"/>
  <c r="AA20" i="2" s="1"/>
  <c r="Y46" i="4"/>
  <c r="Z17" i="2"/>
  <c r="Z16" i="2"/>
  <c r="Z19" i="2"/>
  <c r="AA12" i="2"/>
  <c r="AA13" i="2"/>
  <c r="AA14" i="2"/>
  <c r="AB5" i="2"/>
  <c r="AA11" i="2"/>
  <c r="AA9" i="2"/>
  <c r="AB59" i="2" l="1"/>
  <c r="AB132" i="2"/>
  <c r="AA43" i="2"/>
  <c r="AA49" i="2"/>
  <c r="AA51" i="2"/>
  <c r="AA42" i="2"/>
  <c r="AA44" i="2"/>
  <c r="AA45" i="2"/>
  <c r="AA46" i="2"/>
  <c r="AA47" i="2"/>
  <c r="AA50" i="2"/>
  <c r="AA53" i="2"/>
  <c r="AA78" i="2" s="1"/>
  <c r="AA52" i="2"/>
  <c r="AA77" i="2" s="1"/>
  <c r="AB8" i="2"/>
  <c r="AB10" i="2"/>
  <c r="AB20" i="2" s="1"/>
  <c r="Z46" i="4"/>
  <c r="AB12" i="2"/>
  <c r="AB11" i="2"/>
  <c r="AB14" i="2"/>
  <c r="AC5" i="2"/>
  <c r="AD5" i="2" s="1"/>
  <c r="AB13" i="2"/>
  <c r="AB9" i="2"/>
  <c r="AA17" i="2"/>
  <c r="AA16" i="2"/>
  <c r="AA19" i="2"/>
  <c r="AE5" i="2" l="1"/>
  <c r="AD8" i="2"/>
  <c r="AD13" i="2"/>
  <c r="AD11" i="2"/>
  <c r="AD12" i="2"/>
  <c r="AD14" i="2"/>
  <c r="AD9" i="2"/>
  <c r="AD10" i="2"/>
  <c r="AC59" i="2"/>
  <c r="AC132" i="2"/>
  <c r="AB42" i="2"/>
  <c r="AB44" i="2"/>
  <c r="AB45" i="2"/>
  <c r="AB46" i="2"/>
  <c r="AB47" i="2"/>
  <c r="AB50" i="2"/>
  <c r="AB53" i="2"/>
  <c r="AB78" i="2" s="1"/>
  <c r="AB51" i="2"/>
  <c r="AB43" i="2"/>
  <c r="AB49" i="2"/>
  <c r="AB52" i="2"/>
  <c r="AB77" i="2" s="1"/>
  <c r="AC8" i="2"/>
  <c r="AC10" i="2"/>
  <c r="AC20" i="2" s="1"/>
  <c r="AA46" i="4"/>
  <c r="AB19" i="2"/>
  <c r="AB16" i="2"/>
  <c r="AB17" i="2"/>
  <c r="AB46" i="4" s="1"/>
  <c r="AC12" i="2"/>
  <c r="AC11" i="2"/>
  <c r="AC13" i="2"/>
  <c r="AC14" i="2"/>
  <c r="AC9" i="2"/>
  <c r="AD20" i="2" l="1"/>
  <c r="AD17" i="2"/>
  <c r="AD19" i="2"/>
  <c r="AD16" i="2"/>
  <c r="AD4" i="3" s="1"/>
  <c r="AE132" i="2"/>
  <c r="AE59" i="2"/>
  <c r="AD12" i="3" s="1"/>
  <c r="AE11" i="2"/>
  <c r="AE10" i="2"/>
  <c r="AE8" i="2"/>
  <c r="AE13" i="2"/>
  <c r="AE9" i="2"/>
  <c r="AF5" i="2"/>
  <c r="AE12" i="2"/>
  <c r="AE14" i="2"/>
  <c r="AD132" i="2"/>
  <c r="AD59" i="2"/>
  <c r="AC12" i="3" s="1"/>
  <c r="AC42" i="2"/>
  <c r="AC44" i="2"/>
  <c r="AC45" i="2"/>
  <c r="AC46" i="2"/>
  <c r="AC47" i="2"/>
  <c r="AC50" i="2"/>
  <c r="AC53" i="2"/>
  <c r="AC78" i="2" s="1"/>
  <c r="AC52" i="2"/>
  <c r="AC77" i="2" s="1"/>
  <c r="AC49" i="2"/>
  <c r="AC43" i="2"/>
  <c r="AC51" i="2"/>
  <c r="AC17" i="2"/>
  <c r="AC19" i="2"/>
  <c r="AC16" i="2"/>
  <c r="AC4" i="3" s="1"/>
  <c r="AE20" i="2" l="1"/>
  <c r="AE17" i="2"/>
  <c r="AE45" i="2"/>
  <c r="AE71" i="2" s="1"/>
  <c r="AE53" i="2"/>
  <c r="AE78" i="2" s="1"/>
  <c r="AE50" i="2"/>
  <c r="AE75" i="2" s="1"/>
  <c r="AE49" i="2"/>
  <c r="AE74" i="2" s="1"/>
  <c r="AE46" i="2"/>
  <c r="AE72" i="2" s="1"/>
  <c r="AE42" i="2"/>
  <c r="AE68" i="2" s="1"/>
  <c r="AE47" i="2"/>
  <c r="AE73" i="2" s="1"/>
  <c r="AE44" i="2"/>
  <c r="AE70" i="2" s="1"/>
  <c r="AD70" i="3" s="1"/>
  <c r="AE52" i="2"/>
  <c r="AE77" i="2" s="1"/>
  <c r="AE43" i="2"/>
  <c r="AE69" i="2" s="1"/>
  <c r="AE51" i="2"/>
  <c r="AE76" i="2" s="1"/>
  <c r="AE16" i="2"/>
  <c r="AE19" i="2"/>
  <c r="AD46" i="4"/>
  <c r="AD5" i="3"/>
  <c r="AD6" i="3" s="1"/>
  <c r="AD7" i="3" s="1"/>
  <c r="AG5" i="2"/>
  <c r="AF11" i="2"/>
  <c r="AF9" i="2"/>
  <c r="AF13" i="2"/>
  <c r="AF12" i="2"/>
  <c r="AF8" i="2"/>
  <c r="AF10" i="2"/>
  <c r="AF14" i="2"/>
  <c r="AF132" i="2"/>
  <c r="AF59" i="2"/>
  <c r="AE12" i="3" s="1"/>
  <c r="AC46" i="4"/>
  <c r="AC5" i="3"/>
  <c r="AC6" i="3" s="1"/>
  <c r="G77" i="2"/>
  <c r="H77" i="2"/>
  <c r="I77" i="2"/>
  <c r="J77" i="2"/>
  <c r="K77" i="2"/>
  <c r="L77" i="2"/>
  <c r="M77" i="2"/>
  <c r="N77" i="2"/>
  <c r="O77" i="2"/>
  <c r="E164" i="2"/>
  <c r="C164" i="2" s="1"/>
  <c r="E130" i="2"/>
  <c r="C130" i="2" s="1"/>
  <c r="P66" i="2"/>
  <c r="P67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E67" i="2"/>
  <c r="E68" i="2"/>
  <c r="E69" i="2"/>
  <c r="E70" i="2"/>
  <c r="E71" i="2"/>
  <c r="E72" i="2"/>
  <c r="E73" i="2"/>
  <c r="E74" i="2"/>
  <c r="E75" i="2"/>
  <c r="E76" i="2"/>
  <c r="E66" i="2"/>
  <c r="C107" i="2"/>
  <c r="F34" i="2"/>
  <c r="F35" i="2" s="1"/>
  <c r="G34" i="2"/>
  <c r="G35" i="2" s="1"/>
  <c r="J34" i="2"/>
  <c r="J35" i="2" s="1"/>
  <c r="K34" i="2"/>
  <c r="K35" i="2" s="1"/>
  <c r="L34" i="2"/>
  <c r="L35" i="2" s="1"/>
  <c r="M34" i="2"/>
  <c r="M35" i="2" s="1"/>
  <c r="N34" i="2"/>
  <c r="N35" i="2" s="1"/>
  <c r="O34" i="2"/>
  <c r="O35" i="2" s="1"/>
  <c r="Q34" i="2"/>
  <c r="Q35" i="2" s="1"/>
  <c r="R34" i="2"/>
  <c r="R35" i="2" s="1"/>
  <c r="S34" i="2"/>
  <c r="S35" i="2" s="1"/>
  <c r="T34" i="2"/>
  <c r="T35" i="2" s="1"/>
  <c r="U34" i="2"/>
  <c r="U35" i="2" s="1"/>
  <c r="V34" i="2"/>
  <c r="V35" i="2" s="1"/>
  <c r="W34" i="2"/>
  <c r="W35" i="2" s="1"/>
  <c r="Z34" i="2"/>
  <c r="Z35" i="2" s="1"/>
  <c r="AA34" i="2"/>
  <c r="AA35" i="2" s="1"/>
  <c r="AB34" i="2"/>
  <c r="AB35" i="2" s="1"/>
  <c r="AC34" i="2"/>
  <c r="AC35" i="2" s="1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E36" i="2"/>
  <c r="D4" i="3"/>
  <c r="B2" i="2"/>
  <c r="AE4" i="3" l="1"/>
  <c r="AF20" i="2"/>
  <c r="AF17" i="2"/>
  <c r="AG132" i="2"/>
  <c r="AG59" i="2"/>
  <c r="AF16" i="2"/>
  <c r="AF19" i="2"/>
  <c r="AD57" i="3"/>
  <c r="AD71" i="3"/>
  <c r="AF47" i="2"/>
  <c r="AF73" i="2" s="1"/>
  <c r="AF43" i="2"/>
  <c r="AF69" i="2" s="1"/>
  <c r="AF50" i="2"/>
  <c r="AF75" i="2" s="1"/>
  <c r="AF49" i="2"/>
  <c r="AF74" i="2" s="1"/>
  <c r="AF46" i="2"/>
  <c r="AF72" i="2" s="1"/>
  <c r="AF52" i="2"/>
  <c r="AF77" i="2" s="1"/>
  <c r="AF51" i="2"/>
  <c r="AF76" i="2" s="1"/>
  <c r="AF53" i="2"/>
  <c r="AF78" i="2" s="1"/>
  <c r="AF44" i="2"/>
  <c r="AF70" i="2" s="1"/>
  <c r="AF45" i="2"/>
  <c r="AF71" i="2" s="1"/>
  <c r="AF42" i="2"/>
  <c r="AF68" i="2" s="1"/>
  <c r="AG11" i="2"/>
  <c r="AG8" i="2"/>
  <c r="AG14" i="2"/>
  <c r="AG13" i="2"/>
  <c r="AG10" i="2"/>
  <c r="AG9" i="2"/>
  <c r="AH5" i="2"/>
  <c r="AG12" i="2"/>
  <c r="AE46" i="4"/>
  <c r="AE5" i="3"/>
  <c r="AD46" i="2"/>
  <c r="AD72" i="2" s="1"/>
  <c r="AD53" i="2"/>
  <c r="AD78" i="2" s="1"/>
  <c r="AD45" i="2"/>
  <c r="AD71" i="2" s="1"/>
  <c r="AD43" i="2"/>
  <c r="AD69" i="2" s="1"/>
  <c r="AD47" i="2"/>
  <c r="AD73" i="2" s="1"/>
  <c r="AD44" i="2"/>
  <c r="AD70" i="2" s="1"/>
  <c r="AD52" i="2"/>
  <c r="AD77" i="2" s="1"/>
  <c r="AD51" i="2"/>
  <c r="AD76" i="2" s="1"/>
  <c r="AD50" i="2"/>
  <c r="AD75" i="2" s="1"/>
  <c r="AD49" i="2"/>
  <c r="AD74" i="2" s="1"/>
  <c r="AD42" i="2"/>
  <c r="AD68" i="2" s="1"/>
  <c r="AD87" i="2"/>
  <c r="AC7" i="3"/>
  <c r="F77" i="2"/>
  <c r="D70" i="3"/>
  <c r="AB4" i="3"/>
  <c r="T4" i="3"/>
  <c r="L4" i="3"/>
  <c r="U70" i="3"/>
  <c r="E37" i="2"/>
  <c r="E38" i="2" s="1"/>
  <c r="D5" i="3"/>
  <c r="D6" i="3" s="1"/>
  <c r="D58" i="4" s="1"/>
  <c r="AA37" i="2"/>
  <c r="AA38" i="2" s="1"/>
  <c r="Z5" i="3"/>
  <c r="S37" i="2"/>
  <c r="S38" i="2" s="1"/>
  <c r="R5" i="3"/>
  <c r="K37" i="2"/>
  <c r="K38" i="2" s="1"/>
  <c r="J5" i="3"/>
  <c r="AA4" i="3"/>
  <c r="S4" i="3"/>
  <c r="K4" i="3"/>
  <c r="D56" i="3"/>
  <c r="D71" i="3"/>
  <c r="D57" i="3"/>
  <c r="AA71" i="3"/>
  <c r="AA57" i="3"/>
  <c r="S71" i="3"/>
  <c r="S57" i="3"/>
  <c r="AB70" i="3"/>
  <c r="T70" i="3"/>
  <c r="T71" i="3"/>
  <c r="T57" i="3"/>
  <c r="Z37" i="2"/>
  <c r="Z38" i="2" s="1"/>
  <c r="Y5" i="3"/>
  <c r="R37" i="2"/>
  <c r="R38" i="2" s="1"/>
  <c r="Q5" i="3"/>
  <c r="J37" i="2"/>
  <c r="J38" i="2" s="1"/>
  <c r="I5" i="3"/>
  <c r="Z4" i="3"/>
  <c r="R4" i="3"/>
  <c r="J4" i="3"/>
  <c r="Z71" i="3"/>
  <c r="Z57" i="3"/>
  <c r="R71" i="3"/>
  <c r="R57" i="3"/>
  <c r="AA70" i="3"/>
  <c r="S70" i="3"/>
  <c r="O56" i="3"/>
  <c r="Y4" i="3"/>
  <c r="Q4" i="3"/>
  <c r="I4" i="3"/>
  <c r="Y71" i="3"/>
  <c r="Y57" i="3"/>
  <c r="Q71" i="3"/>
  <c r="Q57" i="3"/>
  <c r="Z70" i="3"/>
  <c r="R70" i="3"/>
  <c r="I37" i="2"/>
  <c r="I38" i="2" s="1"/>
  <c r="H5" i="3"/>
  <c r="H37" i="2"/>
  <c r="H38" i="2" s="1"/>
  <c r="G5" i="3"/>
  <c r="X4" i="3"/>
  <c r="P4" i="3"/>
  <c r="H4" i="3"/>
  <c r="X71" i="3"/>
  <c r="X57" i="3"/>
  <c r="P71" i="3"/>
  <c r="P57" i="3"/>
  <c r="Y70" i="3"/>
  <c r="Q70" i="3"/>
  <c r="L37" i="2"/>
  <c r="L38" i="2" s="1"/>
  <c r="K5" i="3"/>
  <c r="P37" i="2"/>
  <c r="P38" i="2" s="1"/>
  <c r="O5" i="3"/>
  <c r="W37" i="2"/>
  <c r="W38" i="2" s="1"/>
  <c r="V5" i="3"/>
  <c r="O37" i="2"/>
  <c r="O38" i="2" s="1"/>
  <c r="N5" i="3"/>
  <c r="G37" i="2"/>
  <c r="G38" i="2" s="1"/>
  <c r="F5" i="3"/>
  <c r="W4" i="3"/>
  <c r="O4" i="3"/>
  <c r="G4" i="3"/>
  <c r="W71" i="3"/>
  <c r="W57" i="3"/>
  <c r="O71" i="3"/>
  <c r="O57" i="3"/>
  <c r="X70" i="3"/>
  <c r="P70" i="3"/>
  <c r="AB71" i="3"/>
  <c r="AB57" i="3"/>
  <c r="Q37" i="2"/>
  <c r="Q38" i="2" s="1"/>
  <c r="P5" i="3"/>
  <c r="N37" i="2"/>
  <c r="N38" i="2" s="1"/>
  <c r="M5" i="3"/>
  <c r="F37" i="2"/>
  <c r="F38" i="2" s="1"/>
  <c r="E5" i="3"/>
  <c r="V4" i="3"/>
  <c r="N4" i="3"/>
  <c r="F4" i="3"/>
  <c r="V71" i="3"/>
  <c r="V57" i="3"/>
  <c r="W70" i="3"/>
  <c r="O70" i="3"/>
  <c r="AB37" i="2"/>
  <c r="AB38" i="2" s="1"/>
  <c r="AA5" i="3"/>
  <c r="T37" i="2"/>
  <c r="T38" i="2" s="1"/>
  <c r="S5" i="3"/>
  <c r="Y37" i="2"/>
  <c r="Y38" i="2" s="1"/>
  <c r="X5" i="3"/>
  <c r="X37" i="2"/>
  <c r="X38" i="2" s="1"/>
  <c r="W5" i="3"/>
  <c r="V37" i="2"/>
  <c r="V38" i="2" s="1"/>
  <c r="U5" i="3"/>
  <c r="AC37" i="2"/>
  <c r="AC38" i="2" s="1"/>
  <c r="AB5" i="3"/>
  <c r="U37" i="2"/>
  <c r="U38" i="2" s="1"/>
  <c r="T5" i="3"/>
  <c r="M37" i="2"/>
  <c r="M38" i="2" s="1"/>
  <c r="L5" i="3"/>
  <c r="U4" i="3"/>
  <c r="M4" i="3"/>
  <c r="E4" i="3"/>
  <c r="U71" i="3"/>
  <c r="U57" i="3"/>
  <c r="V70" i="3"/>
  <c r="Z12" i="3"/>
  <c r="W12" i="3"/>
  <c r="O12" i="3"/>
  <c r="G12" i="3"/>
  <c r="S33" i="2"/>
  <c r="R12" i="3"/>
  <c r="Y12" i="3"/>
  <c r="Q12" i="3"/>
  <c r="I12" i="3"/>
  <c r="P65" i="2"/>
  <c r="X12" i="3"/>
  <c r="P12" i="3"/>
  <c r="H12" i="3"/>
  <c r="K33" i="2"/>
  <c r="J12" i="3"/>
  <c r="V12" i="3"/>
  <c r="N12" i="3"/>
  <c r="F12" i="3"/>
  <c r="U12" i="3"/>
  <c r="M12" i="3"/>
  <c r="E12" i="3"/>
  <c r="D12" i="3"/>
  <c r="AB12" i="3"/>
  <c r="T12" i="3"/>
  <c r="L12" i="3"/>
  <c r="AB33" i="2"/>
  <c r="AA12" i="3"/>
  <c r="T33" i="2"/>
  <c r="S12" i="3"/>
  <c r="L33" i="2"/>
  <c r="K12" i="3"/>
  <c r="E65" i="2"/>
  <c r="E29" i="2"/>
  <c r="E31" i="2" s="1"/>
  <c r="Z30" i="2"/>
  <c r="R30" i="2"/>
  <c r="J30" i="2"/>
  <c r="Y29" i="2"/>
  <c r="Y31" i="2" s="1"/>
  <c r="Q29" i="2"/>
  <c r="Q31" i="2" s="1"/>
  <c r="I29" i="2"/>
  <c r="I31" i="2" s="1"/>
  <c r="E34" i="2"/>
  <c r="E35" i="2" s="1"/>
  <c r="X29" i="2"/>
  <c r="X31" i="2" s="1"/>
  <c r="P29" i="2"/>
  <c r="P31" i="2" s="1"/>
  <c r="H29" i="2"/>
  <c r="H31" i="2" s="1"/>
  <c r="AA30" i="2"/>
  <c r="S30" i="2"/>
  <c r="K30" i="2"/>
  <c r="Y34" i="2"/>
  <c r="Y35" i="2" s="1"/>
  <c r="AB30" i="2"/>
  <c r="Y30" i="2"/>
  <c r="Q30" i="2"/>
  <c r="I30" i="2"/>
  <c r="I34" i="2"/>
  <c r="I35" i="2" s="1"/>
  <c r="L30" i="2"/>
  <c r="X30" i="2"/>
  <c r="P30" i="2"/>
  <c r="H30" i="2"/>
  <c r="T30" i="2"/>
  <c r="W28" i="2"/>
  <c r="O28" i="2"/>
  <c r="G28" i="2"/>
  <c r="W29" i="2"/>
  <c r="W31" i="2" s="1"/>
  <c r="V30" i="2"/>
  <c r="N30" i="2"/>
  <c r="O29" i="2"/>
  <c r="O31" i="2" s="1"/>
  <c r="AC30" i="2"/>
  <c r="U30" i="2"/>
  <c r="G29" i="2"/>
  <c r="G31" i="2" s="1"/>
  <c r="F28" i="2"/>
  <c r="X34" i="2"/>
  <c r="X35" i="2" s="1"/>
  <c r="P34" i="2"/>
  <c r="P35" i="2" s="1"/>
  <c r="H34" i="2"/>
  <c r="H35" i="2" s="1"/>
  <c r="AA33" i="2"/>
  <c r="V29" i="2"/>
  <c r="V31" i="2" s="1"/>
  <c r="N29" i="2"/>
  <c r="N31" i="2" s="1"/>
  <c r="F29" i="2"/>
  <c r="F31" i="2" s="1"/>
  <c r="E28" i="2"/>
  <c r="AC28" i="2"/>
  <c r="Z33" i="2"/>
  <c r="R33" i="2"/>
  <c r="J33" i="2"/>
  <c r="AC29" i="2"/>
  <c r="AC31" i="2" s="1"/>
  <c r="U29" i="2"/>
  <c r="U31" i="2" s="1"/>
  <c r="M29" i="2"/>
  <c r="M31" i="2" s="1"/>
  <c r="Y33" i="2"/>
  <c r="Q33" i="2"/>
  <c r="I33" i="2"/>
  <c r="AB29" i="2"/>
  <c r="AB31" i="2" s="1"/>
  <c r="T29" i="2"/>
  <c r="T31" i="2" s="1"/>
  <c r="L29" i="2"/>
  <c r="L31" i="2" s="1"/>
  <c r="AA28" i="2"/>
  <c r="S28" i="2"/>
  <c r="K28" i="2"/>
  <c r="X33" i="2"/>
  <c r="P33" i="2"/>
  <c r="H33" i="2"/>
  <c r="AA29" i="2"/>
  <c r="AA31" i="2" s="1"/>
  <c r="S29" i="2"/>
  <c r="S31" i="2" s="1"/>
  <c r="K29" i="2"/>
  <c r="K31" i="2" s="1"/>
  <c r="AB28" i="2"/>
  <c r="T28" i="2"/>
  <c r="L28" i="2"/>
  <c r="Z28" i="2"/>
  <c r="R28" i="2"/>
  <c r="J28" i="2"/>
  <c r="E30" i="2"/>
  <c r="W33" i="2"/>
  <c r="O33" i="2"/>
  <c r="G33" i="2"/>
  <c r="W30" i="2"/>
  <c r="O30" i="2"/>
  <c r="G30" i="2"/>
  <c r="Z29" i="2"/>
  <c r="Z31" i="2" s="1"/>
  <c r="R29" i="2"/>
  <c r="R31" i="2" s="1"/>
  <c r="J29" i="2"/>
  <c r="J31" i="2" s="1"/>
  <c r="V28" i="2"/>
  <c r="Y28" i="2"/>
  <c r="Q28" i="2"/>
  <c r="I28" i="2"/>
  <c r="V33" i="2"/>
  <c r="N33" i="2"/>
  <c r="F33" i="2"/>
  <c r="F30" i="2"/>
  <c r="U28" i="2"/>
  <c r="X28" i="2"/>
  <c r="P28" i="2"/>
  <c r="E33" i="2"/>
  <c r="AC33" i="2"/>
  <c r="U33" i="2"/>
  <c r="M33" i="2"/>
  <c r="M30" i="2"/>
  <c r="C36" i="2"/>
  <c r="C27" i="2"/>
  <c r="C26" i="2"/>
  <c r="C25" i="2"/>
  <c r="B5" i="1"/>
  <c r="B4" i="1"/>
  <c r="B3" i="1"/>
  <c r="E150" i="2"/>
  <c r="E175" i="2" s="1"/>
  <c r="E186" i="2" s="1"/>
  <c r="F186" i="2" s="1"/>
  <c r="G186" i="2" s="1"/>
  <c r="H186" i="2" s="1"/>
  <c r="I186" i="2" s="1"/>
  <c r="J186" i="2" s="1"/>
  <c r="K186" i="2" s="1"/>
  <c r="L186" i="2" s="1"/>
  <c r="M186" i="2" s="1"/>
  <c r="N186" i="2" s="1"/>
  <c r="O186" i="2" s="1"/>
  <c r="P186" i="2" s="1"/>
  <c r="Q186" i="2" s="1"/>
  <c r="R186" i="2" s="1"/>
  <c r="S186" i="2" s="1"/>
  <c r="T186" i="2" s="1"/>
  <c r="U186" i="2" s="1"/>
  <c r="V186" i="2" s="1"/>
  <c r="W186" i="2" s="1"/>
  <c r="X186" i="2" s="1"/>
  <c r="Y186" i="2" s="1"/>
  <c r="Z186" i="2" s="1"/>
  <c r="AA186" i="2" s="1"/>
  <c r="AB186" i="2" s="1"/>
  <c r="AC186" i="2" s="1"/>
  <c r="AD186" i="2" s="1"/>
  <c r="AE186" i="2" s="1"/>
  <c r="AF186" i="2" s="1"/>
  <c r="AG186" i="2" s="1"/>
  <c r="AH186" i="2" s="1"/>
  <c r="AI186" i="2" s="1"/>
  <c r="AJ186" i="2" s="1"/>
  <c r="AK186" i="2" s="1"/>
  <c r="E133" i="2"/>
  <c r="E116" i="2"/>
  <c r="C113" i="2"/>
  <c r="C112" i="2"/>
  <c r="C111" i="2"/>
  <c r="C110" i="2"/>
  <c r="E109" i="2"/>
  <c r="C105" i="2"/>
  <c r="E102" i="2"/>
  <c r="C99" i="2"/>
  <c r="C98" i="2"/>
  <c r="C97" i="2"/>
  <c r="C96" i="2"/>
  <c r="E95" i="2"/>
  <c r="F23" i="2"/>
  <c r="F87" i="2" s="1"/>
  <c r="AE6" i="3" l="1"/>
  <c r="AE7" i="3" s="1"/>
  <c r="AC70" i="3"/>
  <c r="C33" i="2"/>
  <c r="AH59" i="2"/>
  <c r="AH132" i="2"/>
  <c r="AF4" i="3"/>
  <c r="AF12" i="3"/>
  <c r="AG41" i="2"/>
  <c r="AG67" i="2" s="1"/>
  <c r="AG51" i="2"/>
  <c r="AG76" i="2" s="1"/>
  <c r="AG52" i="2"/>
  <c r="AG77" i="2" s="1"/>
  <c r="AH10" i="2"/>
  <c r="AH13" i="2"/>
  <c r="AI5" i="2"/>
  <c r="AH11" i="2"/>
  <c r="AH12" i="2"/>
  <c r="AH9" i="2"/>
  <c r="AH8" i="2"/>
  <c r="AH14" i="2"/>
  <c r="AE57" i="3"/>
  <c r="AE71" i="3"/>
  <c r="AG16" i="2"/>
  <c r="AG19" i="2"/>
  <c r="AE70" i="3"/>
  <c r="AF46" i="4"/>
  <c r="AF5" i="3"/>
  <c r="AG20" i="2"/>
  <c r="AG17" i="2"/>
  <c r="AC57" i="3"/>
  <c r="AC71" i="3"/>
  <c r="U6" i="3"/>
  <c r="U7" i="3" s="1"/>
  <c r="AJ82" i="2"/>
  <c r="AJ83" i="2" s="1"/>
  <c r="AK82" i="2"/>
  <c r="AK83" i="2" s="1"/>
  <c r="AE82" i="2"/>
  <c r="AE83" i="2" s="1"/>
  <c r="AE84" i="2" s="1"/>
  <c r="AF82" i="2"/>
  <c r="AF83" i="2" s="1"/>
  <c r="AF84" i="2" s="1"/>
  <c r="AD82" i="2"/>
  <c r="AD83" i="2" s="1"/>
  <c r="AD84" i="2" s="1"/>
  <c r="AH82" i="2"/>
  <c r="AH83" i="2" s="1"/>
  <c r="AH84" i="2" s="1"/>
  <c r="AG82" i="2"/>
  <c r="AG83" i="2" s="1"/>
  <c r="AG84" i="2" s="1"/>
  <c r="AI82" i="2"/>
  <c r="AI83" i="2" s="1"/>
  <c r="Q6" i="3"/>
  <c r="Q7" i="3" s="1"/>
  <c r="V6" i="3"/>
  <c r="V7" i="3" s="1"/>
  <c r="P58" i="2"/>
  <c r="O13" i="3" s="1"/>
  <c r="O67" i="3" s="1"/>
  <c r="D30" i="3"/>
  <c r="E49" i="3" s="1"/>
  <c r="E50" i="3" s="1"/>
  <c r="E58" i="2"/>
  <c r="D13" i="3" s="1"/>
  <c r="D15" i="3" s="1"/>
  <c r="D22" i="3" s="1"/>
  <c r="E86" i="2"/>
  <c r="L82" i="2"/>
  <c r="L83" i="2" s="1"/>
  <c r="T82" i="2"/>
  <c r="T83" i="2" s="1"/>
  <c r="AB82" i="2"/>
  <c r="AB83" i="2" s="1"/>
  <c r="M82" i="2"/>
  <c r="M83" i="2" s="1"/>
  <c r="U82" i="2"/>
  <c r="U83" i="2" s="1"/>
  <c r="AC82" i="2"/>
  <c r="AC83" i="2" s="1"/>
  <c r="X82" i="2"/>
  <c r="X83" i="2" s="1"/>
  <c r="Y82" i="2"/>
  <c r="Y83" i="2" s="1"/>
  <c r="K82" i="2"/>
  <c r="K83" i="2" s="1"/>
  <c r="F82" i="2"/>
  <c r="F83" i="2" s="1"/>
  <c r="F84" i="2" s="1"/>
  <c r="N82" i="2"/>
  <c r="N83" i="2" s="1"/>
  <c r="V82" i="2"/>
  <c r="V83" i="2" s="1"/>
  <c r="G82" i="2"/>
  <c r="G83" i="2" s="1"/>
  <c r="O82" i="2"/>
  <c r="O83" i="2" s="1"/>
  <c r="W82" i="2"/>
  <c r="W83" i="2" s="1"/>
  <c r="P82" i="2"/>
  <c r="P83" i="2" s="1"/>
  <c r="AA82" i="2"/>
  <c r="AA83" i="2" s="1"/>
  <c r="H82" i="2"/>
  <c r="H83" i="2" s="1"/>
  <c r="I82" i="2"/>
  <c r="I83" i="2" s="1"/>
  <c r="Q82" i="2"/>
  <c r="Q83" i="2" s="1"/>
  <c r="E82" i="2"/>
  <c r="E83" i="2" s="1"/>
  <c r="E84" i="2" s="1"/>
  <c r="J82" i="2"/>
  <c r="J83" i="2" s="1"/>
  <c r="R82" i="2"/>
  <c r="R83" i="2" s="1"/>
  <c r="Z82" i="2"/>
  <c r="Z83" i="2" s="1"/>
  <c r="S82" i="2"/>
  <c r="S83" i="2" s="1"/>
  <c r="O30" i="3"/>
  <c r="AB6" i="3"/>
  <c r="T6" i="3"/>
  <c r="D7" i="3"/>
  <c r="D21" i="3" s="1"/>
  <c r="N6" i="3"/>
  <c r="L6" i="3"/>
  <c r="H6" i="3"/>
  <c r="Y6" i="3"/>
  <c r="G6" i="3"/>
  <c r="J6" i="3"/>
  <c r="I6" i="3"/>
  <c r="C38" i="2"/>
  <c r="W6" i="3"/>
  <c r="X6" i="3"/>
  <c r="Z6" i="3"/>
  <c r="G23" i="2"/>
  <c r="F64" i="2"/>
  <c r="F81" i="2"/>
  <c r="F56" i="2"/>
  <c r="C37" i="2"/>
  <c r="F6" i="3"/>
  <c r="O58" i="3"/>
  <c r="D58" i="3"/>
  <c r="K6" i="3"/>
  <c r="S6" i="3"/>
  <c r="E6" i="3"/>
  <c r="E58" i="4" s="1"/>
  <c r="O6" i="3"/>
  <c r="R6" i="3"/>
  <c r="AA6" i="3"/>
  <c r="M6" i="3"/>
  <c r="P6" i="3"/>
  <c r="C31" i="2"/>
  <c r="C28" i="2"/>
  <c r="C30" i="2"/>
  <c r="C29" i="2"/>
  <c r="C35" i="2"/>
  <c r="C34" i="2"/>
  <c r="C103" i="2"/>
  <c r="C104" i="2"/>
  <c r="C106" i="2"/>
  <c r="F133" i="2"/>
  <c r="F150" i="2"/>
  <c r="F175" i="2" s="1"/>
  <c r="F102" i="2"/>
  <c r="F95" i="2"/>
  <c r="F116" i="2"/>
  <c r="F109" i="2"/>
  <c r="AG50" i="2" l="1"/>
  <c r="AG75" i="2" s="1"/>
  <c r="C143" i="2"/>
  <c r="AG5" i="3"/>
  <c r="AG46" i="4"/>
  <c r="AH17" i="2"/>
  <c r="AH20" i="2"/>
  <c r="AG42" i="2"/>
  <c r="AG68" i="2" s="1"/>
  <c r="C136" i="2"/>
  <c r="AG40" i="2"/>
  <c r="AG66" i="2" s="1"/>
  <c r="AG147" i="2"/>
  <c r="AG49" i="2"/>
  <c r="AG74" i="2" s="1"/>
  <c r="C142" i="2"/>
  <c r="AF6" i="3"/>
  <c r="AF7" i="3" s="1"/>
  <c r="AI59" i="2"/>
  <c r="AI132" i="2"/>
  <c r="AG47" i="2"/>
  <c r="AG73" i="2" s="1"/>
  <c r="C141" i="2"/>
  <c r="AG53" i="2"/>
  <c r="AG78" i="2" s="1"/>
  <c r="C146" i="2"/>
  <c r="AH19" i="2"/>
  <c r="AH16" i="2"/>
  <c r="AG46" i="2"/>
  <c r="AG72" i="2" s="1"/>
  <c r="C140" i="2"/>
  <c r="AG43" i="2"/>
  <c r="AG69" i="2" s="1"/>
  <c r="C137" i="2"/>
  <c r="AH58" i="2"/>
  <c r="AG13" i="3" s="1"/>
  <c r="AG67" i="3" s="1"/>
  <c r="AG12" i="3"/>
  <c r="AG45" i="2"/>
  <c r="AG71" i="2" s="1"/>
  <c r="C139" i="2"/>
  <c r="C144" i="2"/>
  <c r="AG44" i="2"/>
  <c r="AG70" i="2" s="1"/>
  <c r="C138" i="2"/>
  <c r="AG4" i="3"/>
  <c r="AI10" i="2"/>
  <c r="AI11" i="2"/>
  <c r="AI9" i="2"/>
  <c r="AI8" i="2"/>
  <c r="AI14" i="2"/>
  <c r="AI12" i="2"/>
  <c r="AI13" i="2"/>
  <c r="AJ5" i="2"/>
  <c r="C145" i="2"/>
  <c r="J7" i="3"/>
  <c r="J58" i="4"/>
  <c r="K7" i="3"/>
  <c r="K58" i="4"/>
  <c r="F7" i="3"/>
  <c r="F58" i="4"/>
  <c r="E63" i="4"/>
  <c r="E62" i="4"/>
  <c r="I7" i="3"/>
  <c r="I58" i="4"/>
  <c r="G7" i="3"/>
  <c r="G58" i="4"/>
  <c r="H7" i="3"/>
  <c r="H58" i="4"/>
  <c r="AI87" i="2"/>
  <c r="AJ87" i="2"/>
  <c r="AJ84" i="2" s="1"/>
  <c r="AK87" i="2"/>
  <c r="AK84" i="2" s="1"/>
  <c r="G150" i="2"/>
  <c r="G175" i="2" s="1"/>
  <c r="G87" i="2"/>
  <c r="G84" i="2" s="1"/>
  <c r="D38" i="3"/>
  <c r="Y7" i="3"/>
  <c r="AB7" i="3"/>
  <c r="N7" i="3"/>
  <c r="AA7" i="3"/>
  <c r="S7" i="3"/>
  <c r="Z7" i="3"/>
  <c r="X7" i="3"/>
  <c r="M7" i="3"/>
  <c r="P7" i="3"/>
  <c r="R7" i="3"/>
  <c r="W7" i="3"/>
  <c r="L7" i="3"/>
  <c r="O7" i="3"/>
  <c r="T7" i="3"/>
  <c r="G116" i="2"/>
  <c r="G95" i="2"/>
  <c r="G102" i="2"/>
  <c r="E7" i="3"/>
  <c r="G133" i="2"/>
  <c r="H23" i="2"/>
  <c r="G109" i="2"/>
  <c r="G64" i="2"/>
  <c r="G81" i="2"/>
  <c r="G56" i="2"/>
  <c r="D67" i="3"/>
  <c r="E18" i="3"/>
  <c r="E19" i="3" s="1"/>
  <c r="C24" i="2"/>
  <c r="AF56" i="3" l="1"/>
  <c r="AH4" i="3"/>
  <c r="AF70" i="3"/>
  <c r="AH12" i="3"/>
  <c r="AI58" i="2"/>
  <c r="AH13" i="3" s="1"/>
  <c r="AH67" i="3" s="1"/>
  <c r="AI16" i="2"/>
  <c r="AI19" i="2"/>
  <c r="AH5" i="3"/>
  <c r="AH46" i="4"/>
  <c r="AF71" i="3"/>
  <c r="AF57" i="3"/>
  <c r="AJ132" i="2"/>
  <c r="AJ59" i="2"/>
  <c r="AI20" i="2"/>
  <c r="AI17" i="2"/>
  <c r="AG6" i="3"/>
  <c r="AJ11" i="2"/>
  <c r="AJ9" i="2"/>
  <c r="AJ12" i="2"/>
  <c r="AJ10" i="2"/>
  <c r="AJ8" i="2"/>
  <c r="AJ13" i="2"/>
  <c r="AJ14" i="2"/>
  <c r="AG65" i="2"/>
  <c r="F63" i="4"/>
  <c r="F62" i="4"/>
  <c r="H63" i="4"/>
  <c r="H62" i="4"/>
  <c r="G63" i="4"/>
  <c r="G62" i="4"/>
  <c r="K63" i="4"/>
  <c r="K62" i="4"/>
  <c r="I63" i="4"/>
  <c r="I62" i="4"/>
  <c r="J63" i="4"/>
  <c r="J62" i="4"/>
  <c r="AI84" i="2"/>
  <c r="I23" i="2"/>
  <c r="I87" i="2" s="1"/>
  <c r="I84" i="2" s="1"/>
  <c r="H87" i="2"/>
  <c r="H84" i="2" s="1"/>
  <c r="H102" i="2"/>
  <c r="H116" i="2"/>
  <c r="H95" i="2"/>
  <c r="H150" i="2"/>
  <c r="H175" i="2" s="1"/>
  <c r="H133" i="2"/>
  <c r="H109" i="2"/>
  <c r="H81" i="2"/>
  <c r="H56" i="2"/>
  <c r="H64" i="2"/>
  <c r="D23" i="3"/>
  <c r="AF58" i="3" l="1"/>
  <c r="AI4" i="3"/>
  <c r="AH6" i="3"/>
  <c r="AH7" i="3" s="1"/>
  <c r="AK132" i="2"/>
  <c r="AK59" i="2"/>
  <c r="AI46" i="4"/>
  <c r="AI5" i="3"/>
  <c r="AI12" i="3"/>
  <c r="AJ58" i="2"/>
  <c r="AI13" i="3" s="1"/>
  <c r="AI67" i="3" s="1"/>
  <c r="AJ20" i="2"/>
  <c r="AJ17" i="2"/>
  <c r="AF30" i="3"/>
  <c r="AG58" i="2"/>
  <c r="AF13" i="3" s="1"/>
  <c r="AF67" i="3" s="1"/>
  <c r="AJ16" i="2"/>
  <c r="AJ19" i="2"/>
  <c r="AG7" i="3"/>
  <c r="I133" i="2"/>
  <c r="I95" i="2"/>
  <c r="I64" i="2"/>
  <c r="J23" i="2"/>
  <c r="J87" i="2" s="1"/>
  <c r="J84" i="2" s="1"/>
  <c r="I102" i="2"/>
  <c r="I150" i="2"/>
  <c r="I175" i="2" s="1"/>
  <c r="I109" i="2"/>
  <c r="I56" i="2"/>
  <c r="I116" i="2"/>
  <c r="I81" i="2"/>
  <c r="D25" i="3"/>
  <c r="AI6" i="3" l="1"/>
  <c r="AI7" i="3" s="1"/>
  <c r="AJ4" i="3"/>
  <c r="B4" i="3" s="1"/>
  <c r="AJ12" i="3"/>
  <c r="B12" i="3" s="1"/>
  <c r="AK58" i="2"/>
  <c r="AJ13" i="3" s="1"/>
  <c r="AJ67" i="3" s="1"/>
  <c r="AJ46" i="4"/>
  <c r="B46" i="4" s="1"/>
  <c r="AJ5" i="3"/>
  <c r="J95" i="2"/>
  <c r="J109" i="2"/>
  <c r="J102" i="2"/>
  <c r="C59" i="2"/>
  <c r="J133" i="2"/>
  <c r="K23" i="2"/>
  <c r="K87" i="2" s="1"/>
  <c r="K84" i="2" s="1"/>
  <c r="J64" i="2"/>
  <c r="J150" i="2"/>
  <c r="J175" i="2" s="1"/>
  <c r="J56" i="2"/>
  <c r="J81" i="2"/>
  <c r="J116" i="2"/>
  <c r="D54" i="4"/>
  <c r="D26" i="3"/>
  <c r="K81" i="2"/>
  <c r="D64" i="3"/>
  <c r="AI58" i="4" l="1"/>
  <c r="AI63" i="4" s="1"/>
  <c r="L23" i="2"/>
  <c r="L87" i="2" s="1"/>
  <c r="L84" i="2" s="1"/>
  <c r="K133" i="2"/>
  <c r="K109" i="2"/>
  <c r="K64" i="2"/>
  <c r="K95" i="2"/>
  <c r="K116" i="2"/>
  <c r="AJ6" i="3"/>
  <c r="B5" i="3"/>
  <c r="K102" i="2"/>
  <c r="K150" i="2"/>
  <c r="K175" i="2" s="1"/>
  <c r="K56" i="2"/>
  <c r="L64" i="2"/>
  <c r="L81" i="2"/>
  <c r="L56" i="2"/>
  <c r="D35" i="3"/>
  <c r="D36" i="3" s="1"/>
  <c r="D40" i="3"/>
  <c r="D42" i="3" s="1"/>
  <c r="L116" i="2"/>
  <c r="L109" i="2"/>
  <c r="L133" i="2"/>
  <c r="L150" i="2"/>
  <c r="L175" i="2" s="1"/>
  <c r="L102" i="2"/>
  <c r="L95" i="2"/>
  <c r="M23" i="2"/>
  <c r="M87" i="2" s="1"/>
  <c r="M84" i="2" s="1"/>
  <c r="AI62" i="4" l="1"/>
  <c r="AJ7" i="3"/>
  <c r="B7" i="3" s="1"/>
  <c r="AJ58" i="4"/>
  <c r="B6" i="3"/>
  <c r="M81" i="2"/>
  <c r="M56" i="2"/>
  <c r="M64" i="2"/>
  <c r="D39" i="3"/>
  <c r="D43" i="3" s="1"/>
  <c r="D41" i="3"/>
  <c r="E37" i="3" s="1"/>
  <c r="E32" i="3" s="1"/>
  <c r="E33" i="3" s="1"/>
  <c r="D61" i="3"/>
  <c r="D72" i="3" s="1"/>
  <c r="E31" i="3"/>
  <c r="M133" i="2"/>
  <c r="M150" i="2"/>
  <c r="M175" i="2" s="1"/>
  <c r="M102" i="2"/>
  <c r="M95" i="2"/>
  <c r="M116" i="2"/>
  <c r="N23" i="2"/>
  <c r="N87" i="2" s="1"/>
  <c r="N84" i="2" s="1"/>
  <c r="M109" i="2"/>
  <c r="AJ62" i="4" l="1"/>
  <c r="AJ63" i="4"/>
  <c r="D55" i="4"/>
  <c r="N64" i="2"/>
  <c r="N81" i="2"/>
  <c r="N56" i="2"/>
  <c r="E60" i="3"/>
  <c r="D65" i="3"/>
  <c r="D44" i="3"/>
  <c r="N133" i="2"/>
  <c r="N150" i="2"/>
  <c r="N175" i="2" s="1"/>
  <c r="N102" i="2"/>
  <c r="N95" i="2"/>
  <c r="N116" i="2"/>
  <c r="N109" i="2"/>
  <c r="O23" i="2"/>
  <c r="O87" i="2" s="1"/>
  <c r="O84" i="2" s="1"/>
  <c r="E34" i="3" l="1"/>
  <c r="O56" i="2"/>
  <c r="O64" i="2"/>
  <c r="O81" i="2"/>
  <c r="D48" i="3"/>
  <c r="O150" i="2"/>
  <c r="O175" i="2" s="1"/>
  <c r="O102" i="2"/>
  <c r="O95" i="2"/>
  <c r="P23" i="2"/>
  <c r="O109" i="2"/>
  <c r="O133" i="2"/>
  <c r="O116" i="2"/>
  <c r="P133" i="2" l="1"/>
  <c r="P150" i="2"/>
  <c r="P175" i="2" s="1"/>
  <c r="P116" i="2"/>
  <c r="P87" i="2"/>
  <c r="P84" i="2" s="1"/>
  <c r="P81" i="2"/>
  <c r="P56" i="2"/>
  <c r="P64" i="2"/>
  <c r="D51" i="3"/>
  <c r="D52" i="3"/>
  <c r="D53" i="4" s="1"/>
  <c r="D59" i="4" s="1"/>
  <c r="P102" i="2"/>
  <c r="P95" i="2"/>
  <c r="P109" i="2"/>
  <c r="Q23" i="2"/>
  <c r="Q133" i="2" l="1"/>
  <c r="Q116" i="2"/>
  <c r="Q150" i="2"/>
  <c r="Q175" i="2" s="1"/>
  <c r="Q87" i="2"/>
  <c r="Q84" i="2" s="1"/>
  <c r="D52" i="4"/>
  <c r="D28" i="4"/>
  <c r="D17" i="4"/>
  <c r="Q56" i="2"/>
  <c r="Q64" i="2"/>
  <c r="Q81" i="2"/>
  <c r="D63" i="3"/>
  <c r="Q109" i="2"/>
  <c r="Q102" i="2"/>
  <c r="Q95" i="2"/>
  <c r="R23" i="2"/>
  <c r="R133" i="2" l="1"/>
  <c r="R150" i="2"/>
  <c r="R175" i="2" s="1"/>
  <c r="R116" i="2"/>
  <c r="R87" i="2"/>
  <c r="R84" i="2" s="1"/>
  <c r="D34" i="4"/>
  <c r="D29" i="4"/>
  <c r="D32" i="4"/>
  <c r="D23" i="4"/>
  <c r="D21" i="4"/>
  <c r="D18" i="4"/>
  <c r="R81" i="2"/>
  <c r="R56" i="2"/>
  <c r="R64" i="2"/>
  <c r="D74" i="3"/>
  <c r="D75" i="3"/>
  <c r="R109" i="2"/>
  <c r="R102" i="2"/>
  <c r="R95" i="2"/>
  <c r="S23" i="2"/>
  <c r="S150" i="2" l="1"/>
  <c r="S175" i="2" s="1"/>
  <c r="S116" i="2"/>
  <c r="S133" i="2"/>
  <c r="S87" i="2"/>
  <c r="S84" i="2" s="1"/>
  <c r="S81" i="2"/>
  <c r="S56" i="2"/>
  <c r="S64" i="2"/>
  <c r="D80" i="3"/>
  <c r="D76" i="3"/>
  <c r="S109" i="2"/>
  <c r="S95" i="2"/>
  <c r="T23" i="2"/>
  <c r="S102" i="2"/>
  <c r="T150" i="2" l="1"/>
  <c r="T175" i="2" s="1"/>
  <c r="T116" i="2"/>
  <c r="T133" i="2"/>
  <c r="T87" i="2"/>
  <c r="T84" i="2" s="1"/>
  <c r="T64" i="2"/>
  <c r="T81" i="2"/>
  <c r="T56" i="2"/>
  <c r="D79" i="3"/>
  <c r="T109" i="2"/>
  <c r="T102" i="2"/>
  <c r="T95" i="2"/>
  <c r="U23" i="2"/>
  <c r="U133" i="2" l="1"/>
  <c r="U150" i="2"/>
  <c r="U175" i="2" s="1"/>
  <c r="U116" i="2"/>
  <c r="U87" i="2"/>
  <c r="U84" i="2" s="1"/>
  <c r="U64" i="2"/>
  <c r="U81" i="2"/>
  <c r="U56" i="2"/>
  <c r="D81" i="3"/>
  <c r="D82" i="3" s="1"/>
  <c r="D84" i="3" s="1"/>
  <c r="U102" i="2"/>
  <c r="U95" i="2"/>
  <c r="U109" i="2"/>
  <c r="V23" i="2"/>
  <c r="V133" i="2" l="1"/>
  <c r="V150" i="2"/>
  <c r="V175" i="2" s="1"/>
  <c r="V116" i="2"/>
  <c r="V87" i="2"/>
  <c r="V84" i="2" s="1"/>
  <c r="V64" i="2"/>
  <c r="V81" i="2"/>
  <c r="V56" i="2"/>
  <c r="E78" i="3"/>
  <c r="V102" i="2"/>
  <c r="V95" i="2"/>
  <c r="V109" i="2"/>
  <c r="W23" i="2"/>
  <c r="W133" i="2" l="1"/>
  <c r="W150" i="2"/>
  <c r="W175" i="2" s="1"/>
  <c r="W116" i="2"/>
  <c r="W87" i="2"/>
  <c r="W84" i="2" s="1"/>
  <c r="W81" i="2"/>
  <c r="W64" i="2"/>
  <c r="W56" i="2"/>
  <c r="D83" i="3"/>
  <c r="W102" i="2"/>
  <c r="W95" i="2"/>
  <c r="W109" i="2"/>
  <c r="X23" i="2"/>
  <c r="X133" i="2" l="1"/>
  <c r="X150" i="2"/>
  <c r="X175" i="2" s="1"/>
  <c r="X116" i="2"/>
  <c r="X87" i="2"/>
  <c r="X84" i="2" s="1"/>
  <c r="D39" i="4"/>
  <c r="D40" i="4" s="1"/>
  <c r="X81" i="2"/>
  <c r="X56" i="2"/>
  <c r="X64" i="2"/>
  <c r="X102" i="2"/>
  <c r="X95" i="2"/>
  <c r="X109" i="2"/>
  <c r="Y23" i="2"/>
  <c r="Y116" i="2" l="1"/>
  <c r="Y133" i="2"/>
  <c r="Y150" i="2"/>
  <c r="Y175" i="2" s="1"/>
  <c r="Y87" i="2"/>
  <c r="Y84" i="2" s="1"/>
  <c r="D45" i="4"/>
  <c r="D47" i="4" s="1"/>
  <c r="Y56" i="2"/>
  <c r="Y81" i="2"/>
  <c r="Y64" i="2"/>
  <c r="Y109" i="2"/>
  <c r="Y95" i="2"/>
  <c r="Y102" i="2"/>
  <c r="Z23" i="2"/>
  <c r="Z116" i="2" l="1"/>
  <c r="Z150" i="2"/>
  <c r="Z175" i="2" s="1"/>
  <c r="Z133" i="2"/>
  <c r="Z87" i="2"/>
  <c r="Z84" i="2" s="1"/>
  <c r="Z81" i="2"/>
  <c r="Z56" i="2"/>
  <c r="Z64" i="2"/>
  <c r="Z109" i="2"/>
  <c r="Z102" i="2"/>
  <c r="Z95" i="2"/>
  <c r="AA23" i="2"/>
  <c r="AA116" i="2" l="1"/>
  <c r="AA150" i="2"/>
  <c r="AA175" i="2" s="1"/>
  <c r="AA133" i="2"/>
  <c r="AA87" i="2"/>
  <c r="AA84" i="2" s="1"/>
  <c r="AA81" i="2"/>
  <c r="AA56" i="2"/>
  <c r="AA64" i="2"/>
  <c r="AA109" i="2"/>
  <c r="AA95" i="2"/>
  <c r="AA102" i="2"/>
  <c r="AB23" i="2"/>
  <c r="AB150" i="2" l="1"/>
  <c r="AB175" i="2" s="1"/>
  <c r="AB116" i="2"/>
  <c r="AB133" i="2"/>
  <c r="AB87" i="2"/>
  <c r="AB84" i="2" s="1"/>
  <c r="AB64" i="2"/>
  <c r="AB56" i="2"/>
  <c r="AB81" i="2"/>
  <c r="AB109" i="2"/>
  <c r="AB102" i="2"/>
  <c r="AB95" i="2"/>
  <c r="AC23" i="2"/>
  <c r="AD23" i="2" s="1"/>
  <c r="AE23" i="2" l="1"/>
  <c r="AD116" i="2"/>
  <c r="AD64" i="2"/>
  <c r="AD95" i="2"/>
  <c r="AD150" i="2"/>
  <c r="AD175" i="2" s="1"/>
  <c r="AD109" i="2"/>
  <c r="AD133" i="2"/>
  <c r="AD102" i="2"/>
  <c r="AD81" i="2"/>
  <c r="AD56" i="2"/>
  <c r="AC133" i="2"/>
  <c r="AC150" i="2"/>
  <c r="AC175" i="2" s="1"/>
  <c r="AC116" i="2"/>
  <c r="AC87" i="2"/>
  <c r="AC84" i="2" s="1"/>
  <c r="AC64" i="2"/>
  <c r="AC81" i="2"/>
  <c r="AC56" i="2"/>
  <c r="AC102" i="2"/>
  <c r="AC95" i="2"/>
  <c r="AC109" i="2"/>
  <c r="AE102" i="2" l="1"/>
  <c r="AE150" i="2"/>
  <c r="AE175" i="2" s="1"/>
  <c r="AE109" i="2"/>
  <c r="AE95" i="2"/>
  <c r="AE133" i="2"/>
  <c r="AE116" i="2"/>
  <c r="AE81" i="2"/>
  <c r="AF23" i="2"/>
  <c r="AE56" i="2"/>
  <c r="AE64" i="2"/>
  <c r="AF150" i="2" l="1"/>
  <c r="AF175" i="2" s="1"/>
  <c r="AF95" i="2"/>
  <c r="AF109" i="2"/>
  <c r="AF102" i="2"/>
  <c r="AF133" i="2"/>
  <c r="AF116" i="2"/>
  <c r="AG23" i="2"/>
  <c r="AF64" i="2"/>
  <c r="AF81" i="2"/>
  <c r="AF56" i="2"/>
  <c r="AH23" i="2" l="1"/>
  <c r="AG64" i="2"/>
  <c r="AG102" i="2"/>
  <c r="AG56" i="2"/>
  <c r="AG150" i="2"/>
  <c r="AG175" i="2" s="1"/>
  <c r="AG109" i="2"/>
  <c r="AG81" i="2"/>
  <c r="AG133" i="2"/>
  <c r="AG116" i="2"/>
  <c r="AH116" i="2" l="1"/>
  <c r="AH133" i="2"/>
  <c r="AH102" i="2"/>
  <c r="AH109" i="2"/>
  <c r="AH150" i="2"/>
  <c r="AH175" i="2" s="1"/>
  <c r="AH56" i="2"/>
  <c r="AI23" i="2"/>
  <c r="AH64" i="2"/>
  <c r="AH81" i="2"/>
  <c r="C87" i="2"/>
  <c r="AI150" i="2" l="1"/>
  <c r="AI175" i="2" s="1"/>
  <c r="AI116" i="2"/>
  <c r="AI102" i="2"/>
  <c r="AI109" i="2"/>
  <c r="AI81" i="2"/>
  <c r="AJ23" i="2"/>
  <c r="AI64" i="2"/>
  <c r="AI56" i="2"/>
  <c r="AI133" i="2"/>
  <c r="AI95" i="2"/>
  <c r="C84" i="2"/>
  <c r="B13" i="4"/>
  <c r="D24" i="3"/>
  <c r="E16" i="3" s="1"/>
  <c r="E17" i="3" s="1"/>
  <c r="AJ150" i="2" l="1"/>
  <c r="AJ175" i="2" s="1"/>
  <c r="AJ116" i="2"/>
  <c r="AJ102" i="2"/>
  <c r="AJ109" i="2"/>
  <c r="AJ81" i="2"/>
  <c r="AK23" i="2"/>
  <c r="AJ64" i="2"/>
  <c r="AJ56" i="2"/>
  <c r="AJ133" i="2"/>
  <c r="AJ95" i="2"/>
  <c r="E20" i="3"/>
  <c r="AE85" i="2"/>
  <c r="AF85" i="2"/>
  <c r="AD85" i="2"/>
  <c r="AG85" i="2"/>
  <c r="AH85" i="2"/>
  <c r="AI85" i="2"/>
  <c r="AJ85" i="2"/>
  <c r="AK85" i="2"/>
  <c r="X85" i="2"/>
  <c r="I85" i="2"/>
  <c r="J85" i="2"/>
  <c r="E85" i="2"/>
  <c r="H85" i="2"/>
  <c r="L85" i="2"/>
  <c r="K85" i="2"/>
  <c r="G85" i="2"/>
  <c r="F85" i="2"/>
  <c r="M85" i="2"/>
  <c r="N85" i="2"/>
  <c r="O85" i="2"/>
  <c r="P85" i="2"/>
  <c r="Q85" i="2"/>
  <c r="R85" i="2"/>
  <c r="S85" i="2"/>
  <c r="T85" i="2"/>
  <c r="U85" i="2"/>
  <c r="V85" i="2"/>
  <c r="W85" i="2"/>
  <c r="Y85" i="2"/>
  <c r="Z85" i="2"/>
  <c r="AA85" i="2"/>
  <c r="AB85" i="2"/>
  <c r="AC85" i="2"/>
  <c r="AK109" i="2" l="1"/>
  <c r="AK150" i="2"/>
  <c r="AK175" i="2" s="1"/>
  <c r="AK116" i="2"/>
  <c r="AK102" i="2"/>
  <c r="AK81" i="2"/>
  <c r="AK64" i="2"/>
  <c r="AK56" i="2"/>
  <c r="AK133" i="2"/>
  <c r="AK95" i="2"/>
  <c r="E21" i="3"/>
  <c r="F18" i="3" s="1"/>
  <c r="F19" i="3" s="1"/>
  <c r="G66" i="2" l="1"/>
  <c r="G74" i="2"/>
  <c r="G72" i="2"/>
  <c r="G70" i="2"/>
  <c r="G71" i="2"/>
  <c r="G69" i="2"/>
  <c r="G67" i="2"/>
  <c r="G75" i="2"/>
  <c r="G73" i="2"/>
  <c r="G68" i="2"/>
  <c r="G76" i="2"/>
  <c r="I71" i="2"/>
  <c r="O69" i="2"/>
  <c r="I68" i="2"/>
  <c r="I74" i="2"/>
  <c r="I76" i="2"/>
  <c r="K67" i="2"/>
  <c r="M67" i="2"/>
  <c r="K71" i="2"/>
  <c r="M76" i="2"/>
  <c r="I75" i="2"/>
  <c r="K69" i="2"/>
  <c r="M73" i="2"/>
  <c r="K76" i="2"/>
  <c r="M72" i="2"/>
  <c r="O72" i="2"/>
  <c r="O74" i="2"/>
  <c r="M75" i="2"/>
  <c r="M69" i="2"/>
  <c r="O73" i="2"/>
  <c r="I72" i="2"/>
  <c r="I73" i="2"/>
  <c r="M68" i="2"/>
  <c r="M70" i="2"/>
  <c r="O71" i="2"/>
  <c r="K68" i="2"/>
  <c r="K75" i="2"/>
  <c r="I66" i="2"/>
  <c r="K70" i="2"/>
  <c r="O76" i="2"/>
  <c r="O68" i="2"/>
  <c r="K72" i="2"/>
  <c r="O70" i="2"/>
  <c r="M74" i="2"/>
  <c r="I67" i="2"/>
  <c r="M66" i="2"/>
  <c r="O66" i="2"/>
  <c r="K66" i="2"/>
  <c r="O75" i="2"/>
  <c r="K74" i="2"/>
  <c r="K73" i="2"/>
  <c r="I69" i="2"/>
  <c r="I70" i="2"/>
  <c r="O67" i="2"/>
  <c r="M71" i="2"/>
  <c r="F69" i="2"/>
  <c r="N67" i="2"/>
  <c r="N76" i="2"/>
  <c r="J67" i="2"/>
  <c r="H70" i="2"/>
  <c r="N73" i="2"/>
  <c r="H67" i="2"/>
  <c r="F74" i="2"/>
  <c r="F75" i="2"/>
  <c r="H76" i="2"/>
  <c r="F72" i="2"/>
  <c r="L73" i="2"/>
  <c r="F70" i="2"/>
  <c r="L72" i="2"/>
  <c r="H69" i="2"/>
  <c r="N70" i="2"/>
  <c r="N71" i="2"/>
  <c r="F76" i="2"/>
  <c r="N75" i="2"/>
  <c r="J73" i="2"/>
  <c r="H74" i="2"/>
  <c r="J75" i="2"/>
  <c r="F68" i="2"/>
  <c r="F67" i="2"/>
  <c r="L70" i="2"/>
  <c r="N69" i="2"/>
  <c r="J72" i="2"/>
  <c r="J76" i="2"/>
  <c r="F66" i="2"/>
  <c r="H72" i="2"/>
  <c r="L75" i="2"/>
  <c r="J68" i="2"/>
  <c r="H73" i="2"/>
  <c r="L69" i="2"/>
  <c r="L74" i="2"/>
  <c r="J71" i="2"/>
  <c r="N66" i="2"/>
  <c r="N74" i="2"/>
  <c r="F73" i="2"/>
  <c r="L68" i="2"/>
  <c r="H75" i="2"/>
  <c r="J70" i="2"/>
  <c r="H68" i="2"/>
  <c r="N72" i="2"/>
  <c r="J69" i="2"/>
  <c r="F71" i="2"/>
  <c r="H66" i="2"/>
  <c r="J74" i="2"/>
  <c r="H71" i="2"/>
  <c r="L66" i="2"/>
  <c r="L71" i="2"/>
  <c r="L67" i="2"/>
  <c r="L76" i="2"/>
  <c r="N68" i="2"/>
  <c r="H70" i="3" l="1"/>
  <c r="N70" i="3"/>
  <c r="K70" i="3"/>
  <c r="I70" i="3"/>
  <c r="J56" i="3"/>
  <c r="L70" i="3"/>
  <c r="N56" i="3"/>
  <c r="M70" i="3"/>
  <c r="F70" i="3"/>
  <c r="G56" i="3"/>
  <c r="E71" i="3"/>
  <c r="E57" i="3"/>
  <c r="E56" i="3"/>
  <c r="N71" i="3"/>
  <c r="N57" i="3"/>
  <c r="G70" i="3"/>
  <c r="J71" i="3"/>
  <c r="J57" i="3"/>
  <c r="H71" i="3"/>
  <c r="H57" i="3"/>
  <c r="L56" i="3"/>
  <c r="J70" i="3"/>
  <c r="F71" i="3"/>
  <c r="F57" i="3"/>
  <c r="K56" i="3"/>
  <c r="H56" i="3"/>
  <c r="M71" i="3"/>
  <c r="M57" i="3"/>
  <c r="K71" i="3"/>
  <c r="K57" i="3"/>
  <c r="M56" i="3"/>
  <c r="G71" i="3"/>
  <c r="G57" i="3"/>
  <c r="I71" i="3"/>
  <c r="I57" i="3"/>
  <c r="E70" i="3"/>
  <c r="L71" i="3"/>
  <c r="L57" i="3"/>
  <c r="F56" i="3"/>
  <c r="I65" i="2"/>
  <c r="C71" i="2"/>
  <c r="O65" i="2"/>
  <c r="F65" i="2"/>
  <c r="C73" i="2"/>
  <c r="L65" i="2"/>
  <c r="C68" i="2"/>
  <c r="K65" i="2"/>
  <c r="H65" i="2"/>
  <c r="C78" i="2"/>
  <c r="M65" i="2"/>
  <c r="C76" i="2"/>
  <c r="C75" i="2"/>
  <c r="C74" i="2"/>
  <c r="G65" i="2"/>
  <c r="N65" i="2"/>
  <c r="C70" i="2"/>
  <c r="C77" i="2"/>
  <c r="C69" i="2"/>
  <c r="C72" i="2"/>
  <c r="C47" i="2"/>
  <c r="C50" i="2"/>
  <c r="C44" i="2"/>
  <c r="C45" i="2"/>
  <c r="C53" i="2"/>
  <c r="C52" i="2"/>
  <c r="C49" i="2"/>
  <c r="C51" i="2"/>
  <c r="C42" i="2"/>
  <c r="C46" i="2"/>
  <c r="C48" i="5" s="1"/>
  <c r="C43" i="2"/>
  <c r="E57" i="2"/>
  <c r="C49" i="5" l="1"/>
  <c r="C33" i="5" s="1"/>
  <c r="N58" i="3"/>
  <c r="H58" i="2"/>
  <c r="K58" i="2"/>
  <c r="I58" i="2"/>
  <c r="H13" i="3" s="1"/>
  <c r="N58" i="2"/>
  <c r="M13" i="3" s="1"/>
  <c r="G58" i="2"/>
  <c r="L58" i="2"/>
  <c r="M58" i="2"/>
  <c r="E30" i="3"/>
  <c r="E38" i="3" s="1"/>
  <c r="F58" i="2"/>
  <c r="I86" i="2"/>
  <c r="F86" i="2"/>
  <c r="F61" i="2" s="1"/>
  <c r="G86" i="2"/>
  <c r="H86" i="2"/>
  <c r="O58" i="2"/>
  <c r="E88" i="2"/>
  <c r="D5" i="4" s="1"/>
  <c r="D11" i="4" s="1"/>
  <c r="J58" i="3"/>
  <c r="F58" i="3"/>
  <c r="H58" i="3"/>
  <c r="L58" i="3"/>
  <c r="F30" i="3"/>
  <c r="G30" i="3"/>
  <c r="J30" i="3"/>
  <c r="G58" i="3"/>
  <c r="K30" i="3"/>
  <c r="M58" i="3"/>
  <c r="L30" i="3"/>
  <c r="N30" i="3"/>
  <c r="B70" i="3"/>
  <c r="M30" i="3"/>
  <c r="E58" i="3"/>
  <c r="B57" i="3"/>
  <c r="H30" i="3"/>
  <c r="K58" i="3"/>
  <c r="B71" i="3"/>
  <c r="F49" i="3" l="1"/>
  <c r="F50" i="3" s="1"/>
  <c r="G61" i="2"/>
  <c r="E11" i="3"/>
  <c r="E68" i="3" s="1"/>
  <c r="E92" i="2"/>
  <c r="E89" i="2"/>
  <c r="D6" i="4"/>
  <c r="E90" i="2"/>
  <c r="E91" i="2" s="1"/>
  <c r="D9" i="4"/>
  <c r="J13" i="3"/>
  <c r="N13" i="3"/>
  <c r="L13" i="3"/>
  <c r="K13" i="3"/>
  <c r="K67" i="3" s="1"/>
  <c r="F13" i="3"/>
  <c r="F67" i="3" s="1"/>
  <c r="G13" i="3"/>
  <c r="G67" i="3" s="1"/>
  <c r="E59" i="3"/>
  <c r="H67" i="3"/>
  <c r="M67" i="3"/>
  <c r="E13" i="3"/>
  <c r="F57" i="2"/>
  <c r="F11" i="3" l="1"/>
  <c r="F68" i="3" s="1"/>
  <c r="G57" i="2"/>
  <c r="H61" i="2"/>
  <c r="F88" i="2"/>
  <c r="L67" i="3"/>
  <c r="J67" i="3"/>
  <c r="N67" i="3"/>
  <c r="F59" i="3"/>
  <c r="G59" i="3" s="1"/>
  <c r="E67" i="3"/>
  <c r="E15" i="3"/>
  <c r="E22" i="3" s="1"/>
  <c r="E5" i="4" l="1"/>
  <c r="F15" i="3"/>
  <c r="I61" i="2"/>
  <c r="G11" i="3"/>
  <c r="H57" i="2"/>
  <c r="G88" i="2"/>
  <c r="F90" i="2"/>
  <c r="F91" i="2" s="1"/>
  <c r="F89" i="2"/>
  <c r="F92" i="2"/>
  <c r="H59" i="3"/>
  <c r="F5" i="4" l="1"/>
  <c r="G90" i="2"/>
  <c r="G91" i="2" s="1"/>
  <c r="H88" i="2"/>
  <c r="G92" i="2"/>
  <c r="G68" i="3"/>
  <c r="G15" i="3"/>
  <c r="G89" i="2"/>
  <c r="H11" i="3"/>
  <c r="I57" i="2"/>
  <c r="E23" i="3"/>
  <c r="E24" i="3" s="1"/>
  <c r="H92" i="2" l="1"/>
  <c r="I88" i="2"/>
  <c r="H90" i="2"/>
  <c r="H91" i="2" s="1"/>
  <c r="G5" i="4"/>
  <c r="H68" i="3"/>
  <c r="H15" i="3"/>
  <c r="H89" i="2"/>
  <c r="E25" i="3"/>
  <c r="I89" i="2" l="1"/>
  <c r="H5" i="4"/>
  <c r="I90" i="2"/>
  <c r="I91" i="2" s="1"/>
  <c r="I92" i="2"/>
  <c r="E54" i="4"/>
  <c r="E64" i="3"/>
  <c r="E26" i="3"/>
  <c r="E35" i="3" s="1"/>
  <c r="E36" i="3" s="1"/>
  <c r="F16" i="3"/>
  <c r="F22" i="3" l="1"/>
  <c r="F17" i="3"/>
  <c r="E40" i="3"/>
  <c r="E39" i="3"/>
  <c r="E43" i="3" s="1"/>
  <c r="E41" i="3"/>
  <c r="F37" i="3" s="1"/>
  <c r="F32" i="3" s="1"/>
  <c r="F33" i="3" s="1"/>
  <c r="F38" i="3" l="1"/>
  <c r="F20" i="3"/>
  <c r="E55" i="4"/>
  <c r="F31" i="3"/>
  <c r="E42" i="3"/>
  <c r="E61" i="3" s="1"/>
  <c r="E65" i="3"/>
  <c r="E44" i="3"/>
  <c r="E48" i="3" s="1"/>
  <c r="F21" i="3" l="1"/>
  <c r="G18" i="3" s="1"/>
  <c r="F60" i="3"/>
  <c r="E72" i="3"/>
  <c r="E52" i="3"/>
  <c r="E53" i="4" s="1"/>
  <c r="E59" i="4" s="1"/>
  <c r="E51" i="3"/>
  <c r="G19" i="3" l="1"/>
  <c r="F34" i="3"/>
  <c r="F23" i="3"/>
  <c r="E11" i="4"/>
  <c r="E52" i="4"/>
  <c r="E17" i="4"/>
  <c r="E28" i="4"/>
  <c r="E63" i="3"/>
  <c r="F24" i="3" l="1"/>
  <c r="G16" i="3" s="1"/>
  <c r="F25" i="3"/>
  <c r="E9" i="4"/>
  <c r="E6" i="4"/>
  <c r="E32" i="4"/>
  <c r="E29" i="4"/>
  <c r="E34" i="4"/>
  <c r="E21" i="4"/>
  <c r="E18" i="4"/>
  <c r="E23" i="4"/>
  <c r="E74" i="3"/>
  <c r="E75" i="3"/>
  <c r="F54" i="4" l="1"/>
  <c r="F64" i="3"/>
  <c r="F26" i="3"/>
  <c r="G22" i="3"/>
  <c r="G17" i="3"/>
  <c r="E80" i="3"/>
  <c r="E76" i="3"/>
  <c r="E79" i="3" s="1"/>
  <c r="E81" i="3" s="1"/>
  <c r="E82" i="3" s="1"/>
  <c r="E84" i="3" s="1"/>
  <c r="F35" i="3" l="1"/>
  <c r="F36" i="3" s="1"/>
  <c r="F40" i="3"/>
  <c r="G20" i="3"/>
  <c r="E83" i="3"/>
  <c r="F78" i="3"/>
  <c r="F42" i="3" l="1"/>
  <c r="F61" i="3" s="1"/>
  <c r="G31" i="3"/>
  <c r="G21" i="3"/>
  <c r="F41" i="3"/>
  <c r="G37" i="3" s="1"/>
  <c r="F39" i="3"/>
  <c r="F43" i="3" s="1"/>
  <c r="E39" i="4"/>
  <c r="E45" i="4" s="1"/>
  <c r="G32" i="3" l="1"/>
  <c r="G33" i="3" s="1"/>
  <c r="F44" i="3"/>
  <c r="F48" i="3" s="1"/>
  <c r="F65" i="3"/>
  <c r="F55" i="4"/>
  <c r="H18" i="3"/>
  <c r="G23" i="3"/>
  <c r="G24" i="3" s="1"/>
  <c r="H16" i="3" s="1"/>
  <c r="F72" i="3"/>
  <c r="G60" i="3"/>
  <c r="E47" i="4"/>
  <c r="F11" i="4"/>
  <c r="E40" i="4"/>
  <c r="G49" i="3"/>
  <c r="G50" i="3" s="1"/>
  <c r="H19" i="3" l="1"/>
  <c r="F51" i="3"/>
  <c r="F52" i="3"/>
  <c r="F53" i="4" s="1"/>
  <c r="F59" i="4" s="1"/>
  <c r="H22" i="3"/>
  <c r="H17" i="3"/>
  <c r="G34" i="3"/>
  <c r="G25" i="3"/>
  <c r="F6" i="4"/>
  <c r="F9" i="4"/>
  <c r="F17" i="4" l="1"/>
  <c r="F28" i="4"/>
  <c r="F63" i="3"/>
  <c r="F52" i="4"/>
  <c r="H20" i="3"/>
  <c r="G64" i="3"/>
  <c r="G26" i="3"/>
  <c r="G54" i="4"/>
  <c r="F75" i="3" l="1"/>
  <c r="F74" i="3"/>
  <c r="F32" i="4"/>
  <c r="F34" i="4"/>
  <c r="F29" i="4"/>
  <c r="G40" i="3"/>
  <c r="G35" i="3"/>
  <c r="G36" i="3" s="1"/>
  <c r="H21" i="3"/>
  <c r="F18" i="4"/>
  <c r="F23" i="4"/>
  <c r="F21" i="4"/>
  <c r="I18" i="3" l="1"/>
  <c r="H23" i="3"/>
  <c r="H24" i="3" s="1"/>
  <c r="I16" i="3" s="1"/>
  <c r="I17" i="3" s="1"/>
  <c r="G42" i="3"/>
  <c r="G61" i="3" s="1"/>
  <c r="H31" i="3"/>
  <c r="F76" i="3"/>
  <c r="F79" i="3" s="1"/>
  <c r="F81" i="3" s="1"/>
  <c r="F80" i="3"/>
  <c r="G41" i="3"/>
  <c r="H37" i="3" s="1"/>
  <c r="H32" i="3" s="1"/>
  <c r="H33" i="3" s="1"/>
  <c r="G39" i="3"/>
  <c r="G43" i="3" s="1"/>
  <c r="G9" i="4"/>
  <c r="H25" i="3" l="1"/>
  <c r="F82" i="3"/>
  <c r="G78" i="3"/>
  <c r="H64" i="3"/>
  <c r="H54" i="4"/>
  <c r="H26" i="3"/>
  <c r="G72" i="3"/>
  <c r="H60" i="3"/>
  <c r="G55" i="4"/>
  <c r="G65" i="3"/>
  <c r="G44" i="3"/>
  <c r="G48" i="3" s="1"/>
  <c r="H38" i="3"/>
  <c r="H34" i="3"/>
  <c r="I19" i="3"/>
  <c r="I20" i="3" s="1"/>
  <c r="G6" i="4"/>
  <c r="G11" i="4"/>
  <c r="F83" i="3" l="1"/>
  <c r="F84" i="3"/>
  <c r="I21" i="3"/>
  <c r="G51" i="3"/>
  <c r="G17" i="4" s="1"/>
  <c r="G52" i="3"/>
  <c r="G53" i="4" s="1"/>
  <c r="G59" i="4" s="1"/>
  <c r="H35" i="3"/>
  <c r="H36" i="3" s="1"/>
  <c r="H40" i="3"/>
  <c r="F39" i="4" l="1"/>
  <c r="H42" i="3"/>
  <c r="H61" i="3" s="1"/>
  <c r="I31" i="3"/>
  <c r="H39" i="3"/>
  <c r="H43" i="3" s="1"/>
  <c r="H41" i="3"/>
  <c r="I37" i="3" s="1"/>
  <c r="I32" i="3" s="1"/>
  <c r="I33" i="3" s="1"/>
  <c r="H49" i="3"/>
  <c r="H50" i="3" s="1"/>
  <c r="G28" i="4"/>
  <c r="G63" i="3"/>
  <c r="G52" i="4"/>
  <c r="J18" i="3"/>
  <c r="F40" i="4" l="1"/>
  <c r="F45" i="4"/>
  <c r="F47" i="4" s="1"/>
  <c r="G74" i="3"/>
  <c r="G75" i="3"/>
  <c r="H65" i="3"/>
  <c r="H55" i="4"/>
  <c r="H44" i="3"/>
  <c r="H48" i="3" s="1"/>
  <c r="H51" i="3" s="1"/>
  <c r="G18" i="4"/>
  <c r="G23" i="4"/>
  <c r="G21" i="4"/>
  <c r="J19" i="3"/>
  <c r="I34" i="3"/>
  <c r="G29" i="4"/>
  <c r="G32" i="4"/>
  <c r="G34" i="4"/>
  <c r="H72" i="3"/>
  <c r="I60" i="3"/>
  <c r="H9" i="4"/>
  <c r="I49" i="3" l="1"/>
  <c r="I50" i="3" s="1"/>
  <c r="H52" i="4"/>
  <c r="H28" i="4"/>
  <c r="H34" i="4" s="1"/>
  <c r="H17" i="4"/>
  <c r="H21" i="4" s="1"/>
  <c r="H63" i="3"/>
  <c r="H74" i="3" s="1"/>
  <c r="H52" i="3"/>
  <c r="H53" i="4" s="1"/>
  <c r="H59" i="4" s="1"/>
  <c r="G76" i="3"/>
  <c r="G79" i="3" s="1"/>
  <c r="G81" i="3" s="1"/>
  <c r="G80" i="3"/>
  <c r="H11" i="4"/>
  <c r="H6" i="4"/>
  <c r="H29" i="4" l="1"/>
  <c r="H32" i="4"/>
  <c r="H18" i="4"/>
  <c r="H23" i="4"/>
  <c r="H75" i="3"/>
  <c r="H76" i="3" s="1"/>
  <c r="G82" i="3"/>
  <c r="H78" i="3"/>
  <c r="H80" i="3"/>
  <c r="G83" i="3" l="1"/>
  <c r="G84" i="3"/>
  <c r="G39" i="4" s="1"/>
  <c r="G40" i="4" s="1"/>
  <c r="H79" i="3"/>
  <c r="H81" i="3" s="1"/>
  <c r="H82" i="3" s="1"/>
  <c r="H83" i="3" l="1"/>
  <c r="H84" i="3"/>
  <c r="H39" i="4" s="1"/>
  <c r="H45" i="4" s="1"/>
  <c r="I78" i="3"/>
  <c r="G45" i="4"/>
  <c r="G47" i="4" s="1"/>
  <c r="H47" i="4" l="1"/>
  <c r="H40" i="4"/>
  <c r="J40" i="2" l="1"/>
  <c r="J66" i="2" s="1"/>
  <c r="J65" i="2" l="1"/>
  <c r="I56" i="3"/>
  <c r="I58" i="3" l="1"/>
  <c r="P86" i="2"/>
  <c r="O86" i="2"/>
  <c r="I30" i="3"/>
  <c r="L86" i="2"/>
  <c r="N86" i="2"/>
  <c r="J86" i="2"/>
  <c r="J61" i="2" s="1"/>
  <c r="M86" i="2"/>
  <c r="K86" i="2"/>
  <c r="J58" i="2"/>
  <c r="K61" i="2" l="1"/>
  <c r="L61" i="2" s="1"/>
  <c r="I38" i="3"/>
  <c r="I13" i="3"/>
  <c r="J57" i="2"/>
  <c r="I11" i="3"/>
  <c r="I59" i="3"/>
  <c r="K57" i="2" l="1"/>
  <c r="K88" i="2" s="1"/>
  <c r="K90" i="2" s="1"/>
  <c r="J11" i="3"/>
  <c r="J15" i="3" s="1"/>
  <c r="J59" i="3"/>
  <c r="K59" i="3" s="1"/>
  <c r="L59" i="3" s="1"/>
  <c r="J88" i="2"/>
  <c r="L57" i="2"/>
  <c r="L88" i="2" s="1"/>
  <c r="K11" i="3"/>
  <c r="I68" i="3"/>
  <c r="I15" i="3"/>
  <c r="M61" i="2"/>
  <c r="I67" i="3"/>
  <c r="J68" i="3" l="1"/>
  <c r="J5" i="4"/>
  <c r="K15" i="3"/>
  <c r="K68" i="3"/>
  <c r="I22" i="3"/>
  <c r="K5" i="4"/>
  <c r="L90" i="2"/>
  <c r="M59" i="3"/>
  <c r="N59" i="3" s="1"/>
  <c r="N61" i="2"/>
  <c r="O61" i="2" s="1"/>
  <c r="P61" i="2" s="1"/>
  <c r="M57" i="2"/>
  <c r="M88" i="2" s="1"/>
  <c r="L11" i="3"/>
  <c r="I5" i="4"/>
  <c r="J90" i="2"/>
  <c r="L92" i="2"/>
  <c r="J89" i="2"/>
  <c r="K89" i="2" s="1"/>
  <c r="L89" i="2" s="1"/>
  <c r="K92" i="2"/>
  <c r="J92" i="2"/>
  <c r="P57" i="2" l="1"/>
  <c r="P88" i="2" s="1"/>
  <c r="O11" i="3"/>
  <c r="L5" i="4"/>
  <c r="L9" i="4" s="1"/>
  <c r="M90" i="2"/>
  <c r="M89" i="2"/>
  <c r="M92" i="2"/>
  <c r="J91" i="2"/>
  <c r="K91" i="2" s="1"/>
  <c r="L91" i="2" s="1"/>
  <c r="M11" i="3"/>
  <c r="N57" i="2"/>
  <c r="N88" i="2" s="1"/>
  <c r="N92" i="2" s="1"/>
  <c r="I6" i="4"/>
  <c r="I11" i="4"/>
  <c r="J9" i="4"/>
  <c r="I9" i="4"/>
  <c r="K9" i="4"/>
  <c r="O57" i="2"/>
  <c r="O88" i="2" s="1"/>
  <c r="N11" i="3"/>
  <c r="L15" i="3"/>
  <c r="L68" i="3"/>
  <c r="I23" i="3"/>
  <c r="O59" i="3"/>
  <c r="O68" i="3" l="1"/>
  <c r="O15" i="3"/>
  <c r="J6" i="4"/>
  <c r="K6" i="4" s="1"/>
  <c r="L6" i="4" s="1"/>
  <c r="N68" i="3"/>
  <c r="N15" i="3"/>
  <c r="O5" i="4"/>
  <c r="P90" i="2"/>
  <c r="N5" i="4"/>
  <c r="O90" i="2"/>
  <c r="I25" i="3"/>
  <c r="M5" i="4"/>
  <c r="N90" i="2"/>
  <c r="N89" i="2"/>
  <c r="O89" i="2" s="1"/>
  <c r="P89" i="2" s="1"/>
  <c r="O92" i="2"/>
  <c r="P92" i="2"/>
  <c r="M91" i="2"/>
  <c r="I24" i="3"/>
  <c r="J11" i="4"/>
  <c r="K11" i="4" s="1"/>
  <c r="L11" i="4" s="1"/>
  <c r="M68" i="3"/>
  <c r="M15" i="3"/>
  <c r="M11" i="4" l="1"/>
  <c r="N11" i="4" s="1"/>
  <c r="O11" i="4" s="1"/>
  <c r="N91" i="2"/>
  <c r="O91" i="2" s="1"/>
  <c r="P91" i="2" s="1"/>
  <c r="M6" i="4"/>
  <c r="M9" i="4"/>
  <c r="N9" i="4"/>
  <c r="O9" i="4"/>
  <c r="J16" i="3"/>
  <c r="J17" i="3" s="1"/>
  <c r="J20" i="3" s="1"/>
  <c r="I54" i="4"/>
  <c r="I64" i="3"/>
  <c r="I26" i="3"/>
  <c r="J21" i="3" l="1"/>
  <c r="N6" i="4"/>
  <c r="O6" i="4" s="1"/>
  <c r="J22" i="3"/>
  <c r="I35" i="3"/>
  <c r="I36" i="3" s="1"/>
  <c r="I40" i="3"/>
  <c r="K18" i="3" l="1"/>
  <c r="J23" i="3"/>
  <c r="J24" i="3" s="1"/>
  <c r="I39" i="3"/>
  <c r="I41" i="3"/>
  <c r="J37" i="3" s="1"/>
  <c r="J32" i="3" s="1"/>
  <c r="J33" i="3" s="1"/>
  <c r="J31" i="3"/>
  <c r="I42" i="3"/>
  <c r="J38" i="3" l="1"/>
  <c r="K19" i="3"/>
  <c r="I61" i="3"/>
  <c r="J25" i="3"/>
  <c r="K16" i="3"/>
  <c r="K17" i="3" s="1"/>
  <c r="I43" i="3"/>
  <c r="K20" i="3" l="1"/>
  <c r="K21" i="3" s="1"/>
  <c r="L18" i="3" s="1"/>
  <c r="L19" i="3" s="1"/>
  <c r="J34" i="3"/>
  <c r="J54" i="4"/>
  <c r="J26" i="3"/>
  <c r="J64" i="3"/>
  <c r="I72" i="3"/>
  <c r="J60" i="3"/>
  <c r="K22" i="3"/>
  <c r="I65" i="3"/>
  <c r="I55" i="4"/>
  <c r="I44" i="3"/>
  <c r="J40" i="3" l="1"/>
  <c r="J35" i="3"/>
  <c r="J36" i="3" s="1"/>
  <c r="I48" i="3"/>
  <c r="K23" i="3"/>
  <c r="K24" i="3" s="1"/>
  <c r="L16" i="3" l="1"/>
  <c r="L17" i="3" s="1"/>
  <c r="L20" i="3" s="1"/>
  <c r="L21" i="3" s="1"/>
  <c r="M18" i="3" s="1"/>
  <c r="K25" i="3"/>
  <c r="I52" i="3"/>
  <c r="I51" i="3"/>
  <c r="J42" i="3"/>
  <c r="K31" i="3"/>
  <c r="J39" i="3"/>
  <c r="J43" i="3" s="1"/>
  <c r="J41" i="3"/>
  <c r="K37" i="3" s="1"/>
  <c r="K32" i="3" s="1"/>
  <c r="K33" i="3" s="1"/>
  <c r="K38" i="3" l="1"/>
  <c r="M19" i="3"/>
  <c r="J65" i="3"/>
  <c r="J55" i="4"/>
  <c r="J44" i="3"/>
  <c r="J61" i="3"/>
  <c r="I52" i="4"/>
  <c r="I63" i="3"/>
  <c r="J49" i="3"/>
  <c r="J50" i="3" s="1"/>
  <c r="I17" i="4"/>
  <c r="I28" i="4"/>
  <c r="K34" i="3"/>
  <c r="I53" i="4"/>
  <c r="I59" i="4" s="1"/>
  <c r="L22" i="3"/>
  <c r="K26" i="3"/>
  <c r="K54" i="4"/>
  <c r="K64" i="3"/>
  <c r="I75" i="3" l="1"/>
  <c r="I74" i="3"/>
  <c r="L23" i="3"/>
  <c r="L24" i="3" s="1"/>
  <c r="I29" i="4"/>
  <c r="I34" i="4"/>
  <c r="I32" i="4"/>
  <c r="I18" i="4"/>
  <c r="I21" i="4"/>
  <c r="I23" i="4"/>
  <c r="J72" i="3"/>
  <c r="K60" i="3"/>
  <c r="J48" i="3"/>
  <c r="K40" i="3"/>
  <c r="K35" i="3"/>
  <c r="K36" i="3" s="1"/>
  <c r="L31" i="3" l="1"/>
  <c r="K42" i="3"/>
  <c r="K41" i="3"/>
  <c r="L37" i="3" s="1"/>
  <c r="L32" i="3" s="1"/>
  <c r="L33" i="3" s="1"/>
  <c r="K39" i="3"/>
  <c r="J51" i="3"/>
  <c r="M16" i="3"/>
  <c r="M17" i="3" s="1"/>
  <c r="M20" i="3" s="1"/>
  <c r="M21" i="3" s="1"/>
  <c r="N18" i="3" s="1"/>
  <c r="I76" i="3"/>
  <c r="I80" i="3"/>
  <c r="J52" i="3"/>
  <c r="L25" i="3"/>
  <c r="L34" i="3" l="1"/>
  <c r="L38" i="3"/>
  <c r="N19" i="3"/>
  <c r="J63" i="3"/>
  <c r="J52" i="4"/>
  <c r="K49" i="3"/>
  <c r="K50" i="3" s="1"/>
  <c r="J28" i="4"/>
  <c r="J17" i="4"/>
  <c r="I79" i="3"/>
  <c r="L54" i="4"/>
  <c r="L64" i="3"/>
  <c r="L26" i="3"/>
  <c r="K61" i="3"/>
  <c r="K43" i="3"/>
  <c r="J53" i="4"/>
  <c r="J59" i="4" s="1"/>
  <c r="M22" i="3"/>
  <c r="I81" i="3" l="1"/>
  <c r="J29" i="4"/>
  <c r="J32" i="4"/>
  <c r="J34" i="4"/>
  <c r="J18" i="4"/>
  <c r="J21" i="4"/>
  <c r="J23" i="4"/>
  <c r="K65" i="3"/>
  <c r="K55" i="4"/>
  <c r="K44" i="3"/>
  <c r="M23" i="3"/>
  <c r="K72" i="3"/>
  <c r="L60" i="3"/>
  <c r="J75" i="3"/>
  <c r="J74" i="3"/>
  <c r="L35" i="3"/>
  <c r="L36" i="3" s="1"/>
  <c r="L40" i="3"/>
  <c r="M25" i="3" l="1"/>
  <c r="M24" i="3"/>
  <c r="J76" i="3"/>
  <c r="J80" i="3"/>
  <c r="J78" i="3"/>
  <c r="I82" i="3"/>
  <c r="I84" i="3" s="1"/>
  <c r="L41" i="3"/>
  <c r="M37" i="3" s="1"/>
  <c r="M32" i="3" s="1"/>
  <c r="M33" i="3" s="1"/>
  <c r="L39" i="3"/>
  <c r="L43" i="3" s="1"/>
  <c r="L42" i="3"/>
  <c r="M31" i="3"/>
  <c r="K48" i="3"/>
  <c r="M38" i="3" l="1"/>
  <c r="L65" i="3"/>
  <c r="L55" i="4"/>
  <c r="L44" i="3"/>
  <c r="N16" i="3"/>
  <c r="N17" i="3" s="1"/>
  <c r="N20" i="3" s="1"/>
  <c r="N21" i="3" s="1"/>
  <c r="O18" i="3" s="1"/>
  <c r="M34" i="3"/>
  <c r="I83" i="3"/>
  <c r="K52" i="3"/>
  <c r="K51" i="3"/>
  <c r="L61" i="3"/>
  <c r="M26" i="3"/>
  <c r="M64" i="3"/>
  <c r="M54" i="4"/>
  <c r="J79" i="3"/>
  <c r="O19" i="3" l="1"/>
  <c r="K63" i="3"/>
  <c r="K52" i="4"/>
  <c r="L49" i="3"/>
  <c r="L50" i="3" s="1"/>
  <c r="L51" i="3" s="1"/>
  <c r="K17" i="4"/>
  <c r="K28" i="4"/>
  <c r="N22" i="3"/>
  <c r="L72" i="3"/>
  <c r="M60" i="3"/>
  <c r="L48" i="3"/>
  <c r="J81" i="3"/>
  <c r="M40" i="3"/>
  <c r="M35" i="3"/>
  <c r="M36" i="3" s="1"/>
  <c r="K53" i="4"/>
  <c r="K59" i="4" s="1"/>
  <c r="L17" i="4" l="1"/>
  <c r="L28" i="4"/>
  <c r="L52" i="3"/>
  <c r="K29" i="4"/>
  <c r="K32" i="4"/>
  <c r="K34" i="4"/>
  <c r="M41" i="3"/>
  <c r="N37" i="3" s="1"/>
  <c r="N32" i="3" s="1"/>
  <c r="N33" i="3" s="1"/>
  <c r="M39" i="3"/>
  <c r="M43" i="3" s="1"/>
  <c r="N31" i="3"/>
  <c r="M42" i="3"/>
  <c r="K18" i="4"/>
  <c r="K21" i="4"/>
  <c r="K23" i="4"/>
  <c r="I39" i="4"/>
  <c r="I45" i="4" s="1"/>
  <c r="N23" i="3"/>
  <c r="N25" i="3" s="1"/>
  <c r="J82" i="3"/>
  <c r="J84" i="3" s="1"/>
  <c r="K78" i="3"/>
  <c r="K74" i="3"/>
  <c r="K75" i="3"/>
  <c r="N38" i="3" l="1"/>
  <c r="I47" i="4"/>
  <c r="N34" i="3"/>
  <c r="L52" i="4"/>
  <c r="L58" i="4" s="1"/>
  <c r="L63" i="3"/>
  <c r="L34" i="4"/>
  <c r="L23" i="4"/>
  <c r="M49" i="3"/>
  <c r="M50" i="3" s="1"/>
  <c r="J83" i="3"/>
  <c r="N24" i="3"/>
  <c r="O16" i="3" s="1"/>
  <c r="L53" i="4"/>
  <c r="L59" i="4" s="1"/>
  <c r="N26" i="3"/>
  <c r="N54" i="4"/>
  <c r="N64" i="3"/>
  <c r="M55" i="4"/>
  <c r="M65" i="3"/>
  <c r="M44" i="3"/>
  <c r="I40" i="4"/>
  <c r="K76" i="3"/>
  <c r="K80" i="3"/>
  <c r="M61" i="3"/>
  <c r="L63" i="4" l="1"/>
  <c r="L62" i="4"/>
  <c r="O22" i="3"/>
  <c r="O17" i="3"/>
  <c r="O20" i="3" s="1"/>
  <c r="O21" i="3" s="1"/>
  <c r="P18" i="3" s="1"/>
  <c r="L29" i="4"/>
  <c r="L32" i="4"/>
  <c r="N35" i="3"/>
  <c r="N36" i="3" s="1"/>
  <c r="N40" i="3"/>
  <c r="L74" i="3"/>
  <c r="L75" i="3"/>
  <c r="K79" i="3"/>
  <c r="M48" i="3"/>
  <c r="M52" i="3" s="1"/>
  <c r="M72" i="3"/>
  <c r="N60" i="3"/>
  <c r="L18" i="4"/>
  <c r="L21" i="4"/>
  <c r="O23" i="3" l="1"/>
  <c r="O25" i="3" s="1"/>
  <c r="P19" i="3"/>
  <c r="M53" i="4"/>
  <c r="M59" i="4" s="1"/>
  <c r="J39" i="4"/>
  <c r="N42" i="3"/>
  <c r="N61" i="3" s="1"/>
  <c r="O31" i="3"/>
  <c r="M51" i="3"/>
  <c r="N39" i="3"/>
  <c r="N43" i="3" s="1"/>
  <c r="N41" i="3"/>
  <c r="O37" i="3" s="1"/>
  <c r="O32" i="3" s="1"/>
  <c r="O33" i="3" s="1"/>
  <c r="L80" i="3"/>
  <c r="L76" i="3"/>
  <c r="K81" i="3"/>
  <c r="M17" i="4" l="1"/>
  <c r="M28" i="4"/>
  <c r="O54" i="4"/>
  <c r="O64" i="3"/>
  <c r="O26" i="3"/>
  <c r="O24" i="3"/>
  <c r="P16" i="3" s="1"/>
  <c r="P17" i="3" s="1"/>
  <c r="P20" i="3" s="1"/>
  <c r="P21" i="3" s="1"/>
  <c r="Q18" i="3" s="1"/>
  <c r="Q19" i="3" s="1"/>
  <c r="O38" i="3"/>
  <c r="O34" i="3"/>
  <c r="M52" i="4"/>
  <c r="M58" i="4" s="1"/>
  <c r="M63" i="3"/>
  <c r="N49" i="3"/>
  <c r="N50" i="3" s="1"/>
  <c r="J40" i="4"/>
  <c r="N65" i="3"/>
  <c r="N55" i="4"/>
  <c r="N44" i="3"/>
  <c r="N48" i="3" s="1"/>
  <c r="J45" i="4"/>
  <c r="L78" i="3"/>
  <c r="K82" i="3"/>
  <c r="K84" i="3" s="1"/>
  <c r="N72" i="3"/>
  <c r="O60" i="3"/>
  <c r="M63" i="4" l="1"/>
  <c r="M62" i="4"/>
  <c r="O35" i="3"/>
  <c r="O36" i="3" s="1"/>
  <c r="O40" i="3"/>
  <c r="P31" i="3" s="1"/>
  <c r="K83" i="3"/>
  <c r="M18" i="4"/>
  <c r="M21" i="4"/>
  <c r="M23" i="4"/>
  <c r="J47" i="4"/>
  <c r="M29" i="4"/>
  <c r="M34" i="4"/>
  <c r="M32" i="4"/>
  <c r="N51" i="3"/>
  <c r="N52" i="3"/>
  <c r="L79" i="3"/>
  <c r="M74" i="3"/>
  <c r="M75" i="3"/>
  <c r="N34" i="4" l="1"/>
  <c r="O42" i="3"/>
  <c r="O61" i="3" s="1"/>
  <c r="O72" i="3" s="1"/>
  <c r="N52" i="4"/>
  <c r="N58" i="4" s="1"/>
  <c r="N63" i="3"/>
  <c r="O49" i="3"/>
  <c r="O50" i="3" s="1"/>
  <c r="M76" i="3"/>
  <c r="M80" i="3"/>
  <c r="L81" i="3"/>
  <c r="O39" i="3"/>
  <c r="O43" i="3" s="1"/>
  <c r="O41" i="3"/>
  <c r="P37" i="3" s="1"/>
  <c r="N53" i="4"/>
  <c r="N59" i="4" s="1"/>
  <c r="N63" i="4" l="1"/>
  <c r="N62" i="4"/>
  <c r="P60" i="3"/>
  <c r="P32" i="3"/>
  <c r="P33" i="3" s="1"/>
  <c r="O65" i="3"/>
  <c r="O55" i="4"/>
  <c r="O44" i="3"/>
  <c r="O48" i="3" s="1"/>
  <c r="O52" i="3" s="1"/>
  <c r="N75" i="3"/>
  <c r="N74" i="3"/>
  <c r="L82" i="3"/>
  <c r="L84" i="3" s="1"/>
  <c r="M78" i="3"/>
  <c r="M79" i="3" s="1"/>
  <c r="N18" i="4"/>
  <c r="N21" i="4"/>
  <c r="K39" i="4"/>
  <c r="N29" i="4"/>
  <c r="N32" i="4"/>
  <c r="N23" i="4"/>
  <c r="P34" i="3" l="1"/>
  <c r="O53" i="4"/>
  <c r="O59" i="4" s="1"/>
  <c r="M81" i="3"/>
  <c r="L83" i="3"/>
  <c r="N76" i="3"/>
  <c r="N80" i="3"/>
  <c r="K40" i="4"/>
  <c r="K45" i="4"/>
  <c r="O51" i="3"/>
  <c r="O63" i="3" l="1"/>
  <c r="O52" i="4"/>
  <c r="O58" i="4" s="1"/>
  <c r="P49" i="3"/>
  <c r="P50" i="3" s="1"/>
  <c r="M82" i="3"/>
  <c r="M84" i="3" s="1"/>
  <c r="N78" i="3"/>
  <c r="N79" i="3" s="1"/>
  <c r="N81" i="3" s="1"/>
  <c r="K47" i="4"/>
  <c r="O63" i="4" l="1"/>
  <c r="O62" i="4"/>
  <c r="O78" i="3"/>
  <c r="N82" i="3"/>
  <c r="O75" i="3"/>
  <c r="O74" i="3"/>
  <c r="L39" i="4"/>
  <c r="O29" i="4"/>
  <c r="O32" i="4"/>
  <c r="O34" i="4"/>
  <c r="O18" i="4"/>
  <c r="O21" i="4"/>
  <c r="O23" i="4"/>
  <c r="M83" i="3"/>
  <c r="N83" i="3" l="1"/>
  <c r="N84" i="3"/>
  <c r="L40" i="4"/>
  <c r="L45" i="4"/>
  <c r="O76" i="3"/>
  <c r="O79" i="3" s="1"/>
  <c r="O81" i="3" s="1"/>
  <c r="O80" i="3"/>
  <c r="N39" i="4"/>
  <c r="N45" i="4" l="1"/>
  <c r="M39" i="4"/>
  <c r="P78" i="3"/>
  <c r="O82" i="3"/>
  <c r="L47" i="4"/>
  <c r="O83" i="3" l="1"/>
  <c r="O84" i="3"/>
  <c r="O39" i="4" s="1"/>
  <c r="M40" i="4"/>
  <c r="N40" i="4" s="1"/>
  <c r="M45" i="4"/>
  <c r="O40" i="4" l="1"/>
  <c r="O45" i="4"/>
  <c r="M47" i="4"/>
  <c r="N47" i="4" s="1"/>
  <c r="O47" i="4" l="1"/>
  <c r="AA41" i="2" l="1"/>
  <c r="AA67" i="2" s="1"/>
  <c r="Z41" i="2"/>
  <c r="Z67" i="2" s="1"/>
  <c r="U41" i="2"/>
  <c r="U67" i="2" s="1"/>
  <c r="AB41" i="2"/>
  <c r="AB67" i="2" s="1"/>
  <c r="Y41" i="2"/>
  <c r="Y67" i="2" s="1"/>
  <c r="X41" i="2"/>
  <c r="X67" i="2" s="1"/>
  <c r="W41" i="2"/>
  <c r="W67" i="2" s="1"/>
  <c r="AC41" i="2"/>
  <c r="AC67" i="2" s="1"/>
  <c r="V41" i="2"/>
  <c r="V67" i="2" s="1"/>
  <c r="AE41" i="2"/>
  <c r="AE67" i="2" s="1"/>
  <c r="AD41" i="2"/>
  <c r="AD67" i="2" s="1"/>
  <c r="AF41" i="2"/>
  <c r="AF67" i="2" s="1"/>
  <c r="AF40" i="2"/>
  <c r="AF66" i="2" s="1"/>
  <c r="AE40" i="2"/>
  <c r="AE66" i="2" s="1"/>
  <c r="W40" i="2"/>
  <c r="W66" i="2" s="1"/>
  <c r="X40" i="2"/>
  <c r="X66" i="2" s="1"/>
  <c r="AD40" i="2"/>
  <c r="AD66" i="2" s="1"/>
  <c r="V40" i="2"/>
  <c r="V66" i="2" s="1"/>
  <c r="Y40" i="2"/>
  <c r="Y66" i="2" s="1"/>
  <c r="U40" i="2"/>
  <c r="U66" i="2" s="1"/>
  <c r="T40" i="2"/>
  <c r="T66" i="2" s="1"/>
  <c r="Q41" i="2"/>
  <c r="C188" i="2"/>
  <c r="AA40" i="2"/>
  <c r="AA66" i="2" s="1"/>
  <c r="AA147" i="2"/>
  <c r="S40" i="2"/>
  <c r="S66" i="2" s="1"/>
  <c r="Q40" i="2"/>
  <c r="C187" i="2"/>
  <c r="Z40" i="2"/>
  <c r="Z66" i="2" s="1"/>
  <c r="R40" i="2"/>
  <c r="R66" i="2" s="1"/>
  <c r="Z147" i="2" l="1"/>
  <c r="U147" i="2"/>
  <c r="Q147" i="2"/>
  <c r="S147" i="2"/>
  <c r="X147" i="2"/>
  <c r="V147" i="2"/>
  <c r="C134" i="2"/>
  <c r="AB147" i="2"/>
  <c r="T147" i="2"/>
  <c r="AC147" i="2"/>
  <c r="AE147" i="2"/>
  <c r="R147" i="2"/>
  <c r="W56" i="3"/>
  <c r="W58" i="3" s="1"/>
  <c r="X65" i="2"/>
  <c r="T56" i="3"/>
  <c r="T58" i="3" s="1"/>
  <c r="U65" i="2"/>
  <c r="AD56" i="3"/>
  <c r="AD58" i="3" s="1"/>
  <c r="AE65" i="2"/>
  <c r="X56" i="3"/>
  <c r="X58" i="3" s="1"/>
  <c r="Y65" i="2"/>
  <c r="V65" i="2"/>
  <c r="U56" i="3"/>
  <c r="U58" i="3" s="1"/>
  <c r="Q67" i="2"/>
  <c r="AE56" i="3"/>
  <c r="AE58" i="3" s="1"/>
  <c r="AF65" i="2"/>
  <c r="Z65" i="2"/>
  <c r="Y56" i="3"/>
  <c r="Y58" i="3" s="1"/>
  <c r="AD65" i="2"/>
  <c r="AC56" i="3"/>
  <c r="AC58" i="3" s="1"/>
  <c r="V56" i="3"/>
  <c r="V58" i="3" s="1"/>
  <c r="W65" i="2"/>
  <c r="AA65" i="2"/>
  <c r="Z56" i="3"/>
  <c r="Z58" i="3" s="1"/>
  <c r="T41" i="2"/>
  <c r="T67" i="2" s="1"/>
  <c r="S56" i="3" s="1"/>
  <c r="S58" i="3" s="1"/>
  <c r="R41" i="2"/>
  <c r="R67" i="2" s="1"/>
  <c r="Q56" i="3" s="1"/>
  <c r="Q58" i="3" s="1"/>
  <c r="S41" i="2"/>
  <c r="S67" i="2" s="1"/>
  <c r="S65" i="2" s="1"/>
  <c r="Y147" i="2"/>
  <c r="W147" i="2"/>
  <c r="AC40" i="2"/>
  <c r="AC66" i="2" s="1"/>
  <c r="C135" i="2"/>
  <c r="AB40" i="2"/>
  <c r="AB66" i="2" s="1"/>
  <c r="Q66" i="2"/>
  <c r="AD147" i="2"/>
  <c r="AF147" i="2"/>
  <c r="C147" i="2" l="1"/>
  <c r="R30" i="3"/>
  <c r="S58" i="2"/>
  <c r="C67" i="2"/>
  <c r="C40" i="2"/>
  <c r="C66" i="2"/>
  <c r="P56" i="3"/>
  <c r="Q65" i="2"/>
  <c r="Z58" i="2"/>
  <c r="Y30" i="3"/>
  <c r="C41" i="2"/>
  <c r="Z30" i="3"/>
  <c r="AA58" i="2"/>
  <c r="V58" i="2"/>
  <c r="U30" i="3"/>
  <c r="AA56" i="3"/>
  <c r="AA58" i="3" s="1"/>
  <c r="AB65" i="2"/>
  <c r="AF58" i="2"/>
  <c r="AE30" i="3"/>
  <c r="AC65" i="2"/>
  <c r="AB56" i="3"/>
  <c r="AB58" i="3" s="1"/>
  <c r="V30" i="3"/>
  <c r="W58" i="2"/>
  <c r="R56" i="3"/>
  <c r="R58" i="3" s="1"/>
  <c r="R65" i="2"/>
  <c r="U58" i="2"/>
  <c r="T30" i="3"/>
  <c r="AE58" i="2"/>
  <c r="AD30" i="3"/>
  <c r="T65" i="2"/>
  <c r="Y58" i="2"/>
  <c r="X30" i="3"/>
  <c r="X58" i="2"/>
  <c r="W30" i="3"/>
  <c r="AC30" i="3"/>
  <c r="AD58" i="2"/>
  <c r="Q30" i="3" l="1"/>
  <c r="R58" i="2"/>
  <c r="AG86" i="2"/>
  <c r="Z86" i="2"/>
  <c r="AD86" i="2"/>
  <c r="Y86" i="2"/>
  <c r="S86" i="2"/>
  <c r="Q58" i="2"/>
  <c r="AI86" i="2"/>
  <c r="AA86" i="2"/>
  <c r="X86" i="2"/>
  <c r="U86" i="2"/>
  <c r="T86" i="2"/>
  <c r="AC86" i="2"/>
  <c r="R86" i="2"/>
  <c r="AJ86" i="2"/>
  <c r="AB86" i="2"/>
  <c r="V86" i="2"/>
  <c r="AF86" i="2"/>
  <c r="W86" i="2"/>
  <c r="P30" i="3"/>
  <c r="Q86" i="2"/>
  <c r="Q61" i="2" s="1"/>
  <c r="AK86" i="2"/>
  <c r="AH86" i="2"/>
  <c r="AE86" i="2"/>
  <c r="C65" i="2"/>
  <c r="W13" i="3"/>
  <c r="W67" i="3" s="1"/>
  <c r="V13" i="3"/>
  <c r="V67" i="3" s="1"/>
  <c r="U13" i="3"/>
  <c r="U67" i="3" s="1"/>
  <c r="Z13" i="3"/>
  <c r="Z67" i="3" s="1"/>
  <c r="AB58" i="2"/>
  <c r="AA30" i="3"/>
  <c r="B56" i="3"/>
  <c r="P58" i="3"/>
  <c r="AD13" i="3"/>
  <c r="AD67" i="3" s="1"/>
  <c r="X13" i="3"/>
  <c r="X67" i="3" s="1"/>
  <c r="R13" i="3"/>
  <c r="R67" i="3" s="1"/>
  <c r="Y13" i="3"/>
  <c r="Y67" i="3" s="1"/>
  <c r="S30" i="3"/>
  <c r="T58" i="2"/>
  <c r="AC13" i="3"/>
  <c r="AC67" i="3" s="1"/>
  <c r="AC58" i="2"/>
  <c r="AB30" i="3"/>
  <c r="T13" i="3"/>
  <c r="T67" i="3" s="1"/>
  <c r="AE13" i="3"/>
  <c r="AE67" i="3" s="1"/>
  <c r="Q57" i="2" l="1"/>
  <c r="P13" i="3"/>
  <c r="C58" i="2"/>
  <c r="C86" i="2"/>
  <c r="R61" i="2"/>
  <c r="Q11" i="3" s="1"/>
  <c r="S13" i="3"/>
  <c r="S67" i="3" s="1"/>
  <c r="P38" i="3"/>
  <c r="B30" i="3"/>
  <c r="C3" i="5" s="1"/>
  <c r="B58" i="3"/>
  <c r="P59" i="3"/>
  <c r="P11" i="3"/>
  <c r="AB13" i="3"/>
  <c r="AB67" i="3" s="1"/>
  <c r="AA13" i="3"/>
  <c r="AA67" i="3" s="1"/>
  <c r="Q13" i="3"/>
  <c r="Q67" i="3" s="1"/>
  <c r="R57" i="2" l="1"/>
  <c r="R88" i="2" s="1"/>
  <c r="R90" i="2" s="1"/>
  <c r="S61" i="2"/>
  <c r="T61" i="2" s="1"/>
  <c r="Q59" i="3"/>
  <c r="P67" i="3"/>
  <c r="B67" i="3" s="1"/>
  <c r="B13" i="3"/>
  <c r="Q15" i="3"/>
  <c r="Q68" i="3"/>
  <c r="Q88" i="2"/>
  <c r="P68" i="3"/>
  <c r="P15" i="3"/>
  <c r="C24" i="5"/>
  <c r="E3" i="5"/>
  <c r="D3" i="5"/>
  <c r="Q5" i="4" l="1"/>
  <c r="S57" i="2"/>
  <c r="S88" i="2" s="1"/>
  <c r="R5" i="4" s="1"/>
  <c r="R11" i="3"/>
  <c r="R15" i="3" s="1"/>
  <c r="R59" i="3"/>
  <c r="P22" i="3"/>
  <c r="S11" i="3"/>
  <c r="T57" i="2"/>
  <c r="U61" i="2"/>
  <c r="Q90" i="2"/>
  <c r="R92" i="2"/>
  <c r="Q89" i="2"/>
  <c r="R89" i="2" s="1"/>
  <c r="Q92" i="2"/>
  <c r="P5" i="4"/>
  <c r="D24" i="5"/>
  <c r="G52" i="5" s="1"/>
  <c r="D12" i="1"/>
  <c r="R68" i="3" l="1"/>
  <c r="S92" i="2"/>
  <c r="S89" i="2"/>
  <c r="S90" i="2"/>
  <c r="P23" i="3"/>
  <c r="Q91" i="2"/>
  <c r="R91" i="2" s="1"/>
  <c r="S59" i="3"/>
  <c r="P6" i="4"/>
  <c r="P11" i="4"/>
  <c r="Q9" i="4"/>
  <c r="R9" i="4"/>
  <c r="P9" i="4"/>
  <c r="T11" i="3"/>
  <c r="U57" i="2"/>
  <c r="U88" i="2" s="1"/>
  <c r="V61" i="2"/>
  <c r="S15" i="3"/>
  <c r="S68" i="3"/>
  <c r="T88" i="2"/>
  <c r="S91" i="2" l="1"/>
  <c r="Q11" i="4"/>
  <c r="R11" i="4" s="1"/>
  <c r="T15" i="3"/>
  <c r="T68" i="3"/>
  <c r="P25" i="3"/>
  <c r="W61" i="2"/>
  <c r="X61" i="2" s="1"/>
  <c r="T5" i="4"/>
  <c r="U90" i="2"/>
  <c r="Q6" i="4"/>
  <c r="R6" i="4" s="1"/>
  <c r="P24" i="3"/>
  <c r="U11" i="3"/>
  <c r="V57" i="2"/>
  <c r="V88" i="2" s="1"/>
  <c r="V92" i="2" s="1"/>
  <c r="T89" i="2"/>
  <c r="U89" i="2" s="1"/>
  <c r="T90" i="2"/>
  <c r="S5" i="4"/>
  <c r="T92" i="2"/>
  <c r="U92" i="2"/>
  <c r="T59" i="3"/>
  <c r="S11" i="4" l="1"/>
  <c r="T11" i="4" s="1"/>
  <c r="Q16" i="3"/>
  <c r="Q17" i="3" s="1"/>
  <c r="Q20" i="3" s="1"/>
  <c r="Q21" i="3" s="1"/>
  <c r="R18" i="3" s="1"/>
  <c r="W11" i="3"/>
  <c r="X57" i="2"/>
  <c r="X88" i="2" s="1"/>
  <c r="Y61" i="2"/>
  <c r="S6" i="4"/>
  <c r="T6" i="4" s="1"/>
  <c r="T9" i="4"/>
  <c r="S9" i="4"/>
  <c r="T91" i="2"/>
  <c r="U91" i="2" s="1"/>
  <c r="P64" i="3"/>
  <c r="P54" i="4"/>
  <c r="P26" i="3"/>
  <c r="V90" i="2"/>
  <c r="V89" i="2"/>
  <c r="U5" i="4"/>
  <c r="V11" i="3"/>
  <c r="W57" i="2"/>
  <c r="W88" i="2" s="1"/>
  <c r="U59" i="3"/>
  <c r="U15" i="3"/>
  <c r="U68" i="3"/>
  <c r="R19" i="3" l="1"/>
  <c r="U6" i="4"/>
  <c r="W5" i="4"/>
  <c r="X90" i="2"/>
  <c r="W90" i="2"/>
  <c r="V5" i="4"/>
  <c r="W89" i="2"/>
  <c r="X89" i="2" s="1"/>
  <c r="X92" i="2"/>
  <c r="W92" i="2"/>
  <c r="W15" i="3"/>
  <c r="W68" i="3"/>
  <c r="V59" i="3"/>
  <c r="W59" i="3" s="1"/>
  <c r="X59" i="3" s="1"/>
  <c r="Y59" i="3" s="1"/>
  <c r="Z59" i="3" s="1"/>
  <c r="AA59" i="3" s="1"/>
  <c r="V15" i="3"/>
  <c r="V68" i="3"/>
  <c r="X11" i="3"/>
  <c r="Y57" i="2"/>
  <c r="Y88" i="2" s="1"/>
  <c r="Z61" i="2"/>
  <c r="P35" i="3"/>
  <c r="P40" i="3"/>
  <c r="Q22" i="3"/>
  <c r="V91" i="2"/>
  <c r="U9" i="4"/>
  <c r="U11" i="4"/>
  <c r="AB59" i="3" l="1"/>
  <c r="AC59" i="3" s="1"/>
  <c r="AD59" i="3" s="1"/>
  <c r="AE59" i="3" s="1"/>
  <c r="AF59" i="3" s="1"/>
  <c r="AG59" i="3" s="1"/>
  <c r="AH59" i="3" s="1"/>
  <c r="AI59" i="3" s="1"/>
  <c r="AJ59" i="3" s="1"/>
  <c r="B59" i="3" s="1"/>
  <c r="V6" i="4"/>
  <c r="W6" i="4" s="1"/>
  <c r="W91" i="2"/>
  <c r="X91" i="2" s="1"/>
  <c r="W9" i="4"/>
  <c r="Y92" i="2"/>
  <c r="Y11" i="3"/>
  <c r="Z57" i="2"/>
  <c r="Z88" i="2" s="1"/>
  <c r="AA61" i="2"/>
  <c r="Q23" i="3"/>
  <c r="Q24" i="3" s="1"/>
  <c r="P36" i="3"/>
  <c r="X5" i="4"/>
  <c r="X9" i="4" s="1"/>
  <c r="Y89" i="2"/>
  <c r="Y90" i="2"/>
  <c r="V11" i="4"/>
  <c r="W11" i="4" s="1"/>
  <c r="V9" i="4"/>
  <c r="Q31" i="3"/>
  <c r="P42" i="3"/>
  <c r="X15" i="3"/>
  <c r="X68" i="3"/>
  <c r="Y5" i="4" l="1"/>
  <c r="Y9" i="4" s="1"/>
  <c r="Z89" i="2"/>
  <c r="Z90" i="2"/>
  <c r="Q25" i="3"/>
  <c r="R16" i="3"/>
  <c r="R17" i="3" s="1"/>
  <c r="R20" i="3" s="1"/>
  <c r="R21" i="3" s="1"/>
  <c r="S18" i="3" s="1"/>
  <c r="Y91" i="2"/>
  <c r="P61" i="3"/>
  <c r="X6" i="4"/>
  <c r="X11" i="4"/>
  <c r="P39" i="3"/>
  <c r="P41" i="3"/>
  <c r="Q37" i="3" s="1"/>
  <c r="Q32" i="3" s="1"/>
  <c r="Q33" i="3" s="1"/>
  <c r="Y15" i="3"/>
  <c r="Y68" i="3"/>
  <c r="Z11" i="3"/>
  <c r="AA57" i="2"/>
  <c r="AA88" i="2" s="1"/>
  <c r="AB61" i="2"/>
  <c r="Z92" i="2"/>
  <c r="S19" i="3" l="1"/>
  <c r="Q38" i="3"/>
  <c r="Q34" i="3"/>
  <c r="Q26" i="3"/>
  <c r="Q64" i="3"/>
  <c r="Q54" i="4"/>
  <c r="Z15" i="3"/>
  <c r="Z68" i="3"/>
  <c r="P72" i="3"/>
  <c r="Q60" i="3"/>
  <c r="AA90" i="2"/>
  <c r="AA89" i="2"/>
  <c r="Z5" i="4"/>
  <c r="P43" i="3"/>
  <c r="Z91" i="2"/>
  <c r="Y11" i="4"/>
  <c r="R22" i="3"/>
  <c r="AA92" i="2"/>
  <c r="Y6" i="4"/>
  <c r="AA11" i="3"/>
  <c r="AB57" i="2"/>
  <c r="AB88" i="2" s="1"/>
  <c r="AC61" i="2"/>
  <c r="Z11" i="4" l="1"/>
  <c r="Z6" i="4"/>
  <c r="Z9" i="4"/>
  <c r="R23" i="3"/>
  <c r="AA5" i="4"/>
  <c r="AB90" i="2"/>
  <c r="AB89" i="2"/>
  <c r="AB92" i="2"/>
  <c r="AA15" i="3"/>
  <c r="AA68" i="3"/>
  <c r="AA91" i="2"/>
  <c r="Q35" i="3"/>
  <c r="Q36" i="3" s="1"/>
  <c r="Q40" i="3"/>
  <c r="P55" i="4"/>
  <c r="P65" i="3"/>
  <c r="P44" i="3"/>
  <c r="AB11" i="3"/>
  <c r="AC57" i="2"/>
  <c r="AC88" i="2" s="1"/>
  <c r="AD61" i="2"/>
  <c r="AB91" i="2" l="1"/>
  <c r="Q42" i="3"/>
  <c r="R31" i="3"/>
  <c r="R25" i="3"/>
  <c r="Q41" i="3"/>
  <c r="R37" i="3" s="1"/>
  <c r="R32" i="3" s="1"/>
  <c r="R33" i="3" s="1"/>
  <c r="Q39" i="3"/>
  <c r="P48" i="3"/>
  <c r="AA6" i="4"/>
  <c r="AA9" i="4"/>
  <c r="AA11" i="4"/>
  <c r="AC11" i="3"/>
  <c r="AD57" i="2"/>
  <c r="AD88" i="2" s="1"/>
  <c r="AE61" i="2"/>
  <c r="AC89" i="2"/>
  <c r="AB5" i="4"/>
  <c r="AC90" i="2"/>
  <c r="AC92" i="2"/>
  <c r="AB15" i="3"/>
  <c r="AB68" i="3"/>
  <c r="R24" i="3"/>
  <c r="R38" i="3" l="1"/>
  <c r="AC91" i="2"/>
  <c r="AB11" i="4"/>
  <c r="R26" i="3"/>
  <c r="R54" i="4"/>
  <c r="R64" i="3"/>
  <c r="AD11" i="3"/>
  <c r="AE57" i="2"/>
  <c r="AE88" i="2" s="1"/>
  <c r="AF61" i="2"/>
  <c r="AC15" i="3"/>
  <c r="AC68" i="3"/>
  <c r="AB6" i="4"/>
  <c r="AB9" i="4"/>
  <c r="S16" i="3"/>
  <c r="S17" i="3" s="1"/>
  <c r="S20" i="3" s="1"/>
  <c r="S21" i="3" s="1"/>
  <c r="T18" i="3" s="1"/>
  <c r="AC5" i="4"/>
  <c r="AD90" i="2"/>
  <c r="AD89" i="2"/>
  <c r="AD92" i="2"/>
  <c r="P51" i="3"/>
  <c r="P52" i="3"/>
  <c r="Q43" i="3"/>
  <c r="Q61" i="3"/>
  <c r="R34" i="3" l="1"/>
  <c r="R35" i="3" s="1"/>
  <c r="T19" i="3"/>
  <c r="AD91" i="2"/>
  <c r="AE11" i="3"/>
  <c r="AF57" i="2"/>
  <c r="AF88" i="2" s="1"/>
  <c r="AG61" i="2"/>
  <c r="Q65" i="3"/>
  <c r="Q55" i="4"/>
  <c r="Q44" i="3"/>
  <c r="Q72" i="3"/>
  <c r="R60" i="3"/>
  <c r="AC6" i="4"/>
  <c r="AC9" i="4"/>
  <c r="P53" i="4"/>
  <c r="P59" i="4" s="1"/>
  <c r="AD68" i="3"/>
  <c r="AD15" i="3"/>
  <c r="AD5" i="4"/>
  <c r="AE90" i="2"/>
  <c r="AE89" i="2"/>
  <c r="AE92" i="2"/>
  <c r="P52" i="4"/>
  <c r="P58" i="4" s="1"/>
  <c r="P63" i="3"/>
  <c r="Q49" i="3"/>
  <c r="Q50" i="3" s="1"/>
  <c r="S22" i="3"/>
  <c r="AC11" i="4"/>
  <c r="P63" i="4" l="1"/>
  <c r="P62" i="4"/>
  <c r="R40" i="3"/>
  <c r="S31" i="3" s="1"/>
  <c r="AE91" i="2"/>
  <c r="AD11" i="4"/>
  <c r="AD6" i="4"/>
  <c r="AD9" i="4"/>
  <c r="S23" i="3"/>
  <c r="S24" i="3" s="1"/>
  <c r="P75" i="3"/>
  <c r="P74" i="3"/>
  <c r="AG57" i="2"/>
  <c r="AG88" i="2" s="1"/>
  <c r="AF11" i="3"/>
  <c r="AH61" i="2"/>
  <c r="P34" i="4"/>
  <c r="P29" i="4"/>
  <c r="P32" i="4"/>
  <c r="R36" i="3"/>
  <c r="AE5" i="4"/>
  <c r="AF89" i="2"/>
  <c r="AF90" i="2"/>
  <c r="AF92" i="2"/>
  <c r="Q48" i="3"/>
  <c r="Q52" i="3" s="1"/>
  <c r="P23" i="4"/>
  <c r="P18" i="4"/>
  <c r="P21" i="4"/>
  <c r="AE15" i="3"/>
  <c r="AE68" i="3"/>
  <c r="R42" i="3" l="1"/>
  <c r="R61" i="3" s="1"/>
  <c r="AF91" i="2"/>
  <c r="Q53" i="4"/>
  <c r="Q59" i="4" s="1"/>
  <c r="AF15" i="3"/>
  <c r="AF68" i="3"/>
  <c r="AG11" i="3"/>
  <c r="AH57" i="2"/>
  <c r="AH88" i="2" s="1"/>
  <c r="AI61" i="2"/>
  <c r="S25" i="3"/>
  <c r="T16" i="3"/>
  <c r="T17" i="3" s="1"/>
  <c r="T20" i="3" s="1"/>
  <c r="AE6" i="4"/>
  <c r="AE9" i="4"/>
  <c r="R41" i="3"/>
  <c r="S37" i="3" s="1"/>
  <c r="S32" i="3" s="1"/>
  <c r="S33" i="3" s="1"/>
  <c r="R39" i="3"/>
  <c r="Q51" i="3"/>
  <c r="AE11" i="4"/>
  <c r="AF5" i="4"/>
  <c r="AG90" i="2"/>
  <c r="AG91" i="2" s="1"/>
  <c r="AG89" i="2"/>
  <c r="AG92" i="2"/>
  <c r="P80" i="3"/>
  <c r="P76" i="3"/>
  <c r="S38" i="3" l="1"/>
  <c r="S34" i="3"/>
  <c r="T21" i="3"/>
  <c r="U18" i="3" s="1"/>
  <c r="AG68" i="3"/>
  <c r="AG15" i="3"/>
  <c r="AF6" i="4"/>
  <c r="AF9" i="4"/>
  <c r="Q63" i="3"/>
  <c r="Q52" i="4"/>
  <c r="Q58" i="4" s="1"/>
  <c r="R49" i="3"/>
  <c r="R50" i="3" s="1"/>
  <c r="AF11" i="4"/>
  <c r="R43" i="3"/>
  <c r="T22" i="3"/>
  <c r="AI57" i="2"/>
  <c r="AI88" i="2" s="1"/>
  <c r="AH11" i="3"/>
  <c r="AJ61" i="2"/>
  <c r="AH89" i="2"/>
  <c r="AH90" i="2"/>
  <c r="AH91" i="2" s="1"/>
  <c r="AG5" i="4"/>
  <c r="AH92" i="2"/>
  <c r="P79" i="3"/>
  <c r="R72" i="3"/>
  <c r="S60" i="3"/>
  <c r="S54" i="4"/>
  <c r="S26" i="3"/>
  <c r="S64" i="3"/>
  <c r="Q63" i="4" l="1"/>
  <c r="Q62" i="4"/>
  <c r="U19" i="3"/>
  <c r="AG11" i="4"/>
  <c r="AI11" i="3"/>
  <c r="AJ57" i="2"/>
  <c r="AJ88" i="2" s="1"/>
  <c r="AK61" i="2"/>
  <c r="Q74" i="3"/>
  <c r="Q75" i="3"/>
  <c r="R55" i="4"/>
  <c r="R65" i="3"/>
  <c r="R44" i="3"/>
  <c r="AH15" i="3"/>
  <c r="AH68" i="3"/>
  <c r="S35" i="3"/>
  <c r="S36" i="3" s="1"/>
  <c r="S40" i="3"/>
  <c r="P81" i="3"/>
  <c r="T23" i="3"/>
  <c r="Q29" i="4"/>
  <c r="Q32" i="4"/>
  <c r="Q34" i="4"/>
  <c r="AI89" i="2"/>
  <c r="AI90" i="2"/>
  <c r="AI91" i="2" s="1"/>
  <c r="AH5" i="4"/>
  <c r="AI92" i="2"/>
  <c r="AG6" i="4"/>
  <c r="AG9" i="4"/>
  <c r="Q18" i="4"/>
  <c r="Q21" i="4"/>
  <c r="Q23" i="4"/>
  <c r="AH11" i="4" l="1"/>
  <c r="T31" i="3"/>
  <c r="S42" i="3"/>
  <c r="R48" i="3"/>
  <c r="Q80" i="3"/>
  <c r="Q76" i="3"/>
  <c r="T25" i="3"/>
  <c r="T24" i="3"/>
  <c r="AJ11" i="3"/>
  <c r="AK57" i="2"/>
  <c r="C61" i="2"/>
  <c r="S41" i="3"/>
  <c r="T37" i="3" s="1"/>
  <c r="T32" i="3" s="1"/>
  <c r="T33" i="3" s="1"/>
  <c r="S39" i="3"/>
  <c r="Q78" i="3"/>
  <c r="P82" i="3"/>
  <c r="P84" i="3" s="1"/>
  <c r="AJ89" i="2"/>
  <c r="AJ90" i="2"/>
  <c r="AJ91" i="2" s="1"/>
  <c r="AI5" i="4"/>
  <c r="AJ92" i="2"/>
  <c r="AH6" i="4"/>
  <c r="AH9" i="4"/>
  <c r="AI15" i="3"/>
  <c r="AI68" i="3"/>
  <c r="T38" i="3" l="1"/>
  <c r="T34" i="3"/>
  <c r="T26" i="3"/>
  <c r="T54" i="4"/>
  <c r="T64" i="3"/>
  <c r="Q79" i="3"/>
  <c r="P83" i="3"/>
  <c r="S61" i="3"/>
  <c r="U16" i="3"/>
  <c r="U17" i="3" s="1"/>
  <c r="U20" i="3" s="1"/>
  <c r="U21" i="3" s="1"/>
  <c r="V18" i="3" s="1"/>
  <c r="AI6" i="4"/>
  <c r="AI9" i="4"/>
  <c r="AI11" i="4"/>
  <c r="AK88" i="2"/>
  <c r="C57" i="2"/>
  <c r="S43" i="3"/>
  <c r="AJ15" i="3"/>
  <c r="AJ68" i="3"/>
  <c r="B68" i="3" s="1"/>
  <c r="B11" i="3"/>
  <c r="R51" i="3"/>
  <c r="R52" i="3"/>
  <c r="V19" i="3" l="1"/>
  <c r="AJ5" i="4"/>
  <c r="AJ11" i="4" s="1"/>
  <c r="B11" i="4" s="1"/>
  <c r="C8" i="5" s="1"/>
  <c r="C29" i="5" s="1"/>
  <c r="AK89" i="2"/>
  <c r="C89" i="2" s="1"/>
  <c r="AK90" i="2"/>
  <c r="AK92" i="2"/>
  <c r="C88" i="2"/>
  <c r="C92" i="2"/>
  <c r="R63" i="3"/>
  <c r="R52" i="4"/>
  <c r="R58" i="4" s="1"/>
  <c r="S49" i="3"/>
  <c r="S50" i="3" s="1"/>
  <c r="R53" i="4"/>
  <c r="R59" i="4" s="1"/>
  <c r="S72" i="3"/>
  <c r="T60" i="3"/>
  <c r="T35" i="3"/>
  <c r="T40" i="3"/>
  <c r="B15" i="3"/>
  <c r="Q81" i="3"/>
  <c r="S65" i="3"/>
  <c r="S55" i="4"/>
  <c r="S44" i="3"/>
  <c r="U22" i="3"/>
  <c r="R63" i="4" l="1"/>
  <c r="R62" i="4"/>
  <c r="R74" i="3"/>
  <c r="R75" i="3"/>
  <c r="T36" i="3"/>
  <c r="P39" i="4"/>
  <c r="P45" i="4" s="1"/>
  <c r="R29" i="4"/>
  <c r="R32" i="4"/>
  <c r="R34" i="4"/>
  <c r="AK91" i="2"/>
  <c r="C91" i="2" s="1"/>
  <c r="C90" i="2"/>
  <c r="R78" i="3"/>
  <c r="Q82" i="3"/>
  <c r="Q84" i="3" s="1"/>
  <c r="U23" i="3"/>
  <c r="U25" i="3" s="1"/>
  <c r="R18" i="4"/>
  <c r="R21" i="4"/>
  <c r="R23" i="4"/>
  <c r="S48" i="3"/>
  <c r="U31" i="3"/>
  <c r="T42" i="3"/>
  <c r="AJ6" i="4"/>
  <c r="B7" i="4"/>
  <c r="C5" i="5" s="1"/>
  <c r="B8" i="4"/>
  <c r="C6" i="5" s="1"/>
  <c r="C27" i="5" s="1"/>
  <c r="AJ9" i="4"/>
  <c r="B9" i="4" s="1"/>
  <c r="B5" i="4"/>
  <c r="C4" i="5" s="1"/>
  <c r="C26" i="5" l="1"/>
  <c r="H4" i="5"/>
  <c r="C25" i="5"/>
  <c r="G50" i="5"/>
  <c r="U24" i="3"/>
  <c r="V16" i="3" s="1"/>
  <c r="P47" i="4"/>
  <c r="U26" i="3"/>
  <c r="U64" i="3"/>
  <c r="U54" i="4"/>
  <c r="R80" i="3"/>
  <c r="R76" i="3"/>
  <c r="P40" i="4"/>
  <c r="T61" i="3"/>
  <c r="T41" i="3"/>
  <c r="U37" i="3" s="1"/>
  <c r="U32" i="3" s="1"/>
  <c r="U33" i="3" s="1"/>
  <c r="T39" i="3"/>
  <c r="T43" i="3" s="1"/>
  <c r="Q83" i="3"/>
  <c r="B6" i="4"/>
  <c r="B10" i="4"/>
  <c r="C7" i="5" s="1"/>
  <c r="C28" i="5" s="1"/>
  <c r="B12" i="4"/>
  <c r="S52" i="3"/>
  <c r="S51" i="3"/>
  <c r="U38" i="3" l="1"/>
  <c r="U34" i="3"/>
  <c r="U35" i="3" s="1"/>
  <c r="U36" i="3" s="1"/>
  <c r="V22" i="3"/>
  <c r="V17" i="3"/>
  <c r="V20" i="3" s="1"/>
  <c r="T72" i="3"/>
  <c r="U60" i="3"/>
  <c r="T65" i="3"/>
  <c r="T55" i="4"/>
  <c r="T44" i="3"/>
  <c r="S63" i="3"/>
  <c r="S52" i="4"/>
  <c r="S58" i="4" s="1"/>
  <c r="S28" i="4"/>
  <c r="S17" i="4"/>
  <c r="T49" i="3"/>
  <c r="T50" i="3" s="1"/>
  <c r="R79" i="3"/>
  <c r="S53" i="4"/>
  <c r="S59" i="4" s="1"/>
  <c r="U40" i="3" l="1"/>
  <c r="V31" i="3" s="1"/>
  <c r="S62" i="4"/>
  <c r="S63" i="4"/>
  <c r="V21" i="3"/>
  <c r="W18" i="3" s="1"/>
  <c r="S74" i="3"/>
  <c r="S75" i="3"/>
  <c r="T48" i="3"/>
  <c r="T52" i="3" s="1"/>
  <c r="U39" i="3"/>
  <c r="U43" i="3" s="1"/>
  <c r="U41" i="3"/>
  <c r="V37" i="3" s="1"/>
  <c r="V32" i="3" s="1"/>
  <c r="V33" i="3" s="1"/>
  <c r="R81" i="3"/>
  <c r="Q39" i="4"/>
  <c r="S18" i="4"/>
  <c r="S21" i="4"/>
  <c r="S23" i="4"/>
  <c r="S29" i="4"/>
  <c r="S32" i="4"/>
  <c r="S34" i="4"/>
  <c r="U42" i="3" l="1"/>
  <c r="U61" i="3" s="1"/>
  <c r="V60" i="3" s="1"/>
  <c r="V23" i="3"/>
  <c r="V25" i="3" s="1"/>
  <c r="V38" i="3"/>
  <c r="V34" i="3"/>
  <c r="W19" i="3"/>
  <c r="T51" i="3"/>
  <c r="T28" i="4" s="1"/>
  <c r="T34" i="4" s="1"/>
  <c r="U55" i="4"/>
  <c r="U65" i="3"/>
  <c r="U44" i="3"/>
  <c r="U48" i="3" s="1"/>
  <c r="S78" i="3"/>
  <c r="R82" i="3"/>
  <c r="R84" i="3" s="1"/>
  <c r="S76" i="3"/>
  <c r="S80" i="3"/>
  <c r="Q40" i="4"/>
  <c r="T53" i="4"/>
  <c r="T59" i="4" s="1"/>
  <c r="Q45" i="4"/>
  <c r="U72" i="3" l="1"/>
  <c r="V24" i="3"/>
  <c r="W16" i="3" s="1"/>
  <c r="T52" i="4"/>
  <c r="T58" i="4" s="1"/>
  <c r="T63" i="3"/>
  <c r="T75" i="3" s="1"/>
  <c r="U49" i="3"/>
  <c r="U50" i="3" s="1"/>
  <c r="U52" i="3" s="1"/>
  <c r="W22" i="3"/>
  <c r="W17" i="3"/>
  <c r="W20" i="3" s="1"/>
  <c r="V54" i="4"/>
  <c r="V64" i="3"/>
  <c r="V26" i="3"/>
  <c r="V35" i="3" s="1"/>
  <c r="V36" i="3" s="1"/>
  <c r="V39" i="3" s="1"/>
  <c r="V43" i="3" s="1"/>
  <c r="T17" i="4"/>
  <c r="T23" i="4" s="1"/>
  <c r="R83" i="3"/>
  <c r="Q47" i="4"/>
  <c r="T29" i="4"/>
  <c r="T32" i="4"/>
  <c r="S79" i="3"/>
  <c r="T74" i="3" l="1"/>
  <c r="T63" i="4"/>
  <c r="T62" i="4"/>
  <c r="U51" i="3"/>
  <c r="U52" i="4" s="1"/>
  <c r="U58" i="4" s="1"/>
  <c r="V41" i="3"/>
  <c r="W37" i="3" s="1"/>
  <c r="W32" i="3" s="1"/>
  <c r="W33" i="3" s="1"/>
  <c r="W21" i="3"/>
  <c r="W23" i="3" s="1"/>
  <c r="W25" i="3" s="1"/>
  <c r="V40" i="3"/>
  <c r="T21" i="4"/>
  <c r="T18" i="4"/>
  <c r="T80" i="3"/>
  <c r="T76" i="3"/>
  <c r="S81" i="3"/>
  <c r="V65" i="3"/>
  <c r="V55" i="4"/>
  <c r="V44" i="3"/>
  <c r="V48" i="3" s="1"/>
  <c r="V49" i="3"/>
  <c r="V50" i="3" s="1"/>
  <c r="U53" i="4"/>
  <c r="U59" i="4" s="1"/>
  <c r="U28" i="4" l="1"/>
  <c r="U17" i="4"/>
  <c r="U18" i="4" s="1"/>
  <c r="W24" i="3"/>
  <c r="X16" i="3" s="1"/>
  <c r="X22" i="3" s="1"/>
  <c r="U63" i="4"/>
  <c r="U62" i="4"/>
  <c r="U63" i="3"/>
  <c r="U74" i="3" s="1"/>
  <c r="X18" i="3"/>
  <c r="X19" i="3" s="1"/>
  <c r="W31" i="3"/>
  <c r="V42" i="3"/>
  <c r="V61" i="3" s="1"/>
  <c r="W26" i="3"/>
  <c r="W54" i="4"/>
  <c r="W64" i="3"/>
  <c r="W38" i="3"/>
  <c r="V52" i="3"/>
  <c r="V51" i="3"/>
  <c r="U29" i="4"/>
  <c r="U34" i="4"/>
  <c r="U32" i="4"/>
  <c r="T78" i="3"/>
  <c r="T79" i="3" s="1"/>
  <c r="S82" i="3"/>
  <c r="S84" i="3" s="1"/>
  <c r="R39" i="4"/>
  <c r="R45" i="4" s="1"/>
  <c r="U23" i="4" l="1"/>
  <c r="U21" i="4"/>
  <c r="X17" i="3"/>
  <c r="X20" i="3" s="1"/>
  <c r="X21" i="3" s="1"/>
  <c r="Y18" i="3" s="1"/>
  <c r="U75" i="3"/>
  <c r="U76" i="3" s="1"/>
  <c r="W60" i="3"/>
  <c r="V72" i="3"/>
  <c r="R47" i="4"/>
  <c r="V53" i="4"/>
  <c r="V59" i="4" s="1"/>
  <c r="T81" i="3"/>
  <c r="S83" i="3"/>
  <c r="V63" i="3"/>
  <c r="V52" i="4"/>
  <c r="V58" i="4" s="1"/>
  <c r="W49" i="3"/>
  <c r="W50" i="3" s="1"/>
  <c r="V17" i="4"/>
  <c r="V28" i="4"/>
  <c r="V34" i="4" s="1"/>
  <c r="R40" i="4"/>
  <c r="U80" i="3"/>
  <c r="X23" i="3" l="1"/>
  <c r="X25" i="3" s="1"/>
  <c r="X64" i="3" s="1"/>
  <c r="V63" i="4"/>
  <c r="V62" i="4"/>
  <c r="W34" i="3"/>
  <c r="Y19" i="3"/>
  <c r="T82" i="3"/>
  <c r="T84" i="3" s="1"/>
  <c r="U78" i="3"/>
  <c r="U79" i="3" s="1"/>
  <c r="U81" i="3" s="1"/>
  <c r="V18" i="4"/>
  <c r="V21" i="4"/>
  <c r="V29" i="4"/>
  <c r="V32" i="4"/>
  <c r="V75" i="3"/>
  <c r="V74" i="3"/>
  <c r="V23" i="4"/>
  <c r="X54" i="4" l="1"/>
  <c r="X26" i="3"/>
  <c r="X24" i="3"/>
  <c r="Y16" i="3" s="1"/>
  <c r="W40" i="3"/>
  <c r="X31" i="3" s="1"/>
  <c r="W35" i="3"/>
  <c r="W36" i="3" s="1"/>
  <c r="W39" i="3" s="1"/>
  <c r="W43" i="3" s="1"/>
  <c r="U82" i="3"/>
  <c r="V78" i="3"/>
  <c r="T83" i="3"/>
  <c r="V76" i="3"/>
  <c r="V80" i="3"/>
  <c r="S39" i="4"/>
  <c r="S45" i="4" s="1"/>
  <c r="U83" i="3" l="1"/>
  <c r="U84" i="3"/>
  <c r="Y22" i="3"/>
  <c r="Y17" i="3"/>
  <c r="Y20" i="3" s="1"/>
  <c r="Y21" i="3" s="1"/>
  <c r="W42" i="3"/>
  <c r="W61" i="3" s="1"/>
  <c r="X60" i="3" s="1"/>
  <c r="W41" i="3"/>
  <c r="X37" i="3" s="1"/>
  <c r="W65" i="3"/>
  <c r="W55" i="4"/>
  <c r="W44" i="3"/>
  <c r="W48" i="3" s="1"/>
  <c r="V79" i="3"/>
  <c r="V81" i="3" s="1"/>
  <c r="W78" i="3" s="1"/>
  <c r="S47" i="4"/>
  <c r="S40" i="4"/>
  <c r="U39" i="4"/>
  <c r="Z18" i="3" l="1"/>
  <c r="Y23" i="3"/>
  <c r="Y25" i="3" s="1"/>
  <c r="Y64" i="3" s="1"/>
  <c r="W72" i="3"/>
  <c r="X38" i="3"/>
  <c r="X32" i="3"/>
  <c r="X33" i="3" s="1"/>
  <c r="X34" i="3" s="1"/>
  <c r="X40" i="3" s="1"/>
  <c r="Z19" i="3"/>
  <c r="W52" i="3"/>
  <c r="W53" i="4" s="1"/>
  <c r="W59" i="4" s="1"/>
  <c r="W51" i="3"/>
  <c r="V82" i="3"/>
  <c r="T39" i="4"/>
  <c r="T45" i="4" s="1"/>
  <c r="U45" i="4"/>
  <c r="V83" i="3" l="1"/>
  <c r="V84" i="3"/>
  <c r="Y24" i="3"/>
  <c r="Z16" i="3" s="1"/>
  <c r="Y26" i="3"/>
  <c r="Y54" i="4"/>
  <c r="X35" i="3"/>
  <c r="X36" i="3" s="1"/>
  <c r="X39" i="3" s="1"/>
  <c r="X43" i="3" s="1"/>
  <c r="W63" i="3"/>
  <c r="X49" i="3"/>
  <c r="X50" i="3" s="1"/>
  <c r="W52" i="4"/>
  <c r="W58" i="4" s="1"/>
  <c r="W28" i="4"/>
  <c r="W17" i="4"/>
  <c r="X42" i="3"/>
  <c r="X61" i="3" s="1"/>
  <c r="Y31" i="3"/>
  <c r="T47" i="4"/>
  <c r="U47" i="4" s="1"/>
  <c r="T40" i="4"/>
  <c r="U40" i="4" s="1"/>
  <c r="V39" i="4" l="1"/>
  <c r="V45" i="4" s="1"/>
  <c r="V47" i="4" s="1"/>
  <c r="Z22" i="3"/>
  <c r="Z17" i="3"/>
  <c r="Z20" i="3" s="1"/>
  <c r="Z21" i="3" s="1"/>
  <c r="Z23" i="3" s="1"/>
  <c r="Z24" i="3" s="1"/>
  <c r="AA16" i="3" s="1"/>
  <c r="X41" i="3"/>
  <c r="Y37" i="3" s="1"/>
  <c r="Y32" i="3" s="1"/>
  <c r="Y33" i="3" s="1"/>
  <c r="W63" i="4"/>
  <c r="W62" i="4"/>
  <c r="W18" i="4"/>
  <c r="W21" i="4"/>
  <c r="W23" i="4"/>
  <c r="W74" i="3"/>
  <c r="W75" i="3"/>
  <c r="X72" i="3"/>
  <c r="Y60" i="3"/>
  <c r="X44" i="3"/>
  <c r="X48" i="3" s="1"/>
  <c r="X52" i="3" s="1"/>
  <c r="X53" i="4" s="1"/>
  <c r="X59" i="4" s="1"/>
  <c r="X65" i="3"/>
  <c r="X55" i="4"/>
  <c r="W29" i="4"/>
  <c r="W34" i="4"/>
  <c r="W32" i="4"/>
  <c r="Y38" i="3" l="1"/>
  <c r="V40" i="4"/>
  <c r="AA18" i="3"/>
  <c r="AA19" i="3" s="1"/>
  <c r="Z25" i="3"/>
  <c r="Z64" i="3" s="1"/>
  <c r="X51" i="3"/>
  <c r="X63" i="3" s="1"/>
  <c r="Y34" i="3"/>
  <c r="Y35" i="3" s="1"/>
  <c r="Y36" i="3" s="1"/>
  <c r="W76" i="3"/>
  <c r="W79" i="3" s="1"/>
  <c r="W81" i="3" s="1"/>
  <c r="W80" i="3"/>
  <c r="AA22" i="3"/>
  <c r="AA17" i="3"/>
  <c r="Z54" i="4" l="1"/>
  <c r="Z26" i="3"/>
  <c r="Y49" i="3"/>
  <c r="Y50" i="3" s="1"/>
  <c r="X52" i="4"/>
  <c r="X58" i="4" s="1"/>
  <c r="X63" i="4" s="1"/>
  <c r="AA20" i="3"/>
  <c r="AA21" i="3" s="1"/>
  <c r="AA23" i="3" s="1"/>
  <c r="AA25" i="3" s="1"/>
  <c r="X17" i="4"/>
  <c r="X28" i="4"/>
  <c r="Y40" i="3"/>
  <c r="Z31" i="3" s="1"/>
  <c r="X75" i="3"/>
  <c r="X74" i="3"/>
  <c r="W82" i="3"/>
  <c r="X78" i="3"/>
  <c r="Y39" i="3"/>
  <c r="Y43" i="3" s="1"/>
  <c r="Y41" i="3"/>
  <c r="Z37" i="3" s="1"/>
  <c r="Z32" i="3" s="1"/>
  <c r="Z33" i="3" s="1"/>
  <c r="X62" i="4" l="1"/>
  <c r="AB18" i="3"/>
  <c r="W83" i="3"/>
  <c r="W84" i="3"/>
  <c r="W39" i="4" s="1"/>
  <c r="W40" i="4" s="1"/>
  <c r="AA24" i="3"/>
  <c r="AB16" i="3" s="1"/>
  <c r="AB22" i="3" s="1"/>
  <c r="Y42" i="3"/>
  <c r="Y61" i="3" s="1"/>
  <c r="Y72" i="3" s="1"/>
  <c r="X32" i="4"/>
  <c r="X34" i="4"/>
  <c r="X29" i="4"/>
  <c r="X23" i="4"/>
  <c r="X18" i="4"/>
  <c r="X21" i="4"/>
  <c r="Z38" i="3"/>
  <c r="AB19" i="3"/>
  <c r="Y44" i="3"/>
  <c r="Y48" i="3" s="1"/>
  <c r="Y55" i="4"/>
  <c r="Y65" i="3"/>
  <c r="X80" i="3"/>
  <c r="X76" i="3"/>
  <c r="X79" i="3" s="1"/>
  <c r="X81" i="3" s="1"/>
  <c r="AA64" i="3"/>
  <c r="AA54" i="4"/>
  <c r="AA26" i="3"/>
  <c r="Z60" i="3" l="1"/>
  <c r="AB17" i="3"/>
  <c r="AB20" i="3" s="1"/>
  <c r="AB21" i="3" s="1"/>
  <c r="AC18" i="3" s="1"/>
  <c r="AC19" i="3" s="1"/>
  <c r="Z34" i="3"/>
  <c r="Z35" i="3" s="1"/>
  <c r="Z36" i="3" s="1"/>
  <c r="W45" i="4"/>
  <c r="W47" i="4" s="1"/>
  <c r="Y51" i="3"/>
  <c r="Y52" i="3"/>
  <c r="Y53" i="4" s="1"/>
  <c r="Y59" i="4" s="1"/>
  <c r="X82" i="3"/>
  <c r="Y78" i="3"/>
  <c r="X83" i="3" l="1"/>
  <c r="X84" i="3"/>
  <c r="AB23" i="3"/>
  <c r="AB25" i="3" s="1"/>
  <c r="AB26" i="3" s="1"/>
  <c r="Z40" i="3"/>
  <c r="Z42" i="3" s="1"/>
  <c r="Z61" i="3" s="1"/>
  <c r="Y52" i="4"/>
  <c r="Y58" i="4" s="1"/>
  <c r="Z49" i="3"/>
  <c r="Z50" i="3" s="1"/>
  <c r="Y63" i="3"/>
  <c r="Y17" i="4"/>
  <c r="Y28" i="4"/>
  <c r="Z39" i="3"/>
  <c r="Z43" i="3" s="1"/>
  <c r="Z41" i="3"/>
  <c r="AA37" i="3" s="1"/>
  <c r="AA32" i="3" s="1"/>
  <c r="AA33" i="3" s="1"/>
  <c r="X39" i="4"/>
  <c r="X40" i="4" s="1"/>
  <c r="AB54" i="4" l="1"/>
  <c r="AB64" i="3"/>
  <c r="AB24" i="3"/>
  <c r="AC16" i="3" s="1"/>
  <c r="AA31" i="3"/>
  <c r="Y63" i="4"/>
  <c r="Y62" i="4"/>
  <c r="Y34" i="4"/>
  <c r="Y29" i="4"/>
  <c r="Y32" i="4"/>
  <c r="Y75" i="3"/>
  <c r="Y74" i="3"/>
  <c r="AA38" i="3"/>
  <c r="Y23" i="4"/>
  <c r="Y18" i="4"/>
  <c r="Y21" i="4"/>
  <c r="Z55" i="4"/>
  <c r="Z65" i="3"/>
  <c r="Z44" i="3"/>
  <c r="Z48" i="3" s="1"/>
  <c r="Z51" i="3" s="1"/>
  <c r="X45" i="4"/>
  <c r="X47" i="4" s="1"/>
  <c r="Z72" i="3"/>
  <c r="AA60" i="3"/>
  <c r="AC22" i="3" l="1"/>
  <c r="AC17" i="3"/>
  <c r="AC20" i="3" s="1"/>
  <c r="AA34" i="3"/>
  <c r="Z52" i="3"/>
  <c r="Z53" i="4" s="1"/>
  <c r="Z59" i="4" s="1"/>
  <c r="Z52" i="4"/>
  <c r="Z58" i="4" s="1"/>
  <c r="Z63" i="3"/>
  <c r="AA49" i="3"/>
  <c r="AA50" i="3" s="1"/>
  <c r="Z28" i="4"/>
  <c r="Z34" i="4" s="1"/>
  <c r="Z17" i="4"/>
  <c r="Y80" i="3"/>
  <c r="Y76" i="3"/>
  <c r="Y79" i="3" s="1"/>
  <c r="Y81" i="3" s="1"/>
  <c r="AC21" i="3" l="1"/>
  <c r="AC23" i="3" s="1"/>
  <c r="Z63" i="4"/>
  <c r="Z62" i="4"/>
  <c r="AA40" i="3"/>
  <c r="AB31" i="3" s="1"/>
  <c r="AA35" i="3"/>
  <c r="AA36" i="3" s="1"/>
  <c r="AA41" i="3" s="1"/>
  <c r="AB37" i="3" s="1"/>
  <c r="AB32" i="3" s="1"/>
  <c r="AB33" i="3" s="1"/>
  <c r="Z23" i="4"/>
  <c r="Z18" i="4"/>
  <c r="Z21" i="4"/>
  <c r="Z29" i="4"/>
  <c r="Z32" i="4"/>
  <c r="Y82" i="3"/>
  <c r="Z78" i="3"/>
  <c r="Z74" i="3"/>
  <c r="Z75" i="3"/>
  <c r="Y83" i="3" l="1"/>
  <c r="Y84" i="3"/>
  <c r="Y39" i="4" s="1"/>
  <c r="Y40" i="4" s="1"/>
  <c r="AD18" i="3"/>
  <c r="AD19" i="3" s="1"/>
  <c r="AC25" i="3"/>
  <c r="AC24" i="3"/>
  <c r="AD16" i="3" s="1"/>
  <c r="AA42" i="3"/>
  <c r="AA61" i="3" s="1"/>
  <c r="AA72" i="3" s="1"/>
  <c r="AA39" i="3"/>
  <c r="AA43" i="3" s="1"/>
  <c r="AA44" i="3" s="1"/>
  <c r="AA48" i="3" s="1"/>
  <c r="Z80" i="3"/>
  <c r="Z76" i="3"/>
  <c r="Z79" i="3" s="1"/>
  <c r="Z81" i="3" s="1"/>
  <c r="AB38" i="3"/>
  <c r="AB34" i="3"/>
  <c r="AB60" i="3" l="1"/>
  <c r="AD17" i="3"/>
  <c r="AD20" i="3" s="1"/>
  <c r="AD22" i="3"/>
  <c r="AA55" i="4"/>
  <c r="AA65" i="3"/>
  <c r="AC64" i="3"/>
  <c r="AC54" i="4"/>
  <c r="AC26" i="3"/>
  <c r="Y45" i="4"/>
  <c r="Y47" i="4" s="1"/>
  <c r="AA51" i="3"/>
  <c r="AA52" i="3"/>
  <c r="AA78" i="3"/>
  <c r="Z82" i="3"/>
  <c r="AB35" i="3"/>
  <c r="AB36" i="3" s="1"/>
  <c r="AB40" i="3"/>
  <c r="Z83" i="3" l="1"/>
  <c r="Z84" i="3"/>
  <c r="Z39" i="4" s="1"/>
  <c r="Z40" i="4" s="1"/>
  <c r="AD21" i="3"/>
  <c r="AE18" i="3" s="1"/>
  <c r="AE19" i="3" s="1"/>
  <c r="AA53" i="4"/>
  <c r="AA59" i="4" s="1"/>
  <c r="AA52" i="4"/>
  <c r="AA58" i="4" s="1"/>
  <c r="AA63" i="3"/>
  <c r="AB49" i="3"/>
  <c r="AB50" i="3" s="1"/>
  <c r="AA17" i="4"/>
  <c r="AA28" i="4"/>
  <c r="AC31" i="3"/>
  <c r="AB42" i="3"/>
  <c r="AB61" i="3" s="1"/>
  <c r="AB39" i="3"/>
  <c r="AB43" i="3" s="1"/>
  <c r="AB41" i="3"/>
  <c r="AC37" i="3" s="1"/>
  <c r="AC32" i="3" s="1"/>
  <c r="AC33" i="3" s="1"/>
  <c r="AD23" i="3" l="1"/>
  <c r="AD24" i="3" s="1"/>
  <c r="AE16" i="3" s="1"/>
  <c r="AA62" i="4"/>
  <c r="AA63" i="4"/>
  <c r="AA29" i="4"/>
  <c r="AA34" i="4"/>
  <c r="AA32" i="4"/>
  <c r="AA18" i="4"/>
  <c r="AA21" i="4"/>
  <c r="AA23" i="4"/>
  <c r="Z45" i="4"/>
  <c r="Z47" i="4" s="1"/>
  <c r="AC38" i="3"/>
  <c r="AB65" i="3"/>
  <c r="AB55" i="4"/>
  <c r="AB44" i="3"/>
  <c r="AB48" i="3" s="1"/>
  <c r="AB52" i="3" s="1"/>
  <c r="AB72" i="3"/>
  <c r="AC60" i="3"/>
  <c r="AA75" i="3"/>
  <c r="AA74" i="3"/>
  <c r="AD25" i="3" l="1"/>
  <c r="AD26" i="3" s="1"/>
  <c r="AD54" i="4"/>
  <c r="AE22" i="3"/>
  <c r="AE17" i="3"/>
  <c r="AE20" i="3" s="1"/>
  <c r="AE21" i="3" s="1"/>
  <c r="AC34" i="3"/>
  <c r="AC40" i="3" s="1"/>
  <c r="AB53" i="4"/>
  <c r="AB59" i="4" s="1"/>
  <c r="AB51" i="3"/>
  <c r="AA76" i="3"/>
  <c r="AA79" i="3" s="1"/>
  <c r="AA81" i="3" s="1"/>
  <c r="AA80" i="3"/>
  <c r="AD64" i="3" l="1"/>
  <c r="AF18" i="3"/>
  <c r="AF19" i="3" s="1"/>
  <c r="AE23" i="3"/>
  <c r="AE24" i="3" s="1"/>
  <c r="AF16" i="3" s="1"/>
  <c r="AC35" i="3"/>
  <c r="AC36" i="3" s="1"/>
  <c r="AB63" i="3"/>
  <c r="AB52" i="4"/>
  <c r="AB58" i="4" s="1"/>
  <c r="AC49" i="3"/>
  <c r="AC50" i="3" s="1"/>
  <c r="AB17" i="4"/>
  <c r="AB28" i="4"/>
  <c r="AA82" i="3"/>
  <c r="AB78" i="3"/>
  <c r="AD31" i="3"/>
  <c r="AC42" i="3"/>
  <c r="AA83" i="3" l="1"/>
  <c r="AA84" i="3"/>
  <c r="AA39" i="4" s="1"/>
  <c r="AA40" i="4" s="1"/>
  <c r="AE25" i="3"/>
  <c r="AE64" i="3" s="1"/>
  <c r="AF17" i="3"/>
  <c r="AF20" i="3" s="1"/>
  <c r="AF21" i="3" s="1"/>
  <c r="AF22" i="3"/>
  <c r="AB63" i="4"/>
  <c r="AB62" i="4"/>
  <c r="AB29" i="4"/>
  <c r="AB32" i="4"/>
  <c r="AB34" i="4"/>
  <c r="AC39" i="3"/>
  <c r="AC43" i="3" s="1"/>
  <c r="AC41" i="3"/>
  <c r="AD37" i="3" s="1"/>
  <c r="AD32" i="3" s="1"/>
  <c r="AD33" i="3" s="1"/>
  <c r="AB23" i="4"/>
  <c r="AB18" i="4"/>
  <c r="AB21" i="4"/>
  <c r="AC61" i="3"/>
  <c r="AB74" i="3"/>
  <c r="AB75" i="3"/>
  <c r="AE54" i="4" l="1"/>
  <c r="AE26" i="3"/>
  <c r="AG18" i="3"/>
  <c r="AG19" i="3" s="1"/>
  <c r="AF23" i="3"/>
  <c r="AF24" i="3" s="1"/>
  <c r="AG16" i="3" s="1"/>
  <c r="AD38" i="3"/>
  <c r="AD34" i="3"/>
  <c r="AA45" i="4"/>
  <c r="AA47" i="4" s="1"/>
  <c r="AC65" i="3"/>
  <c r="AC55" i="4"/>
  <c r="AC44" i="3"/>
  <c r="AC72" i="3"/>
  <c r="AD60" i="3"/>
  <c r="AB80" i="3"/>
  <c r="AB76" i="3"/>
  <c r="AB79" i="3" s="1"/>
  <c r="AB81" i="3" s="1"/>
  <c r="AF25" i="3" l="1"/>
  <c r="AF26" i="3" s="1"/>
  <c r="AG22" i="3"/>
  <c r="AG17" i="3"/>
  <c r="AG20" i="3" s="1"/>
  <c r="AG21" i="3" s="1"/>
  <c r="AH18" i="3" s="1"/>
  <c r="AH19" i="3" s="1"/>
  <c r="AB82" i="3"/>
  <c r="AC78" i="3"/>
  <c r="AD35" i="3"/>
  <c r="AD40" i="3"/>
  <c r="AC48" i="3"/>
  <c r="AB83" i="3" l="1"/>
  <c r="AB84" i="3"/>
  <c r="AB39" i="4" s="1"/>
  <c r="AB40" i="4" s="1"/>
  <c r="AF54" i="4"/>
  <c r="AF64" i="3"/>
  <c r="AG23" i="3"/>
  <c r="AG24" i="3" s="1"/>
  <c r="AH16" i="3" s="1"/>
  <c r="AH22" i="3" s="1"/>
  <c r="AE31" i="3"/>
  <c r="AD42" i="3"/>
  <c r="AD36" i="3"/>
  <c r="AC52" i="3"/>
  <c r="AC51" i="3"/>
  <c r="AG25" i="3" l="1"/>
  <c r="AG64" i="3" s="1"/>
  <c r="AH17" i="3"/>
  <c r="AH20" i="3" s="1"/>
  <c r="AH21" i="3" s="1"/>
  <c r="AI18" i="3" s="1"/>
  <c r="AI19" i="3" s="1"/>
  <c r="AC53" i="4"/>
  <c r="AC59" i="4" s="1"/>
  <c r="AD41" i="3"/>
  <c r="AE37" i="3" s="1"/>
  <c r="AE32" i="3" s="1"/>
  <c r="AE33" i="3" s="1"/>
  <c r="AD39" i="3"/>
  <c r="AD43" i="3" s="1"/>
  <c r="AD61" i="3"/>
  <c r="AC52" i="4"/>
  <c r="AC58" i="4" s="1"/>
  <c r="AC63" i="3"/>
  <c r="AD49" i="3"/>
  <c r="AD50" i="3" s="1"/>
  <c r="AC28" i="4"/>
  <c r="AC17" i="4"/>
  <c r="AB45" i="4"/>
  <c r="AB47" i="4" s="1"/>
  <c r="AH23" i="3" l="1"/>
  <c r="AH24" i="3" s="1"/>
  <c r="AI16" i="3" s="1"/>
  <c r="AI22" i="3" s="1"/>
  <c r="AG26" i="3"/>
  <c r="AG54" i="4"/>
  <c r="AC63" i="4"/>
  <c r="AC62" i="4"/>
  <c r="AC18" i="4"/>
  <c r="AC21" i="4"/>
  <c r="AC23" i="4"/>
  <c r="AD65" i="3"/>
  <c r="AD55" i="4"/>
  <c r="AD44" i="3"/>
  <c r="AC34" i="4"/>
  <c r="AC29" i="4"/>
  <c r="AC32" i="4"/>
  <c r="AE38" i="3"/>
  <c r="AE34" i="3"/>
  <c r="AD72" i="3"/>
  <c r="AE60" i="3"/>
  <c r="AI17" i="3"/>
  <c r="AI20" i="3" s="1"/>
  <c r="AI21" i="3" s="1"/>
  <c r="AJ18" i="3" s="1"/>
  <c r="AC75" i="3"/>
  <c r="AC74" i="3"/>
  <c r="AH25" i="3" l="1"/>
  <c r="AJ19" i="3"/>
  <c r="B19" i="3" s="1"/>
  <c r="B18" i="3"/>
  <c r="AI23" i="3"/>
  <c r="AI25" i="3" s="1"/>
  <c r="AE35" i="3"/>
  <c r="AE40" i="3"/>
  <c r="AD48" i="3"/>
  <c r="AC76" i="3"/>
  <c r="AC79" i="3" s="1"/>
  <c r="AC81" i="3" s="1"/>
  <c r="AC80" i="3"/>
  <c r="AH26" i="3" l="1"/>
  <c r="AH64" i="3"/>
  <c r="AH54" i="4"/>
  <c r="AI24" i="3"/>
  <c r="AJ16" i="3" s="1"/>
  <c r="B16" i="3" s="1"/>
  <c r="AC82" i="3"/>
  <c r="AD78" i="3"/>
  <c r="AJ17" i="3"/>
  <c r="AI26" i="3"/>
  <c r="AI54" i="4"/>
  <c r="AI64" i="3"/>
  <c r="AD51" i="3"/>
  <c r="AD52" i="3"/>
  <c r="AE42" i="3"/>
  <c r="AF31" i="3"/>
  <c r="AE36" i="3"/>
  <c r="AC83" i="3" l="1"/>
  <c r="AC84" i="3"/>
  <c r="AJ22" i="3"/>
  <c r="B22" i="3" s="1"/>
  <c r="AE61" i="3"/>
  <c r="AD53" i="4"/>
  <c r="AD59" i="4" s="1"/>
  <c r="AD63" i="3"/>
  <c r="AD52" i="4"/>
  <c r="AD58" i="4" s="1"/>
  <c r="AE49" i="3"/>
  <c r="AE50" i="3" s="1"/>
  <c r="AD28" i="4"/>
  <c r="AD17" i="4"/>
  <c r="AJ20" i="3"/>
  <c r="B17" i="3"/>
  <c r="AE41" i="3"/>
  <c r="AF37" i="3" s="1"/>
  <c r="AF32" i="3" s="1"/>
  <c r="AF33" i="3" s="1"/>
  <c r="AE39" i="3"/>
  <c r="AE43" i="3" s="1"/>
  <c r="AC39" i="4"/>
  <c r="AC40" i="4" s="1"/>
  <c r="AD63" i="4" l="1"/>
  <c r="AD62" i="4"/>
  <c r="AC45" i="4"/>
  <c r="AC47" i="4" s="1"/>
  <c r="AF38" i="3"/>
  <c r="AF34" i="3"/>
  <c r="AD18" i="4"/>
  <c r="AD21" i="4"/>
  <c r="AD23" i="4"/>
  <c r="AD75" i="3"/>
  <c r="AD74" i="3"/>
  <c r="AD29" i="4"/>
  <c r="AD32" i="4"/>
  <c r="AD34" i="4"/>
  <c r="AJ21" i="3"/>
  <c r="B20" i="3"/>
  <c r="AE65" i="3"/>
  <c r="AE55" i="4"/>
  <c r="AE44" i="3"/>
  <c r="AE72" i="3"/>
  <c r="AF60" i="3"/>
  <c r="B21" i="3" l="1"/>
  <c r="AJ23" i="3"/>
  <c r="AD80" i="3"/>
  <c r="AD76" i="3"/>
  <c r="AD79" i="3" s="1"/>
  <c r="AD81" i="3" s="1"/>
  <c r="AE48" i="3"/>
  <c r="AF40" i="3"/>
  <c r="AF35" i="3"/>
  <c r="AE51" i="3" l="1"/>
  <c r="AE52" i="3"/>
  <c r="AJ24" i="3"/>
  <c r="B24" i="3" s="1"/>
  <c r="B23" i="3"/>
  <c r="AD82" i="3"/>
  <c r="AE78" i="3"/>
  <c r="AJ25" i="3"/>
  <c r="AF36" i="3"/>
  <c r="AG31" i="3"/>
  <c r="AF42" i="3"/>
  <c r="AD83" i="3" l="1"/>
  <c r="AD84" i="3"/>
  <c r="AD39" i="4" s="1"/>
  <c r="AD40" i="4" s="1"/>
  <c r="AF61" i="3"/>
  <c r="AF41" i="3"/>
  <c r="AG37" i="3" s="1"/>
  <c r="AG32" i="3" s="1"/>
  <c r="AG33" i="3" s="1"/>
  <c r="AF39" i="3"/>
  <c r="AF43" i="3" s="1"/>
  <c r="AE53" i="4"/>
  <c r="AJ26" i="3"/>
  <c r="AJ54" i="4"/>
  <c r="B54" i="4" s="1"/>
  <c r="AJ64" i="3"/>
  <c r="B64" i="3" s="1"/>
  <c r="B25" i="3"/>
  <c r="AE63" i="3"/>
  <c r="AE52" i="4"/>
  <c r="AE58" i="4" s="1"/>
  <c r="AF49" i="3"/>
  <c r="AF50" i="3" s="1"/>
  <c r="AE17" i="4"/>
  <c r="AE28" i="4"/>
  <c r="AE63" i="4" l="1"/>
  <c r="AE62" i="4"/>
  <c r="AG38" i="3"/>
  <c r="AG34" i="3"/>
  <c r="AF72" i="3"/>
  <c r="AG60" i="3"/>
  <c r="AF55" i="4"/>
  <c r="AF65" i="3"/>
  <c r="AF44" i="3"/>
  <c r="AE29" i="4"/>
  <c r="AE32" i="4"/>
  <c r="AE34" i="4"/>
  <c r="B26" i="3"/>
  <c r="AE23" i="4"/>
  <c r="AE18" i="4"/>
  <c r="AE21" i="4"/>
  <c r="AE75" i="3"/>
  <c r="AE74" i="3"/>
  <c r="AE59" i="4"/>
  <c r="AD45" i="4"/>
  <c r="AD47" i="4" s="1"/>
  <c r="AF48" i="3" l="1"/>
  <c r="AG35" i="3"/>
  <c r="AG40" i="3"/>
  <c r="AE76" i="3"/>
  <c r="AE80" i="3"/>
  <c r="AE79" i="3" l="1"/>
  <c r="AF52" i="3"/>
  <c r="AF51" i="3"/>
  <c r="AG42" i="3"/>
  <c r="AH31" i="3"/>
  <c r="AG36" i="3"/>
  <c r="AF53" i="4" l="1"/>
  <c r="AG61" i="3"/>
  <c r="AF63" i="3"/>
  <c r="AF52" i="4"/>
  <c r="AF58" i="4" s="1"/>
  <c r="AG49" i="3"/>
  <c r="AG50" i="3" s="1"/>
  <c r="AF28" i="4"/>
  <c r="AF17" i="4"/>
  <c r="AG39" i="3"/>
  <c r="AG43" i="3" s="1"/>
  <c r="AG41" i="3"/>
  <c r="AH37" i="3" s="1"/>
  <c r="AH32" i="3" s="1"/>
  <c r="AH33" i="3" s="1"/>
  <c r="AE81" i="3"/>
  <c r="AF63" i="4" l="1"/>
  <c r="AF62" i="4"/>
  <c r="AF18" i="4"/>
  <c r="AF21" i="4"/>
  <c r="AF23" i="4"/>
  <c r="AF75" i="3"/>
  <c r="AF74" i="3"/>
  <c r="AH38" i="3"/>
  <c r="AH34" i="3"/>
  <c r="AG72" i="3"/>
  <c r="AH60" i="3"/>
  <c r="AG44" i="3"/>
  <c r="AG55" i="4"/>
  <c r="AG65" i="3"/>
  <c r="AF34" i="4"/>
  <c r="AF29" i="4"/>
  <c r="AF32" i="4"/>
  <c r="AE82" i="3"/>
  <c r="AE84" i="3" s="1"/>
  <c r="AF78" i="3"/>
  <c r="AF59" i="4"/>
  <c r="AG48" i="3" l="1"/>
  <c r="AF76" i="3"/>
  <c r="AF80" i="3"/>
  <c r="AE83" i="3"/>
  <c r="AH40" i="3"/>
  <c r="AH35" i="3"/>
  <c r="AH36" i="3" s="1"/>
  <c r="AH41" i="3" l="1"/>
  <c r="AI37" i="3" s="1"/>
  <c r="AI32" i="3" s="1"/>
  <c r="AI33" i="3" s="1"/>
  <c r="AH39" i="3"/>
  <c r="AH43" i="3" s="1"/>
  <c r="AH42" i="3"/>
  <c r="AH61" i="3" s="1"/>
  <c r="AI31" i="3"/>
  <c r="AF79" i="3"/>
  <c r="AG52" i="3"/>
  <c r="AG51" i="3"/>
  <c r="AH72" i="3" l="1"/>
  <c r="AI60" i="3"/>
  <c r="AI38" i="3"/>
  <c r="AF81" i="3"/>
  <c r="AI34" i="3"/>
  <c r="AH65" i="3"/>
  <c r="AH55" i="4"/>
  <c r="AH44" i="3"/>
  <c r="AH48" i="3" s="1"/>
  <c r="AG63" i="3"/>
  <c r="AG52" i="4"/>
  <c r="AG58" i="4" s="1"/>
  <c r="AH49" i="3"/>
  <c r="AH50" i="3" s="1"/>
  <c r="AG28" i="4"/>
  <c r="AG17" i="4"/>
  <c r="AG53" i="4"/>
  <c r="AE39" i="4"/>
  <c r="AE45" i="4" s="1"/>
  <c r="AG63" i="4" l="1"/>
  <c r="AG62" i="4"/>
  <c r="AI40" i="3"/>
  <c r="AI35" i="3"/>
  <c r="AI36" i="3" s="1"/>
  <c r="AG75" i="3"/>
  <c r="AG74" i="3"/>
  <c r="AG59" i="4"/>
  <c r="AG78" i="3"/>
  <c r="AF82" i="3"/>
  <c r="AF84" i="3" s="1"/>
  <c r="AG18" i="4"/>
  <c r="AG21" i="4"/>
  <c r="AG23" i="4"/>
  <c r="AG29" i="4"/>
  <c r="AG32" i="4"/>
  <c r="AG34" i="4"/>
  <c r="AE47" i="4"/>
  <c r="AH51" i="3"/>
  <c r="AH52" i="3"/>
  <c r="AE40" i="4"/>
  <c r="AH53" i="4" l="1"/>
  <c r="AG80" i="3"/>
  <c r="AG76" i="3"/>
  <c r="AF83" i="3"/>
  <c r="AH52" i="4"/>
  <c r="AH58" i="4" s="1"/>
  <c r="AH63" i="3"/>
  <c r="AI49" i="3"/>
  <c r="AI50" i="3" s="1"/>
  <c r="AH28" i="4"/>
  <c r="AH17" i="4"/>
  <c r="AH23" i="4" s="1"/>
  <c r="AI41" i="3"/>
  <c r="AJ37" i="3" s="1"/>
  <c r="AJ32" i="3" s="1"/>
  <c r="AJ33" i="3" s="1"/>
  <c r="AI39" i="3"/>
  <c r="AI43" i="3" s="1"/>
  <c r="AJ31" i="3"/>
  <c r="AI42" i="3"/>
  <c r="AI61" i="3" s="1"/>
  <c r="AH62" i="4" l="1"/>
  <c r="AH63" i="4"/>
  <c r="AI55" i="4"/>
  <c r="AI65" i="3"/>
  <c r="AI44" i="3"/>
  <c r="AI48" i="3" s="1"/>
  <c r="AI52" i="3" s="1"/>
  <c r="AJ38" i="3"/>
  <c r="B32" i="3"/>
  <c r="AH74" i="3"/>
  <c r="AH75" i="3"/>
  <c r="AI72" i="3"/>
  <c r="AJ60" i="3"/>
  <c r="B33" i="3"/>
  <c r="B31" i="3"/>
  <c r="AH18" i="4"/>
  <c r="AH21" i="4"/>
  <c r="AH59" i="4"/>
  <c r="AG79" i="3"/>
  <c r="AH34" i="4"/>
  <c r="AH29" i="4"/>
  <c r="AH32" i="4"/>
  <c r="AI53" i="4" l="1"/>
  <c r="AF39" i="4"/>
  <c r="AJ34" i="3"/>
  <c r="AH76" i="3"/>
  <c r="AH80" i="3"/>
  <c r="AI51" i="3"/>
  <c r="AG81" i="3"/>
  <c r="B34" i="3" l="1"/>
  <c r="AJ35" i="3"/>
  <c r="AJ40" i="3"/>
  <c r="AH78" i="3"/>
  <c r="AH79" i="3" s="1"/>
  <c r="AG82" i="3"/>
  <c r="AG84" i="3" s="1"/>
  <c r="AI63" i="3"/>
  <c r="AI52" i="4"/>
  <c r="AJ49" i="3"/>
  <c r="AJ50" i="3" s="1"/>
  <c r="AI17" i="4"/>
  <c r="AI28" i="4"/>
  <c r="AF40" i="4"/>
  <c r="AF45" i="4"/>
  <c r="AI59" i="4"/>
  <c r="AH81" i="3" l="1"/>
  <c r="AF47" i="4"/>
  <c r="AI75" i="3"/>
  <c r="AI74" i="3"/>
  <c r="AG83" i="3"/>
  <c r="AI23" i="4"/>
  <c r="AI18" i="4"/>
  <c r="AI21" i="4"/>
  <c r="AJ42" i="3"/>
  <c r="B40" i="3"/>
  <c r="AJ36" i="3"/>
  <c r="B35" i="3"/>
  <c r="AI29" i="4"/>
  <c r="AI32" i="4"/>
  <c r="AI34" i="4"/>
  <c r="AI76" i="3" l="1"/>
  <c r="AI80" i="3"/>
  <c r="AJ39" i="3"/>
  <c r="AJ41" i="3"/>
  <c r="B36" i="3"/>
  <c r="AJ61" i="3"/>
  <c r="B42" i="3"/>
  <c r="AI78" i="3"/>
  <c r="AH82" i="3"/>
  <c r="AH84" i="3" s="1"/>
  <c r="AH83" i="3" l="1"/>
  <c r="AG39" i="4"/>
  <c r="B39" i="3"/>
  <c r="AJ43" i="3"/>
  <c r="AJ72" i="3"/>
  <c r="B72" i="3" s="1"/>
  <c r="B61" i="3"/>
  <c r="AI79" i="3"/>
  <c r="AJ55" i="4" l="1"/>
  <c r="B55" i="4" s="1"/>
  <c r="AJ65" i="3"/>
  <c r="B65" i="3" s="1"/>
  <c r="AJ44" i="3"/>
  <c r="B43" i="3"/>
  <c r="AG40" i="4"/>
  <c r="AG45" i="4"/>
  <c r="AI81" i="3"/>
  <c r="AH39" i="4" l="1"/>
  <c r="AJ48" i="3"/>
  <c r="B44" i="3"/>
  <c r="AJ78" i="3"/>
  <c r="B78" i="3" s="1"/>
  <c r="AI82" i="3"/>
  <c r="AI84" i="3" s="1"/>
  <c r="AG47" i="4"/>
  <c r="B48" i="3" l="1"/>
  <c r="AJ52" i="3"/>
  <c r="AJ51" i="3"/>
  <c r="AH40" i="4"/>
  <c r="AI83" i="3"/>
  <c r="AH45" i="4"/>
  <c r="AJ52" i="4" l="1"/>
  <c r="AJ63" i="3"/>
  <c r="B51" i="3"/>
  <c r="AJ28" i="4"/>
  <c r="AJ17" i="4"/>
  <c r="AJ53" i="4"/>
  <c r="B52" i="3"/>
  <c r="AH47" i="4"/>
  <c r="AJ18" i="4" l="1"/>
  <c r="B20" i="4"/>
  <c r="D6" i="5" s="1"/>
  <c r="B17" i="4"/>
  <c r="D4" i="5" s="1"/>
  <c r="B19" i="4"/>
  <c r="D5" i="5" s="1"/>
  <c r="AJ21" i="4"/>
  <c r="B21" i="4" s="1"/>
  <c r="AJ23" i="4"/>
  <c r="B23" i="4" s="1"/>
  <c r="D8" i="5" s="1"/>
  <c r="D29" i="5" s="1"/>
  <c r="AJ74" i="3"/>
  <c r="AJ75" i="3"/>
  <c r="B75" i="3" s="1"/>
  <c r="B63" i="3"/>
  <c r="AJ59" i="4"/>
  <c r="B53" i="4"/>
  <c r="B59" i="4" s="1"/>
  <c r="AJ34" i="4"/>
  <c r="B34" i="4" s="1"/>
  <c r="E8" i="5" s="1"/>
  <c r="AJ29" i="4"/>
  <c r="B31" i="4"/>
  <c r="E6" i="5" s="1"/>
  <c r="B30" i="4"/>
  <c r="E5" i="5" s="1"/>
  <c r="AJ32" i="4"/>
  <c r="B32" i="4" s="1"/>
  <c r="B28" i="4"/>
  <c r="E4" i="5" s="1"/>
  <c r="AI39" i="4"/>
  <c r="B52" i="4"/>
  <c r="B58" i="4" s="1"/>
  <c r="AJ80" i="3" l="1"/>
  <c r="AJ76" i="3"/>
  <c r="B74" i="3"/>
  <c r="B29" i="4"/>
  <c r="B35" i="4"/>
  <c r="B33" i="4"/>
  <c r="E7" i="5" s="1"/>
  <c r="D26" i="5"/>
  <c r="G54" i="5" s="1"/>
  <c r="D14" i="1"/>
  <c r="AI40" i="4"/>
  <c r="D25" i="5"/>
  <c r="G53" i="5" s="1"/>
  <c r="D13" i="1"/>
  <c r="D27" i="5"/>
  <c r="G55" i="5" s="1"/>
  <c r="D15" i="1"/>
  <c r="AI45" i="4"/>
  <c r="B18" i="4"/>
  <c r="B22" i="4"/>
  <c r="D7" i="5" s="1"/>
  <c r="B24" i="4"/>
  <c r="AI47" i="4" l="1"/>
  <c r="AJ79" i="3"/>
  <c r="B76" i="3"/>
  <c r="D16" i="1"/>
  <c r="D28" i="5"/>
  <c r="G56" i="5" s="1"/>
  <c r="AJ81" i="3" l="1"/>
  <c r="B79" i="3"/>
  <c r="AJ82" i="3" l="1"/>
  <c r="AJ84" i="3" s="1"/>
  <c r="B81" i="3"/>
  <c r="AJ83" i="3" l="1"/>
  <c r="B82" i="3"/>
  <c r="B83" i="3" l="1"/>
  <c r="AJ39" i="4" l="1"/>
  <c r="B84" i="3"/>
  <c r="AJ40" i="4" l="1"/>
  <c r="B40" i="4" s="1"/>
  <c r="B39" i="4"/>
  <c r="F4" i="5" s="1"/>
  <c r="B41" i="4"/>
  <c r="F5" i="5" s="1"/>
  <c r="AJ45" i="4"/>
  <c r="AJ47" i="4" l="1"/>
  <c r="B47" i="4" s="1"/>
  <c r="B45" i="4"/>
  <c r="G4" i="5" s="1"/>
  <c r="B48" i="4"/>
  <c r="G5" i="5" s="1"/>
  <c r="G59" i="5"/>
  <c r="E26" i="5"/>
  <c r="C28" i="1" s="1"/>
  <c r="G58" i="5"/>
  <c r="E25" i="5"/>
</calcChain>
</file>

<file path=xl/sharedStrings.xml><?xml version="1.0" encoding="utf-8"?>
<sst xmlns="http://schemas.openxmlformats.org/spreadsheetml/2006/main" count="710" uniqueCount="273">
  <si>
    <t>mm$mod</t>
  </si>
  <si>
    <t>mm$real</t>
  </si>
  <si>
    <t>Total Production</t>
  </si>
  <si>
    <t>Total</t>
  </si>
  <si>
    <t>Unit</t>
  </si>
  <si>
    <t>Crude Oil Production</t>
  </si>
  <si>
    <t>mmbbl</t>
  </si>
  <si>
    <t>Associated Gas Production</t>
  </si>
  <si>
    <t>bcm</t>
  </si>
  <si>
    <t>Condensate Production</t>
  </si>
  <si>
    <t>Non-Associated Gas Production</t>
  </si>
  <si>
    <t xml:space="preserve">Total Recoverable Hydrocarbons </t>
  </si>
  <si>
    <t>mmboe</t>
  </si>
  <si>
    <t>Total Gas Production</t>
  </si>
  <si>
    <t>Total Oil and Condensate Production</t>
  </si>
  <si>
    <t>Oil Production (daily)</t>
  </si>
  <si>
    <t>mbd</t>
  </si>
  <si>
    <t>Associated Gas Production (daily)</t>
  </si>
  <si>
    <t>mmcmd</t>
  </si>
  <si>
    <t>mmscfd</t>
  </si>
  <si>
    <t>Condensate in Non-Associated Gas Production (daily)</t>
  </si>
  <si>
    <t>Non-Associated Gas Production (daily)</t>
  </si>
  <si>
    <t>Jacket</t>
  </si>
  <si>
    <t>Topsides</t>
  </si>
  <si>
    <t>Pipeline and Subsea Crossings</t>
  </si>
  <si>
    <t>Brown Fields and Tie-in Modifications</t>
  </si>
  <si>
    <t>Environmental</t>
  </si>
  <si>
    <t>Rig and Equipment</t>
  </si>
  <si>
    <t>Development Wells (Drilling) and Studies</t>
  </si>
  <si>
    <t>Appraisal Well Drilling</t>
  </si>
  <si>
    <t>SPS (for EG)</t>
  </si>
  <si>
    <t>Flowlines (for EG)</t>
  </si>
  <si>
    <t>Umbilicals (for EG)</t>
  </si>
  <si>
    <t>Owner's Cost</t>
  </si>
  <si>
    <t>Contingency</t>
  </si>
  <si>
    <t>Production Scenario 1</t>
  </si>
  <si>
    <t>Units</t>
  </si>
  <si>
    <t>Production Scenario 2</t>
  </si>
  <si>
    <t>Production Scenario 3</t>
  </si>
  <si>
    <t>Umbilical (for EG)</t>
  </si>
  <si>
    <t>Other</t>
  </si>
  <si>
    <t>SPS, GE, 2 SSW</t>
  </si>
  <si>
    <t>Explanation</t>
  </si>
  <si>
    <t>Scenario</t>
  </si>
  <si>
    <t>Production Sc.</t>
  </si>
  <si>
    <t>CAPEX Sc.</t>
  </si>
  <si>
    <t>Keeper + 1 SSW (Ref. Case)</t>
  </si>
  <si>
    <t>A</t>
  </si>
  <si>
    <t>Keeper + 1 Platform Well (via KPDQ)</t>
  </si>
  <si>
    <t>B</t>
  </si>
  <si>
    <t>Keeper + 1 Platform Well (Directly to Host)</t>
  </si>
  <si>
    <t>C</t>
  </si>
  <si>
    <t>Production Scenarios</t>
  </si>
  <si>
    <t>Production Scenario</t>
  </si>
  <si>
    <t>CAPEX Scenario</t>
  </si>
  <si>
    <t>Base Year for Discounting</t>
  </si>
  <si>
    <t>Discount Rate</t>
  </si>
  <si>
    <t>Crude Oil Price, $/bbl</t>
  </si>
  <si>
    <t>mod</t>
  </si>
  <si>
    <t>Crude Oil Transportation Tariff, $/bbl</t>
  </si>
  <si>
    <t>Gas Price, $/mcm</t>
  </si>
  <si>
    <t>Economic Limit Applied?</t>
  </si>
  <si>
    <t>YES</t>
  </si>
  <si>
    <t>Production Cost per Produced bbl, $/bbl</t>
  </si>
  <si>
    <t>Production Cost per Produced boe, $/boe</t>
  </si>
  <si>
    <t>real</t>
  </si>
  <si>
    <t>CAPEX Scenarios</t>
  </si>
  <si>
    <t xml:space="preserve">CAPEX Scenario A </t>
  </si>
  <si>
    <t xml:space="preserve">CAPEX Scenario B </t>
  </si>
  <si>
    <t xml:space="preserve">CAPEX Scenario C </t>
  </si>
  <si>
    <t>Total OPEX</t>
  </si>
  <si>
    <t>Administrative &amp; Overhead Costs</t>
  </si>
  <si>
    <t>Production Operating Costs</t>
  </si>
  <si>
    <t>Wellwork Costs</t>
  </si>
  <si>
    <t>Abandonment Fund (EL Applied)</t>
  </si>
  <si>
    <t>index</t>
  </si>
  <si>
    <t>Statoil WACC Indices</t>
  </si>
  <si>
    <t>SOCAR WACC Indices</t>
  </si>
  <si>
    <t>SOFAZ WACC Indices</t>
  </si>
  <si>
    <t>Project WACC Indices</t>
  </si>
  <si>
    <t>Crude Oil Price</t>
  </si>
  <si>
    <t>Gas Price</t>
  </si>
  <si>
    <t>Crude Oil Export Route Tariff</t>
  </si>
  <si>
    <t>Gas Local Route Tariff</t>
  </si>
  <si>
    <t>mod$bbl</t>
  </si>
  <si>
    <t>mod$mcm</t>
  </si>
  <si>
    <t>Rate/Indice/Price/Tariff</t>
  </si>
  <si>
    <t>Abandonment Fund</t>
  </si>
  <si>
    <t>Production OPEX</t>
  </si>
  <si>
    <t>Administrative and Overhead</t>
  </si>
  <si>
    <t>Wellwork</t>
  </si>
  <si>
    <t>Total Incurred OPEX</t>
  </si>
  <si>
    <t>Unrecovered OPEX b/fwd from Previous Year</t>
  </si>
  <si>
    <t>Interest on Unrecovered OPEX</t>
  </si>
  <si>
    <t>Unrecovered Interest b/fwd from Previous Year</t>
  </si>
  <si>
    <t>Interest on Unrecovered Interest</t>
  </si>
  <si>
    <t>Interest Available for Recovery</t>
  </si>
  <si>
    <t>Interest Recovery Taken</t>
  </si>
  <si>
    <t>OPEX Available for Recovery</t>
  </si>
  <si>
    <t>OPEX Recovery Taken</t>
  </si>
  <si>
    <t>Unrecovered OPEX Carried Forward to Next Year</t>
  </si>
  <si>
    <t>Total OPEX Recovery Taken + Interest Recovery Taken</t>
  </si>
  <si>
    <t>Cash Available for CAPEX Recovery</t>
  </si>
  <si>
    <t>Total Incurred CAPEX</t>
  </si>
  <si>
    <t>Unrecovered Interest Brought Forward from Previous Year</t>
  </si>
  <si>
    <t>Interest on Unrecovered Capital</t>
  </si>
  <si>
    <t>Cashflow Available for CAPEX Recovery (after Interest)</t>
  </si>
  <si>
    <t>Unrecovered CAPEX Brought Forward from Previous Year</t>
  </si>
  <si>
    <t>CAPEX Available for Recovery</t>
  </si>
  <si>
    <t>CAPEX Recovery Taken</t>
  </si>
  <si>
    <t>Unrecovered Interest Carried Forward to Next Year</t>
  </si>
  <si>
    <t>Unrecovered CAPEX Carried Forward to Next Year</t>
  </si>
  <si>
    <t>CAPEX Recovery Flag (ZBD Date Year)</t>
  </si>
  <si>
    <t>year</t>
  </si>
  <si>
    <t>Total CAPEX Recovery Taken + Interest Recovery Taken</t>
  </si>
  <si>
    <t>Cash Available after CAPEX Recovery</t>
  </si>
  <si>
    <t>Oil Price Inflation Rate</t>
  </si>
  <si>
    <t>Gas Price Inflation Rate</t>
  </si>
  <si>
    <t>Oil Inflation Indices</t>
  </si>
  <si>
    <t>Gas Inflation Indices</t>
  </si>
  <si>
    <t>Weighted Average Cost of Capital</t>
  </si>
  <si>
    <t>Gross RSA Discount Rate</t>
  </si>
  <si>
    <t>SOCAR Discount Rate</t>
  </si>
  <si>
    <t>SOFAZ Discount Rate</t>
  </si>
  <si>
    <t>RSA Inputs</t>
  </si>
  <si>
    <t>Working Interests</t>
  </si>
  <si>
    <t xml:space="preserve">SOCAR Karabakh Share </t>
  </si>
  <si>
    <t>Cost Recovery (Stop) Mechanism</t>
  </si>
  <si>
    <t>Recovered Share of Operating Costs</t>
  </si>
  <si>
    <t>Part of Revenue after OPEX Used to Recover CAPEX</t>
  </si>
  <si>
    <t xml:space="preserve">Abandonment Fund Starts When Reserves Recovery Rate Reaches </t>
  </si>
  <si>
    <t>Abandonment Fund as of Total CAPEX</t>
  </si>
  <si>
    <t>Legal Limit RSA</t>
  </si>
  <si>
    <t>Cost Recovery Uplift</t>
  </si>
  <si>
    <t>Finance Costs to Apply?</t>
  </si>
  <si>
    <t>Drilling Tangibles - Total Drilling Costs</t>
  </si>
  <si>
    <t>Taxable Profit Gross-up Rate</t>
  </si>
  <si>
    <t>3 Months LIBOR average</t>
  </si>
  <si>
    <t>Hydrocarbon Revenue</t>
  </si>
  <si>
    <t>Cash available for Opex Recovery</t>
  </si>
  <si>
    <t>OPEX Recovery Part</t>
  </si>
  <si>
    <t>CAPEX Recovery Part</t>
  </si>
  <si>
    <t>Profit Petroleum</t>
  </si>
  <si>
    <t>Total Profit Oil</t>
  </si>
  <si>
    <t>R-Factor</t>
  </si>
  <si>
    <t>Contractor's Share in Percentage</t>
  </si>
  <si>
    <t>%</t>
  </si>
  <si>
    <t>Contractor's Profit Oil</t>
  </si>
  <si>
    <t>SOFAZ Profit Oil</t>
  </si>
  <si>
    <t>State Tax</t>
  </si>
  <si>
    <t>Non-Drilling Dev CAPEX</t>
  </si>
  <si>
    <t>Drilling Tangibles (5% of Drilling Costs)</t>
  </si>
  <si>
    <t>CAPEX for Capital Allowances</t>
  </si>
  <si>
    <t>Total Capital Allowances</t>
  </si>
  <si>
    <t>Undepreciated Balance Beginning of Year</t>
  </si>
  <si>
    <t>Capital Allowance (Adjusted for Zero Balance)</t>
  </si>
  <si>
    <t>Profit Share</t>
  </si>
  <si>
    <t>OPEX + Interest Recovered</t>
  </si>
  <si>
    <t>CAPEX + Interest Recovered</t>
  </si>
  <si>
    <t>Administratie &amp; Overhead</t>
  </si>
  <si>
    <t>Bonuses - Signature, Reserves, Production (N/A)</t>
  </si>
  <si>
    <t>Drilling Intangibles 95% of Drilling Costs</t>
  </si>
  <si>
    <t xml:space="preserve">Capital Allowances </t>
  </si>
  <si>
    <t xml:space="preserve">Period Counter </t>
  </si>
  <si>
    <t>Tax Losses in Year</t>
  </si>
  <si>
    <t>Taxable Profits in Year</t>
  </si>
  <si>
    <t>Taxable Profits &amp; Losses in Year</t>
  </si>
  <si>
    <t>Cumulative Losses from Previous Period</t>
  </si>
  <si>
    <t>Balance for Period</t>
  </si>
  <si>
    <t xml:space="preserve">Offset Value for Losses </t>
  </si>
  <si>
    <t>Taxable Profit before Gross-Up</t>
  </si>
  <si>
    <t>Taxable Profit after Gross-Up</t>
  </si>
  <si>
    <t>Gross-Up Revenue</t>
  </si>
  <si>
    <t>Total Azerbaijan Tax Paid (by SOFAZ)</t>
  </si>
  <si>
    <t>Gross RSA Cashflow</t>
  </si>
  <si>
    <t>Cash-Flow</t>
  </si>
  <si>
    <t>Cumulative Cash-Flow</t>
  </si>
  <si>
    <t>NPV</t>
  </si>
  <si>
    <t>Internal Rate of Return</t>
  </si>
  <si>
    <t>Cumulative Internal Rate of Return</t>
  </si>
  <si>
    <t>Non-Discounted Pay-Back Period Year</t>
  </si>
  <si>
    <t>Discounted Pay-Back Period Year</t>
  </si>
  <si>
    <t>Maximum Cash Outlay</t>
  </si>
  <si>
    <t>Economic Limit Year</t>
  </si>
  <si>
    <t>SOCAR Karabakh Cash-Flow</t>
  </si>
  <si>
    <t>Contractor Party 2 Cash-Flow</t>
  </si>
  <si>
    <t>SOFAZ Cash-Flow</t>
  </si>
  <si>
    <t>STATE Cash-Flow</t>
  </si>
  <si>
    <t>Karabagh Field RSA Barrel Split</t>
  </si>
  <si>
    <t>State Profit Oil</t>
  </si>
  <si>
    <t>OPEX (with Accrued Interests) Recovered</t>
  </si>
  <si>
    <t>CAPEX (with Accrued Interests) Recovered</t>
  </si>
  <si>
    <t>Total CAPEX</t>
  </si>
  <si>
    <t>Cumulative Production Percentile</t>
  </si>
  <si>
    <t>Abandonment Fund Flag</t>
  </si>
  <si>
    <t>flag</t>
  </si>
  <si>
    <t>Production after Flag Raised</t>
  </si>
  <si>
    <t>boe</t>
  </si>
  <si>
    <t>Phasing for Abandonment Fund Payments</t>
  </si>
  <si>
    <t>Cumulative CAPEX Spent</t>
  </si>
  <si>
    <t>Economic Limit Flag</t>
  </si>
  <si>
    <t>Cash-Flow EL Applied</t>
  </si>
  <si>
    <t>Discounted Cash-Flow</t>
  </si>
  <si>
    <t>Cumulative Discounted Cash-Flow</t>
  </si>
  <si>
    <t>Cumulative IRR</t>
  </si>
  <si>
    <t>Other Inputs</t>
  </si>
  <si>
    <t>Crude oil revenue</t>
  </si>
  <si>
    <t>Gas revenue</t>
  </si>
  <si>
    <t>Appraisal &amp; Environmental</t>
  </si>
  <si>
    <t>Revenue</t>
  </si>
  <si>
    <t>RSA Project</t>
  </si>
  <si>
    <t>State/SOFAZ incl. AG</t>
  </si>
  <si>
    <t>CAPEX, MM USD</t>
  </si>
  <si>
    <t>NPV10, MM USD</t>
  </si>
  <si>
    <t>IRR, %</t>
  </si>
  <si>
    <t>Non-Discounted Payback Period</t>
  </si>
  <si>
    <t>Discounted Payback Period</t>
  </si>
  <si>
    <t>N/A</t>
  </si>
  <si>
    <t>Result</t>
  </si>
  <si>
    <t>NO</t>
  </si>
  <si>
    <t>SOCAR Karabakh</t>
  </si>
  <si>
    <t>Oil Production</t>
  </si>
  <si>
    <t>OPEX</t>
  </si>
  <si>
    <t>CAPEX</t>
  </si>
  <si>
    <t>Sensitivity Factors</t>
  </si>
  <si>
    <t>All Kind of Bonus Payments</t>
  </si>
  <si>
    <t>Equinor Discount Rate</t>
  </si>
  <si>
    <t>AG Cash-Flow</t>
  </si>
  <si>
    <t xml:space="preserve">Basic Global Inputs </t>
  </si>
  <si>
    <t xml:space="preserve"> </t>
  </si>
  <si>
    <t>Cash Flow, MM USD</t>
  </si>
  <si>
    <t>Project FID Date (Capex sunction)</t>
  </si>
  <si>
    <t>Contractor Party 2</t>
  </si>
  <si>
    <t>Total Contractor</t>
  </si>
  <si>
    <t xml:space="preserve">Gas Transportation Tariff, $/mcm </t>
  </si>
  <si>
    <t>Offshore, Pipeline &amp; Mods</t>
  </si>
  <si>
    <t>Contingency &amp; Other</t>
  </si>
  <si>
    <t>CAPEX, $mm mod</t>
  </si>
  <si>
    <t>Cost Inflation rate</t>
  </si>
  <si>
    <t>Production Opex, mod</t>
  </si>
  <si>
    <t>tr</t>
  </si>
  <si>
    <t>Production Opex no gas</t>
  </si>
  <si>
    <t>Gapex differencial in no gas case</t>
  </si>
  <si>
    <t>yes</t>
  </si>
  <si>
    <t>Adjustment due to Gas</t>
  </si>
  <si>
    <t>Gas Price escalation rate</t>
  </si>
  <si>
    <t>Oil Price escalation rate</t>
  </si>
  <si>
    <t>Contingent capex included</t>
  </si>
  <si>
    <t>PK Gas included</t>
  </si>
  <si>
    <t>Drilling</t>
  </si>
  <si>
    <t>Cost Inflation Rate</t>
  </si>
  <si>
    <t>Total Gas</t>
  </si>
  <si>
    <t>Base Year for Gas escalation</t>
  </si>
  <si>
    <t>Base Year for Cost Inflation &amp; Oil Price esc.</t>
  </si>
  <si>
    <t>IRR</t>
  </si>
  <si>
    <t>PB</t>
  </si>
  <si>
    <t>First Oil 2029</t>
  </si>
  <si>
    <t>First Oil 2033</t>
  </si>
  <si>
    <t>Capex</t>
  </si>
  <si>
    <t>Cash Flow</t>
  </si>
  <si>
    <t>for Payback</t>
  </si>
  <si>
    <t>Contractor (100%) Oil + AG</t>
  </si>
  <si>
    <t>Contractor (100%) Oil + AG + NAG</t>
  </si>
  <si>
    <t>State Share CF</t>
  </si>
  <si>
    <t>State Share CF NPV</t>
  </si>
  <si>
    <t>First Oil 2030</t>
  </si>
  <si>
    <t>State Share</t>
  </si>
  <si>
    <t>State EF</t>
  </si>
  <si>
    <t>Contractor EF</t>
  </si>
  <si>
    <t>Contractor entitlement</t>
  </si>
  <si>
    <t>Crude oil</t>
  </si>
  <si>
    <t>Gas</t>
  </si>
  <si>
    <t>Other Contractor's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</si>
</sst>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"/>
    <numFmt numFmtId="165" formatCode="#,##0.0"/>
    <numFmt numFmtId="166" formatCode="0.000"/>
    <numFmt numFmtId="167" formatCode="0.0"/>
    <numFmt numFmtId="168" formatCode="0.0%"/>
    <numFmt numFmtId="169" formatCode="0_);[Red]\(0\)"/>
    <numFmt numFmtId="170" formatCode="_(* #,##0_);_(* \(#,##0\);_(* &quot;-&quot;??_);_(@_)"/>
    <numFmt numFmtId="171" formatCode="_(&quot;$&quot;* #,##0_);_(&quot;$&quot;* \(#,##0\);_(&quot;$&quot;* &quot;-&quot;??_);_(@_)"/>
    <numFmt numFmtId="172" formatCode="_(* #,##0.0_);_(* \(#,##0.0\);_(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mbria"/>
      <family val="1"/>
    </font>
    <font>
      <sz val="11"/>
      <name val="Cambria"/>
      <family val="1"/>
    </font>
    <font>
      <b/>
      <sz val="1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rgb="FFFF0000"/>
      <name val="Cambria"/>
      <family val="1"/>
    </font>
    <font>
      <b/>
      <sz val="11"/>
      <color rgb="FFFF0000"/>
      <name val="Cambria"/>
      <family val="1"/>
    </font>
    <font>
      <b/>
      <sz val="11"/>
      <color theme="0"/>
      <name val="Cambria"/>
      <family val="1"/>
    </font>
    <font>
      <sz val="14"/>
      <color theme="4"/>
      <name val="Cambria"/>
      <family val="1"/>
    </font>
    <font>
      <sz val="11"/>
      <color theme="0"/>
      <name val="Cambria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mbria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7" tint="0.39997558519241921"/>
      <name val="Calibri"/>
      <family val="2"/>
      <scheme val="minor"/>
    </font>
    <font>
      <b/>
      <sz val="16"/>
      <color theme="7" tint="0.3999755851924192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name val="Cambria"/>
      <family val="1"/>
    </font>
    <font>
      <i/>
      <sz val="11"/>
      <color theme="1"/>
      <name val="Cambria"/>
      <family val="1"/>
    </font>
    <font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6"/>
      <color theme="7" tint="0.3999755851924192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8" tint="-0.249977111117893"/>
      <name val="Cambria"/>
      <family val="1"/>
    </font>
    <font>
      <b/>
      <sz val="12"/>
      <color theme="8" tint="-0.249977111117893"/>
      <name val="Cambria"/>
      <family val="1"/>
    </font>
    <font>
      <sz val="8"/>
      <name val="Calibri"/>
      <family val="2"/>
      <scheme val="minor"/>
    </font>
    <font>
      <sz val="11"/>
      <color rgb="FF1D4E8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1D4E89"/>
        <bgColor indexed="64"/>
      </patternFill>
    </fill>
    <fill>
      <patternFill patternType="solid">
        <fgColor rgb="FFF692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6">
    <xf numFmtId="0" fontId="0" fillId="0" borderId="0" xfId="0"/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8" fontId="0" fillId="0" borderId="0" xfId="2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3" fillId="0" borderId="0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6" fillId="0" borderId="0" xfId="2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0" fontId="17" fillId="0" borderId="0" xfId="2" applyNumberFormat="1" applyFont="1" applyFill="1" applyBorder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38" fontId="17" fillId="0" borderId="0" xfId="0" applyNumberFormat="1" applyFont="1" applyAlignment="1">
      <alignment horizontal="center" vertical="center"/>
    </xf>
    <xf numFmtId="3" fontId="24" fillId="0" borderId="0" xfId="0" applyNumberFormat="1" applyFont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169" fontId="17" fillId="0" borderId="0" xfId="0" applyNumberFormat="1" applyFont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43" fontId="30" fillId="0" borderId="0" xfId="1" applyFont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12" fillId="4" borderId="0" xfId="1" quotePrefix="1" applyFont="1" applyFill="1" applyAlignment="1">
      <alignment horizontal="center" vertical="center"/>
    </xf>
    <xf numFmtId="43" fontId="0" fillId="0" borderId="0" xfId="1" quotePrefix="1" applyFont="1" applyAlignment="1">
      <alignment horizontal="center" vertical="center"/>
    </xf>
    <xf numFmtId="43" fontId="5" fillId="0" borderId="0" xfId="1" applyFont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43" fontId="12" fillId="0" borderId="0" xfId="1" applyFont="1" applyAlignment="1">
      <alignment horizontal="center" vertical="center"/>
    </xf>
    <xf numFmtId="43" fontId="18" fillId="0" borderId="0" xfId="1" applyFont="1" applyAlignment="1">
      <alignment horizontal="center" vertical="center"/>
    </xf>
    <xf numFmtId="43" fontId="17" fillId="0" borderId="0" xfId="1" applyFont="1" applyAlignment="1">
      <alignment horizontal="center" vertical="center"/>
    </xf>
    <xf numFmtId="170" fontId="18" fillId="0" borderId="0" xfId="1" applyNumberFormat="1" applyFont="1" applyAlignment="1">
      <alignment horizontal="center" vertical="center"/>
    </xf>
    <xf numFmtId="170" fontId="17" fillId="0" borderId="0" xfId="1" applyNumberFormat="1" applyFont="1" applyAlignment="1">
      <alignment horizontal="center" vertical="center"/>
    </xf>
    <xf numFmtId="170" fontId="22" fillId="0" borderId="0" xfId="1" applyNumberFormat="1" applyFont="1" applyAlignment="1">
      <alignment horizontal="center" vertical="center"/>
    </xf>
    <xf numFmtId="43" fontId="23" fillId="0" borderId="0" xfId="1" applyFont="1" applyFill="1" applyAlignment="1">
      <alignment horizontal="center" vertical="center"/>
    </xf>
    <xf numFmtId="43" fontId="18" fillId="0" borderId="0" xfId="1" quotePrefix="1" applyFont="1" applyAlignment="1">
      <alignment horizontal="center" vertical="center"/>
    </xf>
    <xf numFmtId="43" fontId="18" fillId="0" borderId="0" xfId="1" applyFont="1" applyFill="1" applyAlignment="1">
      <alignment horizontal="center" vertical="center"/>
    </xf>
    <xf numFmtId="43" fontId="18" fillId="0" borderId="0" xfId="1" applyFont="1" applyBorder="1" applyAlignment="1">
      <alignment horizontal="center" vertical="center"/>
    </xf>
    <xf numFmtId="8" fontId="25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8" fontId="32" fillId="0" borderId="0" xfId="0" applyNumberFormat="1" applyFont="1" applyAlignment="1">
      <alignment horizontal="center" vertical="center"/>
    </xf>
    <xf numFmtId="6" fontId="32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43" fontId="0" fillId="0" borderId="0" xfId="1" applyFont="1"/>
    <xf numFmtId="10" fontId="17" fillId="0" borderId="0" xfId="2" applyNumberFormat="1" applyFont="1" applyAlignment="1">
      <alignment horizontal="center" vertical="center"/>
    </xf>
    <xf numFmtId="43" fontId="17" fillId="0" borderId="0" xfId="1" applyFont="1" applyAlignment="1">
      <alignment horizontal="left" vertical="top"/>
    </xf>
    <xf numFmtId="9" fontId="0" fillId="0" borderId="0" xfId="1" applyNumberFormat="1" applyFont="1"/>
    <xf numFmtId="10" fontId="0" fillId="0" borderId="0" xfId="1" applyNumberFormat="1" applyFont="1"/>
    <xf numFmtId="0" fontId="17" fillId="0" borderId="0" xfId="1" applyNumberFormat="1" applyFont="1" applyAlignment="1">
      <alignment horizontal="center" vertical="center"/>
    </xf>
    <xf numFmtId="0" fontId="1" fillId="0" borderId="0" xfId="1" applyNumberFormat="1" applyFont="1" applyBorder="1" applyAlignment="1">
      <alignment horizontal="center" vertical="center"/>
    </xf>
    <xf numFmtId="10" fontId="1" fillId="0" borderId="0" xfId="2" applyNumberFormat="1" applyFont="1" applyBorder="1" applyAlignment="1">
      <alignment horizontal="center" vertical="center"/>
    </xf>
    <xf numFmtId="10" fontId="0" fillId="0" borderId="0" xfId="2" applyNumberFormat="1" applyFont="1"/>
    <xf numFmtId="168" fontId="0" fillId="0" borderId="0" xfId="2" applyNumberFormat="1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0" fontId="34" fillId="0" borderId="0" xfId="0" applyFont="1"/>
    <xf numFmtId="0" fontId="12" fillId="0" borderId="2" xfId="0" applyFont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center" vertical="center"/>
    </xf>
    <xf numFmtId="9" fontId="12" fillId="0" borderId="0" xfId="2" applyFont="1" applyFill="1" applyBorder="1" applyAlignment="1">
      <alignment horizontal="center" vertical="center"/>
    </xf>
    <xf numFmtId="167" fontId="12" fillId="0" borderId="0" xfId="1" applyNumberFormat="1" applyFont="1" applyFill="1" applyBorder="1" applyAlignment="1">
      <alignment horizontal="center" vertical="center"/>
    </xf>
    <xf numFmtId="9" fontId="12" fillId="0" borderId="0" xfId="2" applyFont="1" applyBorder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9" fontId="12" fillId="0" borderId="10" xfId="2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9" fontId="19" fillId="0" borderId="4" xfId="0" applyNumberFormat="1" applyFont="1" applyBorder="1" applyAlignment="1">
      <alignment horizontal="center" vertical="center"/>
    </xf>
    <xf numFmtId="9" fontId="30" fillId="0" borderId="4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9" fontId="30" fillId="0" borderId="6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9" fontId="0" fillId="0" borderId="4" xfId="2" applyFont="1" applyBorder="1"/>
    <xf numFmtId="171" fontId="0" fillId="0" borderId="4" xfId="3" applyNumberFormat="1" applyFont="1" applyBorder="1"/>
    <xf numFmtId="37" fontId="17" fillId="0" borderId="0" xfId="0" applyNumberFormat="1" applyFont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2" fillId="2" borderId="15" xfId="0" applyFont="1" applyFill="1" applyBorder="1" applyAlignment="1">
      <alignment horizontal="center" vertical="center"/>
    </xf>
    <xf numFmtId="0" fontId="12" fillId="0" borderId="0" xfId="2" applyNumberFormat="1" applyFont="1" applyFill="1" applyBorder="1" applyAlignment="1">
      <alignment horizontal="center" vertical="center"/>
    </xf>
    <xf numFmtId="0" fontId="0" fillId="0" borderId="11" xfId="0" applyBorder="1"/>
    <xf numFmtId="168" fontId="0" fillId="0" borderId="2" xfId="2" applyNumberFormat="1" applyFont="1" applyBorder="1"/>
    <xf numFmtId="168" fontId="0" fillId="0" borderId="4" xfId="2" applyNumberFormat="1" applyFont="1" applyBorder="1"/>
    <xf numFmtId="1" fontId="0" fillId="0" borderId="4" xfId="0" applyNumberFormat="1" applyBorder="1"/>
    <xf numFmtId="1" fontId="0" fillId="0" borderId="6" xfId="0" applyNumberFormat="1" applyBorder="1"/>
    <xf numFmtId="168" fontId="0" fillId="0" borderId="16" xfId="2" applyNumberFormat="1" applyFont="1" applyBorder="1"/>
    <xf numFmtId="1" fontId="0" fillId="0" borderId="16" xfId="0" applyNumberFormat="1" applyBorder="1"/>
    <xf numFmtId="1" fontId="0" fillId="0" borderId="17" xfId="0" applyNumberFormat="1" applyBorder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43" fontId="0" fillId="0" borderId="0" xfId="1" applyFont="1" applyFill="1" applyBorder="1"/>
    <xf numFmtId="0" fontId="36" fillId="7" borderId="0" xfId="0" applyFont="1" applyFill="1"/>
    <xf numFmtId="0" fontId="13" fillId="0" borderId="2" xfId="0" applyFont="1" applyBorder="1" applyAlignment="1">
      <alignment horizontal="left" vertical="center"/>
    </xf>
    <xf numFmtId="43" fontId="15" fillId="0" borderId="0" xfId="1" applyFont="1" applyAlignment="1">
      <alignment horizontal="center" vertical="center"/>
    </xf>
    <xf numFmtId="0" fontId="37" fillId="8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8" fillId="8" borderId="0" xfId="0" applyFont="1" applyFill="1" applyAlignment="1">
      <alignment horizontal="right" vertical="center"/>
    </xf>
    <xf numFmtId="41" fontId="15" fillId="0" borderId="0" xfId="0" applyNumberFormat="1" applyFont="1" applyAlignment="1">
      <alignment horizontal="right" vertical="center"/>
    </xf>
    <xf numFmtId="41" fontId="0" fillId="0" borderId="0" xfId="0" applyNumberFormat="1" applyAlignment="1">
      <alignment horizontal="right" vertical="center"/>
    </xf>
    <xf numFmtId="41" fontId="0" fillId="0" borderId="0" xfId="0" applyNumberFormat="1" applyAlignment="1">
      <alignment horizontal="right"/>
    </xf>
    <xf numFmtId="2" fontId="0" fillId="0" borderId="0" xfId="2" applyNumberFormat="1" applyFont="1" applyBorder="1" applyAlignment="1">
      <alignment horizontal="right" vertical="center"/>
    </xf>
    <xf numFmtId="168" fontId="12" fillId="0" borderId="10" xfId="0" applyNumberFormat="1" applyFont="1" applyBorder="1" applyAlignment="1">
      <alignment horizontal="center" vertical="center"/>
    </xf>
    <xf numFmtId="170" fontId="0" fillId="0" borderId="16" xfId="1" applyNumberFormat="1" applyFont="1" applyBorder="1"/>
    <xf numFmtId="172" fontId="0" fillId="0" borderId="16" xfId="1" applyNumberFormat="1" applyFont="1" applyBorder="1" applyAlignment="1">
      <alignment horizontal="right"/>
    </xf>
    <xf numFmtId="172" fontId="0" fillId="0" borderId="4" xfId="1" applyNumberFormat="1" applyFont="1" applyBorder="1" applyAlignment="1">
      <alignment horizontal="right"/>
    </xf>
    <xf numFmtId="170" fontId="0" fillId="0" borderId="2" xfId="1" applyNumberFormat="1" applyFont="1" applyBorder="1"/>
    <xf numFmtId="170" fontId="0" fillId="0" borderId="4" xfId="1" applyNumberFormat="1" applyFont="1" applyBorder="1"/>
    <xf numFmtId="41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8" fontId="12" fillId="0" borderId="0" xfId="0" applyNumberFormat="1" applyFont="1" applyAlignment="1">
      <alignment horizontal="center" vertical="center"/>
    </xf>
    <xf numFmtId="171" fontId="13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9" fontId="0" fillId="0" borderId="13" xfId="2" applyFont="1" applyBorder="1"/>
    <xf numFmtId="41" fontId="0" fillId="0" borderId="0" xfId="0" applyNumberFormat="1" applyAlignment="1">
      <alignment horizontal="center"/>
    </xf>
    <xf numFmtId="41" fontId="0" fillId="0" borderId="0" xfId="0" applyNumberFormat="1"/>
    <xf numFmtId="1" fontId="0" fillId="0" borderId="0" xfId="0" applyNumberFormat="1"/>
    <xf numFmtId="168" fontId="0" fillId="0" borderId="0" xfId="2" applyNumberFormat="1" applyFont="1"/>
    <xf numFmtId="167" fontId="0" fillId="0" borderId="0" xfId="0" applyNumberFormat="1"/>
    <xf numFmtId="167" fontId="0" fillId="7" borderId="0" xfId="0" applyNumberFormat="1" applyFill="1"/>
    <xf numFmtId="168" fontId="0" fillId="7" borderId="0" xfId="2" applyNumberFormat="1" applyFont="1" applyFill="1"/>
    <xf numFmtId="0" fontId="0" fillId="7" borderId="0" xfId="0" applyFill="1"/>
    <xf numFmtId="43" fontId="5" fillId="0" borderId="0" xfId="0" applyNumberFormat="1" applyFont="1" applyAlignment="1">
      <alignment horizontal="center" vertical="center"/>
    </xf>
    <xf numFmtId="0" fontId="0" fillId="4" borderId="0" xfId="0" applyFill="1"/>
    <xf numFmtId="170" fontId="0" fillId="4" borderId="0" xfId="0" applyNumberFormat="1" applyFill="1" applyAlignment="1">
      <alignment horizontal="center"/>
    </xf>
    <xf numFmtId="0" fontId="0" fillId="7" borderId="0" xfId="0" applyFill="1" applyAlignment="1">
      <alignment horizontal="right"/>
    </xf>
    <xf numFmtId="168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70" fontId="40" fillId="4" borderId="0" xfId="0" applyNumberFormat="1" applyFont="1" applyFill="1" applyAlignment="1">
      <alignment horizontal="center"/>
    </xf>
    <xf numFmtId="168" fontId="40" fillId="0" borderId="0" xfId="0" applyNumberFormat="1" applyFont="1" applyAlignment="1">
      <alignment horizontal="right"/>
    </xf>
    <xf numFmtId="1" fontId="40" fillId="0" borderId="0" xfId="0" applyNumberFormat="1" applyFont="1" applyAlignment="1">
      <alignment horizontal="right"/>
    </xf>
    <xf numFmtId="0" fontId="40" fillId="0" borderId="0" xfId="0" applyFont="1"/>
    <xf numFmtId="0" fontId="40" fillId="7" borderId="0" xfId="0" applyFont="1" applyFill="1" applyAlignment="1">
      <alignment horizontal="right"/>
    </xf>
    <xf numFmtId="1" fontId="0" fillId="7" borderId="0" xfId="0" applyNumberFormat="1" applyFill="1" applyAlignment="1">
      <alignment horizontal="right"/>
    </xf>
    <xf numFmtId="1" fontId="40" fillId="7" borderId="0" xfId="0" applyNumberFormat="1" applyFont="1" applyFill="1" applyAlignment="1">
      <alignment horizontal="right"/>
    </xf>
    <xf numFmtId="172" fontId="0" fillId="0" borderId="0" xfId="0" applyNumberFormat="1"/>
    <xf numFmtId="170" fontId="0" fillId="0" borderId="0" xfId="0" applyNumberFormat="1"/>
    <xf numFmtId="1" fontId="36" fillId="0" borderId="0" xfId="0" applyNumberFormat="1" applyFont="1"/>
    <xf numFmtId="41" fontId="36" fillId="0" borderId="0" xfId="0" applyNumberFormat="1" applyFont="1"/>
    <xf numFmtId="41" fontId="5" fillId="9" borderId="0" xfId="0" applyNumberFormat="1" applyFont="1" applyFill="1" applyAlignment="1">
      <alignment horizontal="center" vertical="center"/>
    </xf>
    <xf numFmtId="170" fontId="0" fillId="0" borderId="18" xfId="1" applyNumberFormat="1" applyFont="1" applyBorder="1"/>
    <xf numFmtId="170" fontId="0" fillId="0" borderId="17" xfId="1" applyNumberFormat="1" applyFont="1" applyBorder="1"/>
    <xf numFmtId="168" fontId="0" fillId="0" borderId="0" xfId="2" applyNumberFormat="1" applyFont="1" applyAlignment="1">
      <alignment horizontal="center"/>
    </xf>
    <xf numFmtId="43" fontId="0" fillId="0" borderId="0" xfId="0" applyNumberFormat="1"/>
    <xf numFmtId="10" fontId="18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2" fontId="0" fillId="0" borderId="0" xfId="0" applyNumberFormat="1"/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35" fillId="3" borderId="1" xfId="0" applyFont="1" applyFill="1" applyBorder="1" applyAlignment="1">
      <alignment horizontal="center" vertical="center"/>
    </xf>
    <xf numFmtId="0" fontId="35" fillId="3" borderId="14" xfId="0" applyFont="1" applyFill="1" applyBorder="1" applyAlignment="1">
      <alignment horizontal="center" vertical="center"/>
    </xf>
    <xf numFmtId="0" fontId="35" fillId="3" borderId="3" xfId="0" applyFont="1" applyFill="1" applyBorder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1D4E89"/>
      <color rgb="FFF692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71783692327715"/>
          <c:y val="0.13056055330742009"/>
          <c:w val="0.80899420836858205"/>
          <c:h val="0.5301441194711731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Result!$B$4</c:f>
              <c:strCache>
                <c:ptCount val="1"/>
                <c:pt idx="0">
                  <c:v>Cash Flow, MM USD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Result!$C$23:$D$23</c:f>
              <c:strCache>
                <c:ptCount val="2"/>
                <c:pt idx="0">
                  <c:v>RSA Project</c:v>
                </c:pt>
                <c:pt idx="1">
                  <c:v>Total Contractor</c:v>
                </c:pt>
              </c:strCache>
            </c:strRef>
          </c:cat>
          <c:val>
            <c:numRef>
              <c:f>Result!$C$25:$D$25</c:f>
              <c:numCache>
                <c:formatCode>_(* #,##0_);_(* \(#,##0\);_(* "-"??_);_(@_)</c:formatCode>
                <c:ptCount val="2"/>
                <c:pt idx="0">
                  <c:v>15824.941331401136</c:v>
                </c:pt>
                <c:pt idx="1">
                  <c:v>7094.7442452664727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3-4DF0-8092-A08E12F1C586}"/>
            </c:ext>
          </c:extLst>
        </c:ser>
        <c:ser>
          <c:idx val="0"/>
          <c:order val="1"/>
          <c:tx>
            <c:strRef>
              <c:f>Result!$B$24</c:f>
              <c:strCache>
                <c:ptCount val="1"/>
                <c:pt idx="0">
                  <c:v>CAPEX, MM USD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Result!$C$23:$D$23</c:f>
              <c:strCache>
                <c:ptCount val="2"/>
                <c:pt idx="0">
                  <c:v>RSA Project</c:v>
                </c:pt>
                <c:pt idx="1">
                  <c:v>Total Contractor</c:v>
                </c:pt>
              </c:strCache>
            </c:strRef>
          </c:cat>
          <c:val>
            <c:numRef>
              <c:f>Result!$C$24:$D$24</c:f>
              <c:numCache>
                <c:formatCode>_(* #,##0_);_(* \(#,##0\);_(* "-"??_);_(@_)</c:formatCode>
                <c:ptCount val="2"/>
                <c:pt idx="0">
                  <c:v>2517.3705768487844</c:v>
                </c:pt>
                <c:pt idx="1">
                  <c:v>3272.5817499034197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3-4DF0-8092-A08E12F1C586}"/>
            </c:ext>
          </c:extLst>
        </c:ser>
        <c:ser>
          <c:idx val="2"/>
          <c:order val="2"/>
          <c:tx>
            <c:strRef>
              <c:f>Result!$B$26</c:f>
              <c:strCache>
                <c:ptCount val="1"/>
                <c:pt idx="0">
                  <c:v>NPV10, MM USD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Result!$C$23:$D$23</c:f>
              <c:strCache>
                <c:ptCount val="2"/>
                <c:pt idx="0">
                  <c:v>RSA Project</c:v>
                </c:pt>
                <c:pt idx="1">
                  <c:v>Total Contractor</c:v>
                </c:pt>
              </c:strCache>
            </c:strRef>
          </c:cat>
          <c:val>
            <c:numRef>
              <c:f>Result!$C$26:$D$26</c:f>
              <c:numCache>
                <c:formatCode>_(* #,##0_);_(* \(#,##0\);_(* "-"??_);_(@_)</c:formatCode>
                <c:ptCount val="2"/>
                <c:pt idx="0">
                  <c:v>3189.3847635020416</c:v>
                </c:pt>
                <c:pt idx="1">
                  <c:v>1292.7849637004974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3-4DF0-8092-A08E12F1C5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97597456"/>
        <c:axId val="73604848"/>
      </c:barChart>
      <c:lineChart>
        <c:grouping val="standard"/>
        <c:varyColors val="0"/>
        <c:ser>
          <c:idx val="3"/>
          <c:order val="3"/>
          <c:tx>
            <c:strRef>
              <c:f>Result!$B$27</c:f>
              <c:strCache>
                <c:ptCount val="1"/>
                <c:pt idx="0">
                  <c:v>IRR, %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2644628099173556E-3"/>
                  <c:y val="4.3343108504398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53-4DF0-8092-A08E12F1C5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Result!$C$2:$D$2</c:f>
              <c:strCache>
                <c:ptCount val="2"/>
                <c:pt idx="0">
                  <c:v>RSA Project</c:v>
                </c:pt>
                <c:pt idx="1">
                  <c:v>SOCAR Karabakh</c:v>
                </c:pt>
              </c:strCache>
            </c:strRef>
          </c:cat>
          <c:val>
            <c:numRef>
              <c:f>Result!$C$27:$D$27</c:f>
              <c:numCache>
                <c:formatCode>0.0%</c:formatCode>
                <c:ptCount val="2"/>
                <c:pt idx="0">
                  <c:v>0.2585234686371285</c:v>
                </c:pt>
                <c:pt idx="1">
                  <c:v>0.18313169735395185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53-4DF0-8092-A08E12F1C5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7587376"/>
        <c:axId val="73623696"/>
      </c:lineChart>
      <c:catAx>
        <c:axId val="119759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4848"/>
        <c:crosses val="autoZero"/>
        <c:auto val="1"/>
        <c:lblAlgn val="ctr"/>
        <c:lblOffset val="100"/>
        <c:noMultiLvlLbl val="0"/>
      </c:catAx>
      <c:valAx>
        <c:axId val="736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$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97456"/>
        <c:crosses val="autoZero"/>
        <c:crossBetween val="between"/>
      </c:valAx>
      <c:valAx>
        <c:axId val="736236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87376"/>
        <c:crosses val="max"/>
        <c:crossBetween val="between"/>
      </c:valAx>
      <c:catAx>
        <c:axId val="1197587376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Qarabag Project Summary</a:t>
                </a:r>
              </a:p>
            </c:rich>
          </c:tx>
          <c:layout>
            <c:manualLayout>
              <c:xMode val="edge"/>
              <c:yMode val="edge"/>
              <c:x val="0.38464059347953405"/>
              <c:y val="0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362369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</xdr:colOff>
      <xdr:row>8</xdr:row>
      <xdr:rowOff>101600</xdr:rowOff>
    </xdr:from>
    <xdr:to>
      <xdr:col>7</xdr:col>
      <xdr:colOff>28575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279F4-C09F-B22B-4987-E56DCF57B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69256"/>
  </sheetPr>
  <dimension ref="A1:I65"/>
  <sheetViews>
    <sheetView showGridLines="0" zoomScaleNormal="100" workbookViewId="0">
      <selection activeCell="G24" sqref="G24"/>
    </sheetView>
  </sheetViews>
  <sheetFormatPr defaultColWidth="0" defaultRowHeight="14.4" zeroHeight="1" x14ac:dyDescent="0.3"/>
  <cols>
    <col min="1" max="1" width="40.77734375" bestFit="1" customWidth="1"/>
    <col min="2" max="2" width="10" bestFit="1" customWidth="1"/>
    <col min="3" max="3" width="15.5546875" bestFit="1" customWidth="1"/>
    <col min="4" max="4" width="10.77734375" bestFit="1" customWidth="1"/>
    <col min="5" max="5" width="9.21875" customWidth="1"/>
    <col min="6" max="6" width="46.5546875" customWidth="1"/>
    <col min="7" max="7" width="16.44140625" customWidth="1"/>
    <col min="8" max="8" width="11.77734375" customWidth="1"/>
    <col min="9" max="9" width="9.21875" customWidth="1"/>
    <col min="10" max="16384" width="9.21875" hidden="1"/>
  </cols>
  <sheetData>
    <row r="1" spans="1:8" ht="15" thickBot="1" x14ac:dyDescent="0.35">
      <c r="A1" t="s">
        <v>229</v>
      </c>
    </row>
    <row r="2" spans="1:8" x14ac:dyDescent="0.3">
      <c r="A2" s="111" t="s">
        <v>42</v>
      </c>
      <c r="B2" s="112" t="s">
        <v>43</v>
      </c>
      <c r="C2" s="112" t="s">
        <v>44</v>
      </c>
      <c r="D2" s="113" t="s">
        <v>45</v>
      </c>
    </row>
    <row r="3" spans="1:8" x14ac:dyDescent="0.3">
      <c r="A3" s="97" t="s">
        <v>46</v>
      </c>
      <c r="B3" s="45" t="str">
        <f>CONCATENATE(C3,D3)</f>
        <v>1A</v>
      </c>
      <c r="C3" s="1">
        <v>1</v>
      </c>
      <c r="D3" s="98" t="s">
        <v>47</v>
      </c>
    </row>
    <row r="4" spans="1:8" x14ac:dyDescent="0.3">
      <c r="A4" s="97" t="s">
        <v>48</v>
      </c>
      <c r="B4" s="29" t="str">
        <f>CONCATENATE(C4,D4)</f>
        <v>2B</v>
      </c>
      <c r="C4" s="1">
        <v>2</v>
      </c>
      <c r="D4" s="98" t="s">
        <v>49</v>
      </c>
    </row>
    <row r="5" spans="1:8" ht="15" thickBot="1" x14ac:dyDescent="0.35">
      <c r="A5" s="99" t="s">
        <v>50</v>
      </c>
      <c r="B5" s="100" t="str">
        <f>CONCATENATE(C5,D5)</f>
        <v>3C</v>
      </c>
      <c r="C5" s="101">
        <v>3</v>
      </c>
      <c r="D5" s="102" t="s">
        <v>51</v>
      </c>
    </row>
    <row r="6" spans="1:8" x14ac:dyDescent="0.3"/>
    <row r="7" spans="1:8" ht="15" thickBot="1" x14ac:dyDescent="0.35"/>
    <row r="8" spans="1:8" ht="21.6" thickBot="1" x14ac:dyDescent="0.35">
      <c r="A8" s="195" t="s">
        <v>228</v>
      </c>
      <c r="B8" s="196"/>
      <c r="C8" s="197"/>
      <c r="F8" s="200" t="s">
        <v>124</v>
      </c>
      <c r="G8" s="201"/>
      <c r="H8" s="202"/>
    </row>
    <row r="9" spans="1:8" ht="15" thickBot="1" x14ac:dyDescent="0.35">
      <c r="A9" s="158" t="s">
        <v>53</v>
      </c>
      <c r="B9" s="159" t="s">
        <v>43</v>
      </c>
      <c r="C9" s="160">
        <v>2</v>
      </c>
      <c r="F9" s="203" t="s">
        <v>125</v>
      </c>
      <c r="G9" s="204"/>
      <c r="H9" s="205"/>
    </row>
    <row r="10" spans="1:8" x14ac:dyDescent="0.3">
      <c r="A10" s="89" t="s">
        <v>54</v>
      </c>
      <c r="B10" s="5" t="s">
        <v>43</v>
      </c>
      <c r="C10" s="90" t="s">
        <v>49</v>
      </c>
      <c r="F10" s="89" t="s">
        <v>126</v>
      </c>
      <c r="G10" s="95">
        <v>0.65</v>
      </c>
      <c r="H10" s="90"/>
    </row>
    <row r="11" spans="1:8" ht="15" thickBot="1" x14ac:dyDescent="0.35">
      <c r="A11" s="89" t="s">
        <v>253</v>
      </c>
      <c r="B11" s="5">
        <v>2025</v>
      </c>
      <c r="C11" s="90"/>
      <c r="F11" s="89" t="s">
        <v>272</v>
      </c>
      <c r="G11" s="95">
        <v>0.35</v>
      </c>
      <c r="H11" s="90"/>
    </row>
    <row r="12" spans="1:8" ht="15" thickBot="1" x14ac:dyDescent="0.35">
      <c r="A12" s="89" t="s">
        <v>55</v>
      </c>
      <c r="B12" s="5">
        <v>2025</v>
      </c>
      <c r="C12" s="90"/>
      <c r="D12" s="166">
        <f>Result!D3</f>
        <v>1636.2908749517098</v>
      </c>
      <c r="E12" s="167">
        <v>1458.6476183296791</v>
      </c>
      <c r="F12" s="203" t="s">
        <v>127</v>
      </c>
      <c r="G12" s="204"/>
      <c r="H12" s="205"/>
    </row>
    <row r="13" spans="1:8" x14ac:dyDescent="0.3">
      <c r="A13" s="89" t="s">
        <v>56</v>
      </c>
      <c r="B13" s="93">
        <v>0.1</v>
      </c>
      <c r="C13" s="90"/>
      <c r="D13" s="166">
        <f>Result!D4</f>
        <v>3547.3721226332364</v>
      </c>
      <c r="E13" s="167">
        <v>2563.1731468721455</v>
      </c>
      <c r="F13" s="89" t="s">
        <v>128</v>
      </c>
      <c r="G13" s="96">
        <v>1</v>
      </c>
      <c r="H13" s="90"/>
    </row>
    <row r="14" spans="1:8" x14ac:dyDescent="0.3">
      <c r="A14" s="137" t="s">
        <v>57</v>
      </c>
      <c r="B14" s="156">
        <v>70</v>
      </c>
      <c r="C14" s="90" t="s">
        <v>58</v>
      </c>
      <c r="D14" s="166">
        <f>Result!D5</f>
        <v>646.39248185024871</v>
      </c>
      <c r="E14" s="167">
        <v>433.43929255487404</v>
      </c>
      <c r="F14" s="89" t="s">
        <v>129</v>
      </c>
      <c r="G14" s="96">
        <v>0.7</v>
      </c>
      <c r="H14" s="90"/>
    </row>
    <row r="15" spans="1:8" x14ac:dyDescent="0.3">
      <c r="A15" s="89" t="s">
        <v>59</v>
      </c>
      <c r="B15" s="5">
        <v>3</v>
      </c>
      <c r="C15" s="90" t="s">
        <v>58</v>
      </c>
      <c r="D15" s="165">
        <f>Result!D6</f>
        <v>0.18313169735395185</v>
      </c>
      <c r="E15" s="168">
        <v>0.15582773509582903</v>
      </c>
      <c r="F15" s="89" t="s">
        <v>130</v>
      </c>
      <c r="G15" s="96">
        <v>0.7</v>
      </c>
      <c r="H15" s="90"/>
    </row>
    <row r="16" spans="1:8" x14ac:dyDescent="0.3">
      <c r="A16" s="137" t="s">
        <v>60</v>
      </c>
      <c r="B16" s="22">
        <v>120</v>
      </c>
      <c r="C16" s="90" t="s">
        <v>58</v>
      </c>
      <c r="D16">
        <f>Result!D7</f>
        <v>2034</v>
      </c>
      <c r="E16" s="169">
        <v>2032</v>
      </c>
      <c r="F16" s="89" t="s">
        <v>131</v>
      </c>
      <c r="G16" s="96">
        <v>0.1</v>
      </c>
      <c r="H16" s="90"/>
    </row>
    <row r="17" spans="1:9" x14ac:dyDescent="0.3">
      <c r="A17" s="89" t="s">
        <v>234</v>
      </c>
      <c r="B17" s="94">
        <f>IF(B16&lt;=1400,0,IF(export="EU",B33,B32))</f>
        <v>0</v>
      </c>
      <c r="C17" s="90" t="s">
        <v>240</v>
      </c>
      <c r="F17" s="89" t="s">
        <v>132</v>
      </c>
      <c r="G17" s="6">
        <v>2065</v>
      </c>
      <c r="H17" s="90" t="s">
        <v>113</v>
      </c>
    </row>
    <row r="18" spans="1:9" x14ac:dyDescent="0.3">
      <c r="A18" s="89" t="s">
        <v>231</v>
      </c>
      <c r="B18" s="120">
        <v>2025</v>
      </c>
      <c r="C18" s="90" t="s">
        <v>260</v>
      </c>
      <c r="F18" s="89" t="s">
        <v>133</v>
      </c>
      <c r="G18" s="93">
        <v>0.06</v>
      </c>
      <c r="H18" s="90"/>
    </row>
    <row r="19" spans="1:9" x14ac:dyDescent="0.3">
      <c r="A19" s="89" t="s">
        <v>61</v>
      </c>
      <c r="B19" s="5" t="s">
        <v>219</v>
      </c>
      <c r="C19" s="90"/>
      <c r="F19" s="89" t="s">
        <v>134</v>
      </c>
      <c r="G19" s="5" t="s">
        <v>219</v>
      </c>
      <c r="H19" s="90"/>
    </row>
    <row r="20" spans="1:9" x14ac:dyDescent="0.3">
      <c r="A20" s="89" t="s">
        <v>63</v>
      </c>
      <c r="B20" s="5">
        <v>3</v>
      </c>
      <c r="C20" s="90" t="s">
        <v>58</v>
      </c>
      <c r="F20" s="89" t="s">
        <v>135</v>
      </c>
      <c r="G20" s="93">
        <v>0.05</v>
      </c>
      <c r="H20" s="90"/>
    </row>
    <row r="21" spans="1:9" ht="15" thickBot="1" x14ac:dyDescent="0.35">
      <c r="A21" s="89" t="s">
        <v>64</v>
      </c>
      <c r="B21" s="157">
        <v>1</v>
      </c>
      <c r="C21" s="90" t="s">
        <v>58</v>
      </c>
      <c r="F21" s="91" t="s">
        <v>136</v>
      </c>
      <c r="G21" s="103">
        <v>0.2</v>
      </c>
      <c r="H21" s="92"/>
    </row>
    <row r="22" spans="1:9" x14ac:dyDescent="0.3">
      <c r="A22" s="89" t="s">
        <v>252</v>
      </c>
      <c r="B22" s="5">
        <v>2030</v>
      </c>
      <c r="C22" s="90"/>
      <c r="G22" s="194">
        <v>196.4</v>
      </c>
    </row>
    <row r="23" spans="1:9" x14ac:dyDescent="0.3">
      <c r="A23" s="89" t="s">
        <v>250</v>
      </c>
      <c r="B23" s="155">
        <v>2.5000000000000001E-2</v>
      </c>
      <c r="G23" s="93">
        <v>0.35</v>
      </c>
    </row>
    <row r="24" spans="1:9" x14ac:dyDescent="0.3">
      <c r="A24" s="89" t="s">
        <v>245</v>
      </c>
      <c r="B24" s="155">
        <v>0.02</v>
      </c>
      <c r="C24" s="90"/>
    </row>
    <row r="25" spans="1:9" ht="15" thickBot="1" x14ac:dyDescent="0.35">
      <c r="A25" s="91" t="s">
        <v>246</v>
      </c>
      <c r="B25" s="147">
        <v>2.5000000000000001E-2</v>
      </c>
      <c r="C25" s="92"/>
    </row>
    <row r="26" spans="1:9" ht="15" thickBot="1" x14ac:dyDescent="0.35">
      <c r="A26" s="3"/>
      <c r="B26" s="5"/>
    </row>
    <row r="27" spans="1:9" ht="15" thickBot="1" x14ac:dyDescent="0.35">
      <c r="A27" s="198" t="s">
        <v>120</v>
      </c>
      <c r="B27" s="199"/>
      <c r="F27" s="198" t="s">
        <v>224</v>
      </c>
      <c r="G27" s="199"/>
    </row>
    <row r="28" spans="1:9" ht="15.6" x14ac:dyDescent="0.3">
      <c r="A28" s="104" t="s">
        <v>121</v>
      </c>
      <c r="B28" s="105">
        <v>0.1</v>
      </c>
      <c r="C28" s="164">
        <f ca="1">Result!E26*2</f>
        <v>3625.6684289936343</v>
      </c>
      <c r="F28" s="121" t="s">
        <v>221</v>
      </c>
      <c r="G28" s="161">
        <v>0</v>
      </c>
    </row>
    <row r="29" spans="1:9" ht="15.6" x14ac:dyDescent="0.3">
      <c r="A29" s="104" t="s">
        <v>122</v>
      </c>
      <c r="B29" s="106">
        <v>0.1</v>
      </c>
      <c r="F29" s="109" t="s">
        <v>80</v>
      </c>
      <c r="G29" s="115">
        <v>70</v>
      </c>
    </row>
    <row r="30" spans="1:9" ht="15.6" x14ac:dyDescent="0.3">
      <c r="A30" s="104" t="s">
        <v>226</v>
      </c>
      <c r="B30" s="106">
        <v>0.1</v>
      </c>
      <c r="F30" s="109" t="s">
        <v>223</v>
      </c>
      <c r="G30" s="114">
        <v>0</v>
      </c>
    </row>
    <row r="31" spans="1:9" ht="16.2" thickBot="1" x14ac:dyDescent="0.35">
      <c r="A31" s="107" t="s">
        <v>123</v>
      </c>
      <c r="B31" s="108">
        <v>0.1</v>
      </c>
      <c r="F31" s="109" t="s">
        <v>222</v>
      </c>
      <c r="G31" s="114">
        <v>0</v>
      </c>
    </row>
    <row r="32" spans="1:9" x14ac:dyDescent="0.3">
      <c r="A32" s="136" t="s">
        <v>234</v>
      </c>
      <c r="B32" s="136">
        <v>181.2</v>
      </c>
      <c r="F32" s="109" t="s">
        <v>248</v>
      </c>
      <c r="G32" s="117" t="s">
        <v>243</v>
      </c>
      <c r="I32" s="154"/>
    </row>
    <row r="33" spans="1:7" ht="15" thickBot="1" x14ac:dyDescent="0.35">
      <c r="A33" s="136" t="s">
        <v>234</v>
      </c>
      <c r="B33" s="136">
        <v>266.8</v>
      </c>
      <c r="F33" s="110" t="s">
        <v>247</v>
      </c>
      <c r="G33" s="118" t="s">
        <v>243</v>
      </c>
    </row>
    <row r="49" spans="2:3" x14ac:dyDescent="0.3"/>
    <row r="50" spans="2:3" x14ac:dyDescent="0.3"/>
    <row r="64" spans="2:3" hidden="1" x14ac:dyDescent="0.3">
      <c r="B64" s="88" t="s">
        <v>62</v>
      </c>
      <c r="C64" s="88" t="s">
        <v>58</v>
      </c>
    </row>
    <row r="65" spans="2:3" hidden="1" x14ac:dyDescent="0.3">
      <c r="B65" s="88" t="s">
        <v>219</v>
      </c>
      <c r="C65" s="88" t="s">
        <v>65</v>
      </c>
    </row>
  </sheetData>
  <mergeCells count="6">
    <mergeCell ref="A8:C8"/>
    <mergeCell ref="A27:B27"/>
    <mergeCell ref="F8:H8"/>
    <mergeCell ref="F9:H9"/>
    <mergeCell ref="F12:H12"/>
    <mergeCell ref="F27:G27"/>
  </mergeCells>
  <dataValidations count="4">
    <dataValidation type="list" allowBlank="1" showInputMessage="1" showErrorMessage="1" sqref="C10" xr:uid="{0511B6FE-469D-446F-BF73-32E2B9714A46}">
      <formula1>$A$172:$A$174</formula1>
    </dataValidation>
    <dataValidation type="list" allowBlank="1" showInputMessage="1" showErrorMessage="1" sqref="C9" xr:uid="{BE7FC024-4A99-4D38-8452-983CEBE6091D}">
      <formula1>$B$172:$B$174</formula1>
    </dataValidation>
    <dataValidation type="list" allowBlank="1" showInputMessage="1" showErrorMessage="1" sqref="C14:C16 C20:C22 C24:C25" xr:uid="{745C83C9-E9DB-4A7B-84A3-908D3E1B239E}">
      <formula1>$C$64:$C$65</formula1>
    </dataValidation>
    <dataValidation type="list" allowBlank="1" showInputMessage="1" showErrorMessage="1" sqref="B19 G19" xr:uid="{2297C95A-74BE-452C-9251-17E63671BB3B}">
      <formula1>$B$64:$B$65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1A9D2-22C0-41BB-8C72-E6299154B80D}">
  <sheetPr codeName="Sheet1">
    <tabColor theme="8"/>
  </sheetPr>
  <dimension ref="B1:AR200"/>
  <sheetViews>
    <sheetView showGridLines="0" topLeftCell="B3" zoomScale="99" zoomScaleNormal="99" workbookViewId="0">
      <pane xSplit="3" ySplit="3" topLeftCell="H124" activePane="bottomRight" state="frozen"/>
      <selection activeCell="B3" sqref="B3"/>
      <selection pane="topRight" activeCell="E3" sqref="E3"/>
      <selection pane="bottomLeft" activeCell="B6" sqref="B6"/>
      <selection pane="bottomRight" activeCell="E60" sqref="E60"/>
    </sheetView>
  </sheetViews>
  <sheetFormatPr defaultColWidth="0" defaultRowHeight="13.8" outlineLevelRow="1" x14ac:dyDescent="0.3"/>
  <cols>
    <col min="1" max="1" width="9.21875" style="1" hidden="1" customWidth="1"/>
    <col min="2" max="2" width="38.77734375" style="1" customWidth="1"/>
    <col min="3" max="3" width="14.5546875" style="1" bestFit="1" customWidth="1"/>
    <col min="4" max="4" width="16.77734375" style="1" bestFit="1" customWidth="1"/>
    <col min="5" max="5" width="15" style="1" customWidth="1"/>
    <col min="6" max="7" width="13.21875" style="1" customWidth="1"/>
    <col min="8" max="10" width="16.33203125" style="1" bestFit="1" customWidth="1"/>
    <col min="11" max="12" width="18.109375" style="1" bestFit="1" customWidth="1"/>
    <col min="13" max="13" width="16.33203125" style="1" bestFit="1" customWidth="1"/>
    <col min="14" max="15" width="13.44140625" style="1" customWidth="1"/>
    <col min="16" max="37" width="12.21875" style="1" customWidth="1"/>
    <col min="38" max="38" width="18" style="1" bestFit="1" customWidth="1"/>
    <col min="39" max="41" width="18" style="1" hidden="1" customWidth="1"/>
    <col min="42" max="42" width="16.77734375" style="1" hidden="1" customWidth="1"/>
    <col min="43" max="44" width="0" style="1" hidden="1" customWidth="1"/>
    <col min="45" max="16384" width="9.21875" style="1" hidden="1"/>
  </cols>
  <sheetData>
    <row r="1" spans="2:37" x14ac:dyDescent="0.3">
      <c r="B1" s="7" t="s">
        <v>0</v>
      </c>
      <c r="C1" s="7" t="s">
        <v>1</v>
      </c>
      <c r="D1" s="7"/>
      <c r="E1" s="7">
        <v>365</v>
      </c>
      <c r="F1" s="7">
        <v>365</v>
      </c>
      <c r="G1" s="7">
        <v>366</v>
      </c>
      <c r="H1" s="7">
        <v>365</v>
      </c>
      <c r="I1" s="7">
        <v>365</v>
      </c>
      <c r="J1" s="7">
        <v>365</v>
      </c>
      <c r="K1" s="7">
        <v>366</v>
      </c>
      <c r="L1" s="7">
        <v>365</v>
      </c>
      <c r="M1" s="7">
        <v>365</v>
      </c>
      <c r="N1" s="7">
        <v>365</v>
      </c>
      <c r="O1" s="7">
        <v>366</v>
      </c>
      <c r="P1" s="7">
        <v>365</v>
      </c>
      <c r="Q1" s="7">
        <v>365</v>
      </c>
      <c r="R1" s="7">
        <v>365</v>
      </c>
      <c r="S1" s="7">
        <v>366</v>
      </c>
      <c r="T1" s="7">
        <v>365</v>
      </c>
      <c r="U1" s="7">
        <v>365</v>
      </c>
      <c r="V1" s="7">
        <v>365</v>
      </c>
      <c r="W1" s="7">
        <v>366</v>
      </c>
      <c r="X1" s="7">
        <v>365</v>
      </c>
      <c r="Y1" s="7">
        <v>365</v>
      </c>
      <c r="Z1" s="7">
        <v>365</v>
      </c>
      <c r="AA1" s="7">
        <v>366</v>
      </c>
      <c r="AB1" s="7">
        <v>365</v>
      </c>
      <c r="AC1" s="7">
        <v>365</v>
      </c>
      <c r="AD1" s="7"/>
      <c r="AE1" s="7"/>
      <c r="AF1" s="7"/>
      <c r="AG1" s="7"/>
      <c r="AH1" s="7"/>
      <c r="AI1" s="7">
        <v>365</v>
      </c>
      <c r="AJ1" s="7">
        <v>366</v>
      </c>
      <c r="AK1" s="7">
        <v>365</v>
      </c>
    </row>
    <row r="2" spans="2:37" ht="15" x14ac:dyDescent="0.3">
      <c r="B2" s="13" t="str">
        <f>CONCATENATE("Choosen Scenario: ", Intro!C9,Intro!C10)</f>
        <v>Choosen Scenario: 2B</v>
      </c>
    </row>
    <row r="4" spans="2:37" ht="15" x14ac:dyDescent="0.3">
      <c r="B4" s="12" t="s">
        <v>86</v>
      </c>
    </row>
    <row r="5" spans="2:37" ht="15" outlineLevel="1" x14ac:dyDescent="0.3">
      <c r="B5" s="14"/>
      <c r="C5" s="15" t="s">
        <v>4</v>
      </c>
      <c r="D5" s="15">
        <v>2022</v>
      </c>
      <c r="E5" s="15">
        <f t="shared" ref="E5:AJ5" si="0">D5+1</f>
        <v>2023</v>
      </c>
      <c r="F5" s="15">
        <f t="shared" si="0"/>
        <v>2024</v>
      </c>
      <c r="G5" s="15">
        <f t="shared" si="0"/>
        <v>2025</v>
      </c>
      <c r="H5" s="15">
        <f t="shared" si="0"/>
        <v>2026</v>
      </c>
      <c r="I5" s="15">
        <f t="shared" si="0"/>
        <v>2027</v>
      </c>
      <c r="J5" s="15">
        <f t="shared" si="0"/>
        <v>2028</v>
      </c>
      <c r="K5" s="15">
        <f t="shared" si="0"/>
        <v>2029</v>
      </c>
      <c r="L5" s="15">
        <f t="shared" si="0"/>
        <v>2030</v>
      </c>
      <c r="M5" s="15">
        <f t="shared" si="0"/>
        <v>2031</v>
      </c>
      <c r="N5" s="15">
        <f t="shared" si="0"/>
        <v>2032</v>
      </c>
      <c r="O5" s="15">
        <f t="shared" si="0"/>
        <v>2033</v>
      </c>
      <c r="P5" s="15">
        <f t="shared" si="0"/>
        <v>2034</v>
      </c>
      <c r="Q5" s="15">
        <f t="shared" si="0"/>
        <v>2035</v>
      </c>
      <c r="R5" s="15">
        <f t="shared" si="0"/>
        <v>2036</v>
      </c>
      <c r="S5" s="15">
        <f t="shared" si="0"/>
        <v>2037</v>
      </c>
      <c r="T5" s="15">
        <f t="shared" si="0"/>
        <v>2038</v>
      </c>
      <c r="U5" s="15">
        <f t="shared" si="0"/>
        <v>2039</v>
      </c>
      <c r="V5" s="15">
        <f t="shared" si="0"/>
        <v>2040</v>
      </c>
      <c r="W5" s="15">
        <f t="shared" si="0"/>
        <v>2041</v>
      </c>
      <c r="X5" s="15">
        <f t="shared" si="0"/>
        <v>2042</v>
      </c>
      <c r="Y5" s="15">
        <f t="shared" si="0"/>
        <v>2043</v>
      </c>
      <c r="Z5" s="15">
        <f t="shared" si="0"/>
        <v>2044</v>
      </c>
      <c r="AA5" s="15">
        <f t="shared" si="0"/>
        <v>2045</v>
      </c>
      <c r="AB5" s="15">
        <f t="shared" si="0"/>
        <v>2046</v>
      </c>
      <c r="AC5" s="15">
        <f t="shared" si="0"/>
        <v>2047</v>
      </c>
      <c r="AD5" s="15">
        <f t="shared" si="0"/>
        <v>2048</v>
      </c>
      <c r="AE5" s="15">
        <f t="shared" si="0"/>
        <v>2049</v>
      </c>
      <c r="AF5" s="15">
        <f t="shared" si="0"/>
        <v>2050</v>
      </c>
      <c r="AG5" s="15">
        <f t="shared" si="0"/>
        <v>2051</v>
      </c>
      <c r="AH5" s="15">
        <f t="shared" si="0"/>
        <v>2052</v>
      </c>
      <c r="AI5" s="15">
        <f t="shared" si="0"/>
        <v>2053</v>
      </c>
      <c r="AJ5" s="15">
        <f t="shared" si="0"/>
        <v>2054</v>
      </c>
    </row>
    <row r="6" spans="2:37" ht="14.4" outlineLevel="1" x14ac:dyDescent="0.3">
      <c r="B6" s="5" t="s">
        <v>116</v>
      </c>
      <c r="C6" s="47" t="s">
        <v>75</v>
      </c>
      <c r="D6" s="16">
        <f>Intro!$B$25</f>
        <v>2.5000000000000001E-2</v>
      </c>
      <c r="E6" s="16">
        <f>Intro!$B$25</f>
        <v>2.5000000000000001E-2</v>
      </c>
      <c r="F6" s="16">
        <f>Intro!$B$25</f>
        <v>2.5000000000000001E-2</v>
      </c>
      <c r="G6" s="16">
        <f>Intro!$B$25</f>
        <v>2.5000000000000001E-2</v>
      </c>
      <c r="H6" s="16">
        <f>Intro!$B$25</f>
        <v>2.5000000000000001E-2</v>
      </c>
      <c r="I6" s="16">
        <f>Intro!$B$25</f>
        <v>2.5000000000000001E-2</v>
      </c>
      <c r="J6" s="16">
        <f>Intro!$B$25</f>
        <v>2.5000000000000001E-2</v>
      </c>
      <c r="K6" s="16">
        <f>Intro!$B$25</f>
        <v>2.5000000000000001E-2</v>
      </c>
      <c r="L6" s="16">
        <f>Intro!$B$25</f>
        <v>2.5000000000000001E-2</v>
      </c>
      <c r="M6" s="16">
        <f>Intro!$B$25</f>
        <v>2.5000000000000001E-2</v>
      </c>
      <c r="N6" s="16">
        <f>Intro!$B$25</f>
        <v>2.5000000000000001E-2</v>
      </c>
      <c r="O6" s="16">
        <f>Intro!$B$25</f>
        <v>2.5000000000000001E-2</v>
      </c>
      <c r="P6" s="16">
        <f>Intro!$B$25</f>
        <v>2.5000000000000001E-2</v>
      </c>
      <c r="Q6" s="16">
        <f>Intro!$B$25</f>
        <v>2.5000000000000001E-2</v>
      </c>
      <c r="R6" s="16">
        <f>Intro!$B$25</f>
        <v>2.5000000000000001E-2</v>
      </c>
      <c r="S6" s="16">
        <f>Intro!$B$25</f>
        <v>2.5000000000000001E-2</v>
      </c>
      <c r="T6" s="16">
        <f>Intro!$B$25</f>
        <v>2.5000000000000001E-2</v>
      </c>
      <c r="U6" s="16">
        <f>Intro!$B$25</f>
        <v>2.5000000000000001E-2</v>
      </c>
      <c r="V6" s="16">
        <f>Intro!$B$25</f>
        <v>2.5000000000000001E-2</v>
      </c>
      <c r="W6" s="16">
        <f>Intro!$B$25</f>
        <v>2.5000000000000001E-2</v>
      </c>
      <c r="X6" s="16">
        <f>Intro!$B$25</f>
        <v>2.5000000000000001E-2</v>
      </c>
      <c r="Y6" s="16">
        <f>Intro!$B$25</f>
        <v>2.5000000000000001E-2</v>
      </c>
      <c r="Z6" s="16">
        <f>Intro!$B$25</f>
        <v>2.5000000000000001E-2</v>
      </c>
      <c r="AA6" s="16">
        <f>Intro!$B$25</f>
        <v>2.5000000000000001E-2</v>
      </c>
      <c r="AB6" s="16">
        <f>Intro!$B$25</f>
        <v>2.5000000000000001E-2</v>
      </c>
      <c r="AC6" s="16">
        <f>Intro!$B$25</f>
        <v>2.5000000000000001E-2</v>
      </c>
      <c r="AD6" s="16">
        <f>Intro!$B$25</f>
        <v>2.5000000000000001E-2</v>
      </c>
      <c r="AE6" s="16">
        <f>Intro!$B$25</f>
        <v>2.5000000000000001E-2</v>
      </c>
      <c r="AF6" s="16">
        <f>Intro!$B$25</f>
        <v>2.5000000000000001E-2</v>
      </c>
      <c r="AG6" s="16">
        <f>Intro!$B$25</f>
        <v>2.5000000000000001E-2</v>
      </c>
      <c r="AH6" s="16">
        <f>Intro!$B$25</f>
        <v>2.5000000000000001E-2</v>
      </c>
      <c r="AI6" s="16">
        <f>Intro!$B$25</f>
        <v>2.5000000000000001E-2</v>
      </c>
      <c r="AJ6" s="16">
        <f>Intro!$B$25</f>
        <v>2.5000000000000001E-2</v>
      </c>
    </row>
    <row r="7" spans="2:37" ht="14.4" outlineLevel="1" x14ac:dyDescent="0.3">
      <c r="B7" s="5" t="s">
        <v>117</v>
      </c>
      <c r="C7" s="47" t="s">
        <v>75</v>
      </c>
      <c r="D7" s="16">
        <f>Intro!$B$24</f>
        <v>0.02</v>
      </c>
      <c r="E7" s="16">
        <f>Intro!$B$24</f>
        <v>0.02</v>
      </c>
      <c r="F7" s="16">
        <f>Intro!$B$24</f>
        <v>0.02</v>
      </c>
      <c r="G7" s="16">
        <f>Intro!$B$24</f>
        <v>0.02</v>
      </c>
      <c r="H7" s="16">
        <f>Intro!$B$24</f>
        <v>0.02</v>
      </c>
      <c r="I7" s="16">
        <f>Intro!$B$24</f>
        <v>0.02</v>
      </c>
      <c r="J7" s="16">
        <f>Intro!$B$24</f>
        <v>0.02</v>
      </c>
      <c r="K7" s="16">
        <f>Intro!$B$24</f>
        <v>0.02</v>
      </c>
      <c r="L7" s="16">
        <f>Intro!$B$24</f>
        <v>0.02</v>
      </c>
      <c r="M7" s="16">
        <f>Intro!$B$24</f>
        <v>0.02</v>
      </c>
      <c r="N7" s="16">
        <f>Intro!$B$24</f>
        <v>0.02</v>
      </c>
      <c r="O7" s="16">
        <f>Intro!$B$24</f>
        <v>0.02</v>
      </c>
      <c r="P7" s="16">
        <f>Intro!$B$24</f>
        <v>0.02</v>
      </c>
      <c r="Q7" s="16">
        <f>Intro!$B$24</f>
        <v>0.02</v>
      </c>
      <c r="R7" s="16">
        <f>Intro!$B$24</f>
        <v>0.02</v>
      </c>
      <c r="S7" s="16">
        <f>Intro!$B$24</f>
        <v>0.02</v>
      </c>
      <c r="T7" s="16">
        <f>Intro!$B$24</f>
        <v>0.02</v>
      </c>
      <c r="U7" s="16">
        <f>Intro!$B$24</f>
        <v>0.02</v>
      </c>
      <c r="V7" s="16">
        <f>Intro!$B$24</f>
        <v>0.02</v>
      </c>
      <c r="W7" s="16">
        <f>Intro!$B$24</f>
        <v>0.02</v>
      </c>
      <c r="X7" s="16">
        <f>Intro!$B$24</f>
        <v>0.02</v>
      </c>
      <c r="Y7" s="16">
        <f>Intro!$B$24</f>
        <v>0.02</v>
      </c>
      <c r="Z7" s="16">
        <f>Intro!$B$24</f>
        <v>0.02</v>
      </c>
      <c r="AA7" s="16">
        <f>Intro!$B$24</f>
        <v>0.02</v>
      </c>
      <c r="AB7" s="16">
        <f>Intro!$B$24</f>
        <v>0.02</v>
      </c>
      <c r="AC7" s="16">
        <f>Intro!$B$24</f>
        <v>0.02</v>
      </c>
      <c r="AD7" s="16">
        <f>Intro!$B$24</f>
        <v>0.02</v>
      </c>
      <c r="AE7" s="16">
        <f>Intro!$B$24</f>
        <v>0.02</v>
      </c>
      <c r="AF7" s="16">
        <f>Intro!$B$24</f>
        <v>0.02</v>
      </c>
      <c r="AG7" s="16">
        <f>Intro!$B$24</f>
        <v>0.02</v>
      </c>
      <c r="AH7" s="16">
        <f>Intro!$B$24</f>
        <v>0.02</v>
      </c>
      <c r="AI7" s="16">
        <f>Intro!$B$24</f>
        <v>0.02</v>
      </c>
      <c r="AJ7" s="16">
        <f>Intro!$B$24</f>
        <v>0.02</v>
      </c>
    </row>
    <row r="8" spans="2:37" ht="14.4" outlineLevel="1" x14ac:dyDescent="0.3">
      <c r="B8" s="5" t="s">
        <v>238</v>
      </c>
      <c r="C8" s="47" t="s">
        <v>75</v>
      </c>
      <c r="D8" s="146">
        <f>IF(D5&lt;Intro!$B$11,1,(1+Intro!$B$23)^(D5-Intro!$B$11))</f>
        <v>1</v>
      </c>
      <c r="E8" s="146">
        <f>IF(E5&lt;Intro!$B$11,1,(1+Intro!$B$23)^(E5-Intro!$B$11))</f>
        <v>1</v>
      </c>
      <c r="F8" s="146">
        <f>IF(F5&lt;Intro!$B$11,1,(1+Intro!$B$23)^(F5-Intro!$B$11))</f>
        <v>1</v>
      </c>
      <c r="G8" s="146">
        <f>IF(G5&lt;Intro!$B$11,1,(1+Intro!$B$23)^(G5-Intro!$B$11))</f>
        <v>1</v>
      </c>
      <c r="H8" s="146">
        <f>IF(H5&lt;Intro!$B$11,1,(1+Intro!$B$23)^(H5-Intro!$B$11))</f>
        <v>1.0249999999999999</v>
      </c>
      <c r="I8" s="146">
        <f>IF(I5&lt;Intro!$B$11,1,(1+Intro!$B$23)^(I5-Intro!$B$11))</f>
        <v>1.0506249999999999</v>
      </c>
      <c r="J8" s="146">
        <f>IF(J5&lt;Intro!$B$11,1,(1+Intro!$B$23)^(J5-Intro!$B$11))</f>
        <v>1.0768906249999999</v>
      </c>
      <c r="K8" s="146">
        <f>IF(K5&lt;Intro!$B$11,1,(1+Intro!$B$23)^(K5-Intro!$B$11))</f>
        <v>1.1038128906249998</v>
      </c>
      <c r="L8" s="146">
        <f>IF(L5&lt;Intro!$B$11,1,(1+Intro!$B$23)^(L5-Intro!$B$11))</f>
        <v>1.1314082128906247</v>
      </c>
      <c r="M8" s="146">
        <f>IF(M5&lt;Intro!$B$11,1,(1+Intro!$B$23)^(M5-Intro!$B$11))</f>
        <v>1.1596934182128902</v>
      </c>
      <c r="N8" s="146">
        <f>IF(N5&lt;Intro!$B$11,1,(1+Intro!$B$23)^(N5-Intro!$B$11))</f>
        <v>1.1886857536682125</v>
      </c>
      <c r="O8" s="146">
        <f>IF(O5&lt;Intro!$B$11,1,(1+Intro!$B$23)^(O5-Intro!$B$11))</f>
        <v>1.2184028975099177</v>
      </c>
      <c r="P8" s="146">
        <f>IF(P5&lt;Intro!$B$11,1,(1+Intro!$B$23)^(P5-Intro!$B$11))</f>
        <v>1.2488629699476654</v>
      </c>
      <c r="Q8" s="146">
        <f>IF(Q5&lt;Intro!$B$11,1,(1+Intro!$B$23)^(Q5-Intro!$B$11))</f>
        <v>1.2800845441963571</v>
      </c>
      <c r="R8" s="146">
        <f>IF(R5&lt;Intro!$B$11,1,(1+Intro!$B$23)^(R5-Intro!$B$11))</f>
        <v>1.312086657801266</v>
      </c>
      <c r="S8" s="146">
        <f>IF(S5&lt;Intro!$B$11,1,(1+Intro!$B$23)^(S5-Intro!$B$11))</f>
        <v>1.3448888242462975</v>
      </c>
      <c r="T8" s="146">
        <f>IF(T5&lt;Intro!$B$11,1,(1+Intro!$B$23)^(T5-Intro!$B$11))</f>
        <v>1.3785110448524549</v>
      </c>
      <c r="U8" s="146">
        <f>IF(U5&lt;Intro!$B$11,1,(1+Intro!$B$23)^(U5-Intro!$B$11))</f>
        <v>1.4129738209737661</v>
      </c>
      <c r="V8" s="146">
        <f>IF(V5&lt;Intro!$B$11,1,(1+Intro!$B$23)^(V5-Intro!$B$11))</f>
        <v>1.4482981664981105</v>
      </c>
      <c r="W8" s="146">
        <f>IF(W5&lt;Intro!$B$11,1,(1+Intro!$B$23)^(W5-Intro!$B$11))</f>
        <v>1.4845056206605631</v>
      </c>
      <c r="X8" s="146">
        <f>IF(X5&lt;Intro!$B$11,1,(1+Intro!$B$23)^(X5-Intro!$B$11))</f>
        <v>1.521618261177077</v>
      </c>
      <c r="Y8" s="146">
        <f>IF(Y5&lt;Intro!$B$11,1,(1+Intro!$B$23)^(Y5-Intro!$B$11))</f>
        <v>1.559658717706504</v>
      </c>
      <c r="Z8" s="146">
        <f>IF(Z5&lt;Intro!$B$11,1,(1+Intro!$B$23)^(Z5-Intro!$B$11))</f>
        <v>1.5986501856491666</v>
      </c>
      <c r="AA8" s="146">
        <f>IF(AA5&lt;Intro!$B$11,1,(1+Intro!$B$23)^(AA5-Intro!$B$11))</f>
        <v>1.6386164402903955</v>
      </c>
      <c r="AB8" s="146">
        <f>IF(AB5&lt;Intro!$B$11,1,(1+Intro!$B$23)^(AB5-Intro!$B$11))</f>
        <v>1.6795818512976552</v>
      </c>
      <c r="AC8" s="146">
        <f>IF(AC5&lt;Intro!$B$11,1,(1+Intro!$B$23)^(AC5-Intro!$B$11))</f>
        <v>1.7215713975800966</v>
      </c>
      <c r="AD8" s="146">
        <f>IF(AD5&lt;Intro!$B$11,1,(1+Intro!$B$23)^(AD5-Intro!$B$11))</f>
        <v>1.7646106825195991</v>
      </c>
      <c r="AE8" s="146">
        <f>IF(AE5&lt;Intro!$B$11,1,(1+Intro!$B$23)^(AE5-Intro!$B$11))</f>
        <v>1.8087259495825889</v>
      </c>
      <c r="AF8" s="146">
        <f>IF(AF5&lt;Intro!$B$11,1,(1+Intro!$B$23)^(AF5-Intro!$B$11))</f>
        <v>1.8539440983221533</v>
      </c>
      <c r="AG8" s="146">
        <f>IF(AG5&lt;Intro!$B$11,1,(1+Intro!$B$23)^(AG5-Intro!$B$11))</f>
        <v>1.9002927007802071</v>
      </c>
      <c r="AH8" s="146">
        <f>IF(AH5&lt;Intro!$B$11,1,(1+Intro!$B$23)^(AH5-Intro!$B$11))</f>
        <v>1.9478000182997122</v>
      </c>
      <c r="AI8" s="146">
        <f>IF(AI5&lt;Intro!$B$11,1,(1+Intro!$B$23)^(AI5-Intro!$B$11))</f>
        <v>1.9964950187572048</v>
      </c>
      <c r="AJ8" s="146">
        <f>IF(AJ5&lt;Intro!$B$11,1,(1+Intro!$B$23)^(AJ5-Intro!$B$11))</f>
        <v>2.0464073942261352</v>
      </c>
    </row>
    <row r="9" spans="2:37" ht="14.4" outlineLevel="1" x14ac:dyDescent="0.3">
      <c r="B9" s="5" t="s">
        <v>118</v>
      </c>
      <c r="C9" s="47" t="s">
        <v>75</v>
      </c>
      <c r="D9" s="55">
        <f>IF(D5&lt;Intro!$B$11,1,(1+D6)^(D5-Intro!$B$11))</f>
        <v>1</v>
      </c>
      <c r="E9" s="55">
        <f>IF(E5&lt;Intro!$B$11,1,(1+E6)^(E5-Intro!$B$11))</f>
        <v>1</v>
      </c>
      <c r="F9" s="55">
        <f>IF(F5&lt;Intro!$B$11,1,(1+F6)^(F5-Intro!$B$11))</f>
        <v>1</v>
      </c>
      <c r="G9" s="55">
        <f>IF(G5&lt;Intro!$B$11,1,(1+G6)^(G5-Intro!$B$11))</f>
        <v>1</v>
      </c>
      <c r="H9" s="55">
        <f>IF(H5&lt;Intro!$B$11,1,(1+H6)^(H5-Intro!$B$11))</f>
        <v>1.0249999999999999</v>
      </c>
      <c r="I9" s="55">
        <f>IF(I5&lt;Intro!$B$11,1,(1+I6)^(I5-Intro!$B$11))</f>
        <v>1.0506249999999999</v>
      </c>
      <c r="J9" s="55">
        <f>IF(J5&lt;Intro!$B$11,1,(1+J6)^(J5-Intro!$B$11))</f>
        <v>1.0768906249999999</v>
      </c>
      <c r="K9" s="55">
        <f>IF(K5&lt;Intro!$B$11,1,(1+K6)^(K5-Intro!$B$11))</f>
        <v>1.1038128906249998</v>
      </c>
      <c r="L9" s="55">
        <f>IF(L5&lt;Intro!$B$11,1,(1+L6)^(L5-Intro!$B$11))</f>
        <v>1.1314082128906247</v>
      </c>
      <c r="M9" s="55">
        <f>IF(M5&lt;Intro!$B$11,1,(1+M6)^(M5-Intro!$B$11))</f>
        <v>1.1596934182128902</v>
      </c>
      <c r="N9" s="55">
        <f>IF(N5&lt;Intro!$B$11,1,(1+N6)^(N5-Intro!$B$11))</f>
        <v>1.1886857536682125</v>
      </c>
      <c r="O9" s="55">
        <f>IF(O5&lt;Intro!$B$11,1,(1+O6)^(O5-Intro!$B$11))</f>
        <v>1.2184028975099177</v>
      </c>
      <c r="P9" s="55">
        <f>IF(P5&lt;Intro!$B$11,1,(1+P6)^(P5-Intro!$B$11))</f>
        <v>1.2488629699476654</v>
      </c>
      <c r="Q9" s="55">
        <f>IF(Q5&lt;Intro!$B$11,1,(1+Q6)^(Q5-Intro!$B$11))</f>
        <v>1.2800845441963571</v>
      </c>
      <c r="R9" s="55">
        <f>IF(R5&lt;Intro!$B$11,1,(1+R6)^(R5-Intro!$B$11))</f>
        <v>1.312086657801266</v>
      </c>
      <c r="S9" s="55">
        <f>IF(S5&lt;Intro!$B$11,1,(1+S6)^(S5-Intro!$B$11))</f>
        <v>1.3448888242462975</v>
      </c>
      <c r="T9" s="55">
        <f>IF(T5&lt;Intro!$B$11,1,(1+T6)^(T5-Intro!$B$11))</f>
        <v>1.3785110448524549</v>
      </c>
      <c r="U9" s="55">
        <f>IF(U5&lt;Intro!$B$11,1,(1+U6)^(U5-Intro!$B$11))</f>
        <v>1.4129738209737661</v>
      </c>
      <c r="V9" s="55">
        <f>IF(V5&lt;Intro!$B$11,1,(1+V6)^(V5-Intro!$B$11))</f>
        <v>1.4482981664981105</v>
      </c>
      <c r="W9" s="55">
        <f>IF(W5&lt;Intro!$B$11,1,(1+W6)^(W5-Intro!$B$11))</f>
        <v>1.4845056206605631</v>
      </c>
      <c r="X9" s="55">
        <f>IF(X5&lt;Intro!$B$11,1,(1+X6)^(X5-Intro!$B$11))</f>
        <v>1.521618261177077</v>
      </c>
      <c r="Y9" s="55">
        <f>IF(Y5&lt;Intro!$B$11,1,(1+Y6)^(Y5-Intro!$B$11))</f>
        <v>1.559658717706504</v>
      </c>
      <c r="Z9" s="55">
        <f>IF(Z5&lt;Intro!$B$11,1,(1+Z6)^(Z5-Intro!$B$11))</f>
        <v>1.5986501856491666</v>
      </c>
      <c r="AA9" s="55">
        <f>IF(AA5&lt;Intro!$B$11,1,(1+AA6)^(AA5-Intro!$B$11))</f>
        <v>1.6386164402903955</v>
      </c>
      <c r="AB9" s="55">
        <f>IF(AB5&lt;Intro!$B$11,1,(1+AB6)^(AB5-Intro!$B$11))</f>
        <v>1.6795818512976552</v>
      </c>
      <c r="AC9" s="55">
        <f>IF(AC5&lt;Intro!$B$11,1,(1+AC6)^(AC5-Intro!$B$11))</f>
        <v>1.7215713975800966</v>
      </c>
      <c r="AD9" s="55">
        <f>IF(AD5&lt;Intro!$B$11,1,(1+AD6)^(AD5-Intro!$B$11))</f>
        <v>1.7646106825195991</v>
      </c>
      <c r="AE9" s="55">
        <f>IF(AE5&lt;Intro!$B$11,1,(1+AE6)^(AE5-Intro!$B$11))</f>
        <v>1.8087259495825889</v>
      </c>
      <c r="AF9" s="55">
        <f>IF(AF5&lt;Intro!$B$11,1,(1+AF6)^(AF5-Intro!$B$11))</f>
        <v>1.8539440983221533</v>
      </c>
      <c r="AG9" s="55">
        <f>IF(AG5&lt;Intro!$B$11,1,(1+AG6)^(AG5-Intro!$B$11))</f>
        <v>1.9002927007802071</v>
      </c>
      <c r="AH9" s="55">
        <f>IF(AH5&lt;Intro!$B$11,1,(1+AH6)^(AH5-Intro!$B$11))</f>
        <v>1.9478000182997122</v>
      </c>
      <c r="AI9" s="55">
        <f>IF(AI5&lt;Intro!$B$11,1,(1+AI6)^(AI5-Intro!$B$11))</f>
        <v>1.9964950187572048</v>
      </c>
      <c r="AJ9" s="55">
        <f>IF(AJ5&lt;Intro!$B$11,1,(1+AJ6)^(AJ5-Intro!$B$11))</f>
        <v>2.0464073942261352</v>
      </c>
    </row>
    <row r="10" spans="2:37" ht="14.4" outlineLevel="1" x14ac:dyDescent="0.3">
      <c r="B10" s="5" t="s">
        <v>119</v>
      </c>
      <c r="C10" s="47" t="s">
        <v>75</v>
      </c>
      <c r="D10" s="55">
        <f>IF(D5&lt;Intro!$B$22,1,(1+D7)^(D5-Intro!$B$22))</f>
        <v>1</v>
      </c>
      <c r="E10" s="55">
        <f>IF(E5&lt;Intro!$B$22,1,(1+E7)^(E5-Intro!$B$22))</f>
        <v>1</v>
      </c>
      <c r="F10" s="55">
        <f>IF(F5&lt;Intro!$B$22,1,(1+F7)^(F5-Intro!$B$22))</f>
        <v>1</v>
      </c>
      <c r="G10" s="55">
        <f>IF(G5&lt;Intro!$B$22,1,(1+G7)^(G5-Intro!$B$22))</f>
        <v>1</v>
      </c>
      <c r="H10" s="55">
        <f>IF(H5&lt;Intro!$B$22,1,(1+H7)^(H5-Intro!$B$22))</f>
        <v>1</v>
      </c>
      <c r="I10" s="55">
        <f>IF(I5&lt;Intro!$B$22,1,(1+I7)^(I5-Intro!$B$22))</f>
        <v>1</v>
      </c>
      <c r="J10" s="55">
        <f>IF(J5&lt;Intro!$B$22,1,(1+J7)^(J5-Intro!$B$22))</f>
        <v>1</v>
      </c>
      <c r="K10" s="55">
        <f>IF(K5&lt;Intro!$B$22,1,(1+K7)^(K5-Intro!$B$22))</f>
        <v>1</v>
      </c>
      <c r="L10" s="55">
        <f>IF(L5&lt;Intro!$B$22,1,(1+L7)^(L5-Intro!$B$22))</f>
        <v>1</v>
      </c>
      <c r="M10" s="55">
        <f>IF(M5&lt;Intro!$B$22,1,(1+M7)^(M5-Intro!$B$22))</f>
        <v>1.02</v>
      </c>
      <c r="N10" s="55">
        <f>IF(N5&lt;Intro!$B$22,1,(1+N7)^(N5-Intro!$B$22))</f>
        <v>1.0404</v>
      </c>
      <c r="O10" s="55">
        <f>IF(O5&lt;Intro!$B$22,1,(1+O7)^(O5-Intro!$B$22))</f>
        <v>1.0612079999999999</v>
      </c>
      <c r="P10" s="55">
        <f>IF(P5&lt;Intro!$B$22,1,(1+P7)^(P5-Intro!$B$22))</f>
        <v>1.08243216</v>
      </c>
      <c r="Q10" s="55">
        <f>IF(Q5&lt;Intro!$B$22,1,(1+Q7)^(Q5-Intro!$B$22))</f>
        <v>1.1040808032</v>
      </c>
      <c r="R10" s="55">
        <f>IF(R5&lt;Intro!$B$22,1,(1+R7)^(R5-Intro!$B$22))</f>
        <v>1.1261624192640001</v>
      </c>
      <c r="S10" s="55">
        <f>IF(S5&lt;Intro!$B$22,1,(1+S7)^(S5-Intro!$B$22))</f>
        <v>1.1486856676492798</v>
      </c>
      <c r="T10" s="55">
        <f>IF(T5&lt;Intro!$B$22,1,(1+T7)^(T5-Intro!$B$22))</f>
        <v>1.1716593810022655</v>
      </c>
      <c r="U10" s="55">
        <f>IF(U5&lt;Intro!$B$22,1,(1+U7)^(U5-Intro!$B$22))</f>
        <v>1.1950925686223108</v>
      </c>
      <c r="V10" s="55">
        <f>IF(V5&lt;Intro!$B$22,1,(1+V7)^(V5-Intro!$B$22))</f>
        <v>1.2189944199947571</v>
      </c>
      <c r="W10" s="55">
        <f>IF(W5&lt;Intro!$B$22,1,(1+W7)^(W5-Intro!$B$22))</f>
        <v>1.243374308394652</v>
      </c>
      <c r="X10" s="55">
        <f>IF(X5&lt;Intro!$B$22,1,(1+X7)^(X5-Intro!$B$22))</f>
        <v>1.2682417945625453</v>
      </c>
      <c r="Y10" s="55">
        <f>IF(Y5&lt;Intro!$B$22,1,(1+Y7)^(Y5-Intro!$B$22))</f>
        <v>1.2936066304537961</v>
      </c>
      <c r="Z10" s="55">
        <f>IF(Z5&lt;Intro!$B$22,1,(1+Z7)^(Z5-Intro!$B$22))</f>
        <v>1.3194787630628722</v>
      </c>
      <c r="AA10" s="55">
        <f>IF(AA5&lt;Intro!$B$22,1,(1+AA7)^(AA5-Intro!$B$22))</f>
        <v>1.3458683383241292</v>
      </c>
      <c r="AB10" s="55">
        <f>IF(AB5&lt;Intro!$B$22,1,(1+AB7)^(AB5-Intro!$B$22))</f>
        <v>1.372785705090612</v>
      </c>
      <c r="AC10" s="55">
        <f>IF(AC5&lt;Intro!$B$22,1,(1+AC7)^(AC5-Intro!$B$22))</f>
        <v>1.4002414191924244</v>
      </c>
      <c r="AD10" s="55">
        <f>IF(AD5&lt;Intro!$B$22,1,(1+AD7)^(AD5-Intro!$B$22))</f>
        <v>1.4282462475762727</v>
      </c>
      <c r="AE10" s="55">
        <f>IF(AE5&lt;Intro!$B$22,1,(1+AE7)^(AE5-Intro!$B$22))</f>
        <v>1.4568111725277981</v>
      </c>
      <c r="AF10" s="55">
        <f>IF(AF5&lt;Intro!$B$22,1,(1+AF7)^(AF5-Intro!$B$22))</f>
        <v>1.4859473959783542</v>
      </c>
      <c r="AG10" s="55">
        <f>IF(AG5&lt;Intro!$B$22,1,(1+AG7)^(AG5-Intro!$B$22))</f>
        <v>1.5156663438979212</v>
      </c>
      <c r="AH10" s="55">
        <f>IF(AH5&lt;Intro!$B$22,1,(1+AH7)^(AH5-Intro!$B$22))</f>
        <v>1.5459796707758797</v>
      </c>
      <c r="AI10" s="55">
        <f>IF(AI5&lt;Intro!$B$22,1,(1+AI7)^(AI5-Intro!$B$22))</f>
        <v>1.576899264191397</v>
      </c>
      <c r="AJ10" s="55">
        <f>IF(AJ5&lt;Intro!$B$22,1,(1+AJ7)^(AJ5-Intro!$B$22))</f>
        <v>1.608437249475225</v>
      </c>
    </row>
    <row r="11" spans="2:37" ht="14.4" outlineLevel="1" x14ac:dyDescent="0.3">
      <c r="B11" s="5" t="s">
        <v>76</v>
      </c>
      <c r="C11" s="48" t="s">
        <v>75</v>
      </c>
      <c r="D11" s="62">
        <f>IF(D5&lt;Intro!$B$12,1,(1+Intro!$B$28)^(Intro!$B$12-D5))</f>
        <v>1</v>
      </c>
      <c r="E11" s="62">
        <f>IF(E5&lt;Intro!$B$12,1,(1+Intro!$B$28)^(Intro!$B$12-E5))</f>
        <v>1</v>
      </c>
      <c r="F11" s="62">
        <f>IF(F5&lt;Intro!$B$12,1,(1+Intro!$B$28)^(Intro!$B$12-F5))</f>
        <v>1</v>
      </c>
      <c r="G11" s="62">
        <f>IF(G5&lt;Intro!$B$12,1,(1+Intro!$B$28)^(Intro!$B$12-G5))</f>
        <v>1</v>
      </c>
      <c r="H11" s="62">
        <f>IF(H5&lt;Intro!$B$12,1,(1+Intro!$B$28)^(Intro!$B$12-H5))</f>
        <v>0.90909090909090906</v>
      </c>
      <c r="I11" s="62">
        <f>IF(I5&lt;Intro!$B$12,1,(1+Intro!$B$28)^(Intro!$B$12-I5))</f>
        <v>0.82644628099173545</v>
      </c>
      <c r="J11" s="62">
        <f>IF(J5&lt;Intro!$B$12,1,(1+Intro!$B$28)^(Intro!$B$12-J5))</f>
        <v>0.75131480090157754</v>
      </c>
      <c r="K11" s="62">
        <f>IF(K5&lt;Intro!$B$12,1,(1+Intro!$B$28)^(Intro!$B$12-K5))</f>
        <v>0.68301345536507052</v>
      </c>
      <c r="L11" s="62">
        <f>IF(L5&lt;Intro!$B$12,1,(1+Intro!$B$28)^(Intro!$B$12-L5))</f>
        <v>0.62092132305915493</v>
      </c>
      <c r="M11" s="62">
        <f>IF(M5&lt;Intro!$B$12,1,(1+Intro!$B$28)^(Intro!$B$12-M5))</f>
        <v>0.56447393005377722</v>
      </c>
      <c r="N11" s="62">
        <f>IF(N5&lt;Intro!$B$12,1,(1+Intro!$B$28)^(Intro!$B$12-N5))</f>
        <v>0.51315811823070645</v>
      </c>
      <c r="O11" s="62">
        <f>IF(O5&lt;Intro!$B$12,1,(1+Intro!$B$28)^(Intro!$B$12-O5))</f>
        <v>0.46650738020973315</v>
      </c>
      <c r="P11" s="62">
        <f>IF(P5&lt;Intro!$B$12,1,(1+Intro!$B$28)^(Intro!$B$12-P5))</f>
        <v>0.42409761837248466</v>
      </c>
      <c r="Q11" s="62">
        <f>IF(Q5&lt;Intro!$B$12,1,(1+Intro!$B$28)^(Intro!$B$12-Q5))</f>
        <v>0.38554328942953148</v>
      </c>
      <c r="R11" s="62">
        <f>IF(R5&lt;Intro!$B$12,1,(1+Intro!$B$28)^(Intro!$B$12-R5))</f>
        <v>0.3504938994813922</v>
      </c>
      <c r="S11" s="62">
        <f>IF(S5&lt;Intro!$B$12,1,(1+Intro!$B$28)^(Intro!$B$12-S5))</f>
        <v>0.31863081771035656</v>
      </c>
      <c r="T11" s="62">
        <f>IF(T5&lt;Intro!$B$12,1,(1+Intro!$B$28)^(Intro!$B$12-T5))</f>
        <v>0.28966437973668779</v>
      </c>
      <c r="U11" s="62">
        <f>IF(U5&lt;Intro!$B$12,1,(1+Intro!$B$28)^(Intro!$B$12-U5))</f>
        <v>0.26333125430607973</v>
      </c>
      <c r="V11" s="62">
        <f>IF(V5&lt;Intro!$B$12,1,(1+Intro!$B$28)^(Intro!$B$12-V5))</f>
        <v>0.23939204936916339</v>
      </c>
      <c r="W11" s="62">
        <f>IF(W5&lt;Intro!$B$12,1,(1+Intro!$B$28)^(Intro!$B$12-W5))</f>
        <v>0.21762913579014853</v>
      </c>
      <c r="X11" s="62">
        <f>IF(X5&lt;Intro!$B$12,1,(1+Intro!$B$28)^(Intro!$B$12-X5))</f>
        <v>0.19784466890013502</v>
      </c>
      <c r="Y11" s="62">
        <f>IF(Y5&lt;Intro!$B$12,1,(1+Intro!$B$28)^(Intro!$B$12-Y5))</f>
        <v>0.17985878990921364</v>
      </c>
      <c r="Z11" s="62">
        <f>IF(Z5&lt;Intro!$B$12,1,(1+Intro!$B$28)^(Intro!$B$12-Z5))</f>
        <v>0.16350799082655781</v>
      </c>
      <c r="AA11" s="62">
        <f>IF(AA5&lt;Intro!$B$12,1,(1+Intro!$B$28)^(Intro!$B$12-AA5))</f>
        <v>0.14864362802414349</v>
      </c>
      <c r="AB11" s="62">
        <f>IF(AB5&lt;Intro!$B$12,1,(1+Intro!$B$28)^(Intro!$B$12-AB5))</f>
        <v>0.13513057093103953</v>
      </c>
      <c r="AC11" s="62">
        <f>IF(AC5&lt;Intro!$B$12,1,(1+Intro!$B$28)^(Intro!$B$12-AC5))</f>
        <v>0.12284597357367227</v>
      </c>
      <c r="AD11" s="62">
        <f>IF(AD5&lt;Intro!$B$12,1,(1+Intro!$B$28)^(Intro!$B$12-AD5))</f>
        <v>0.11167815779424752</v>
      </c>
      <c r="AE11" s="62">
        <f>IF(AE5&lt;Intro!$B$12,1,(1+Intro!$B$28)^(Intro!$B$12-AE5))</f>
        <v>0.10152559799477048</v>
      </c>
      <c r="AF11" s="62">
        <f>IF(AF5&lt;Intro!$B$12,1,(1+Intro!$B$28)^(Intro!$B$12-AF5))</f>
        <v>9.2295998177064048E-2</v>
      </c>
      <c r="AG11" s="62">
        <f>IF(AG5&lt;Intro!$B$12,1,(1+Intro!$B$28)^(Intro!$B$12-AG5))</f>
        <v>8.3905452888240042E-2</v>
      </c>
      <c r="AH11" s="62">
        <f>IF(AH5&lt;Intro!$B$12,1,(1+Intro!$B$28)^(Intro!$B$12-AH5))</f>
        <v>7.6277684443854576E-2</v>
      </c>
      <c r="AI11" s="62">
        <f>IF(AI5&lt;Intro!$B$12,1,(1+Intro!$B$28)^(Intro!$B$12-AI5))</f>
        <v>6.9343349494413245E-2</v>
      </c>
      <c r="AJ11" s="62">
        <f>IF(AJ5&lt;Intro!$B$12,1,(1+Intro!$B$28)^(Intro!$B$12-AJ5))</f>
        <v>6.3039408631284766E-2</v>
      </c>
    </row>
    <row r="12" spans="2:37" ht="14.4" outlineLevel="1" x14ac:dyDescent="0.3">
      <c r="B12" s="5" t="s">
        <v>77</v>
      </c>
      <c r="C12" s="48" t="s">
        <v>75</v>
      </c>
      <c r="D12" s="62">
        <f>IF(D5&lt;Intro!$B$12,1,(1+Intro!$B$29)^(Intro!$B$12-D5))</f>
        <v>1</v>
      </c>
      <c r="E12" s="62">
        <f>IF(E5&lt;Intro!$B$12,1,(1+Intro!$B$29)^(Intro!$B$12-E5))</f>
        <v>1</v>
      </c>
      <c r="F12" s="62">
        <f>IF(F5&lt;Intro!$B$12,1,(1+Intro!$B$29)^(Intro!$B$12-F5))</f>
        <v>1</v>
      </c>
      <c r="G12" s="62">
        <f>IF(G5&lt;Intro!$B$12,1,(1+Intro!$B$29)^(Intro!$B$12-G5))</f>
        <v>1</v>
      </c>
      <c r="H12" s="62">
        <f>IF(H5&lt;Intro!$B$12,1,(1+Intro!$B$29)^(Intro!$B$12-H5))</f>
        <v>0.90909090909090906</v>
      </c>
      <c r="I12" s="62">
        <f>IF(I5&lt;Intro!$B$12,1,(1+Intro!$B$29)^(Intro!$B$12-I5))</f>
        <v>0.82644628099173545</v>
      </c>
      <c r="J12" s="62">
        <f>IF(J5&lt;Intro!$B$12,1,(1+Intro!$B$29)^(Intro!$B$12-J5))</f>
        <v>0.75131480090157754</v>
      </c>
      <c r="K12" s="62">
        <f>IF(K5&lt;Intro!$B$12,1,(1+Intro!$B$29)^(Intro!$B$12-K5))</f>
        <v>0.68301345536507052</v>
      </c>
      <c r="L12" s="62">
        <f>IF(L5&lt;Intro!$B$12,1,(1+Intro!$B$29)^(Intro!$B$12-L5))</f>
        <v>0.62092132305915493</v>
      </c>
      <c r="M12" s="62">
        <f>IF(M5&lt;Intro!$B$12,1,(1+Intro!$B$29)^(Intro!$B$12-M5))</f>
        <v>0.56447393005377722</v>
      </c>
      <c r="N12" s="62">
        <f>IF(N5&lt;Intro!$B$12,1,(1+Intro!$B$29)^(Intro!$B$12-N5))</f>
        <v>0.51315811823070645</v>
      </c>
      <c r="O12" s="62">
        <f>IF(O5&lt;Intro!$B$12,1,(1+Intro!$B$29)^(Intro!$B$12-O5))</f>
        <v>0.46650738020973315</v>
      </c>
      <c r="P12" s="62">
        <f>IF(P5&lt;Intro!$B$12,1,(1+Intro!$B$29)^(Intro!$B$12-P5))</f>
        <v>0.42409761837248466</v>
      </c>
      <c r="Q12" s="62">
        <f>IF(Q5&lt;Intro!$B$12,1,(1+Intro!$B$29)^(Intro!$B$12-Q5))</f>
        <v>0.38554328942953148</v>
      </c>
      <c r="R12" s="62">
        <f>IF(R5&lt;Intro!$B$12,1,(1+Intro!$B$29)^(Intro!$B$12-R5))</f>
        <v>0.3504938994813922</v>
      </c>
      <c r="S12" s="62">
        <f>IF(S5&lt;Intro!$B$12,1,(1+Intro!$B$29)^(Intro!$B$12-S5))</f>
        <v>0.31863081771035656</v>
      </c>
      <c r="T12" s="62">
        <f>IF(T5&lt;Intro!$B$12,1,(1+Intro!$B$29)^(Intro!$B$12-T5))</f>
        <v>0.28966437973668779</v>
      </c>
      <c r="U12" s="62">
        <f>IF(U5&lt;Intro!$B$12,1,(1+Intro!$B$29)^(Intro!$B$12-U5))</f>
        <v>0.26333125430607973</v>
      </c>
      <c r="V12" s="62">
        <f>IF(V5&lt;Intro!$B$12,1,(1+Intro!$B$29)^(Intro!$B$12-V5))</f>
        <v>0.23939204936916339</v>
      </c>
      <c r="W12" s="62">
        <f>IF(W5&lt;Intro!$B$12,1,(1+Intro!$B$29)^(Intro!$B$12-W5))</f>
        <v>0.21762913579014853</v>
      </c>
      <c r="X12" s="62">
        <f>IF(X5&lt;Intro!$B$12,1,(1+Intro!$B$29)^(Intro!$B$12-X5))</f>
        <v>0.19784466890013502</v>
      </c>
      <c r="Y12" s="62">
        <f>IF(Y5&lt;Intro!$B$12,1,(1+Intro!$B$29)^(Intro!$B$12-Y5))</f>
        <v>0.17985878990921364</v>
      </c>
      <c r="Z12" s="62">
        <f>IF(Z5&lt;Intro!$B$12,1,(1+Intro!$B$29)^(Intro!$B$12-Z5))</f>
        <v>0.16350799082655781</v>
      </c>
      <c r="AA12" s="62">
        <f>IF(AA5&lt;Intro!$B$12,1,(1+Intro!$B$29)^(Intro!$B$12-AA5))</f>
        <v>0.14864362802414349</v>
      </c>
      <c r="AB12" s="62">
        <f>IF(AB5&lt;Intro!$B$12,1,(1+Intro!$B$29)^(Intro!$B$12-AB5))</f>
        <v>0.13513057093103953</v>
      </c>
      <c r="AC12" s="62">
        <f>IF(AC5&lt;Intro!$B$12,1,(1+Intro!$B$29)^(Intro!$B$12-AC5))</f>
        <v>0.12284597357367227</v>
      </c>
      <c r="AD12" s="62">
        <f>IF(AD5&lt;Intro!$B$12,1,(1+Intro!$B$29)^(Intro!$B$12-AD5))</f>
        <v>0.11167815779424752</v>
      </c>
      <c r="AE12" s="62">
        <f>IF(AE5&lt;Intro!$B$12,1,(1+Intro!$B$29)^(Intro!$B$12-AE5))</f>
        <v>0.10152559799477048</v>
      </c>
      <c r="AF12" s="62">
        <f>IF(AF5&lt;Intro!$B$12,1,(1+Intro!$B$29)^(Intro!$B$12-AF5))</f>
        <v>9.2295998177064048E-2</v>
      </c>
      <c r="AG12" s="62">
        <f>IF(AG5&lt;Intro!$B$12,1,(1+Intro!$B$29)^(Intro!$B$12-AG5))</f>
        <v>8.3905452888240042E-2</v>
      </c>
      <c r="AH12" s="62">
        <f>IF(AH5&lt;Intro!$B$12,1,(1+Intro!$B$29)^(Intro!$B$12-AH5))</f>
        <v>7.6277684443854576E-2</v>
      </c>
      <c r="AI12" s="62">
        <f>IF(AI5&lt;Intro!$B$12,1,(1+Intro!$B$29)^(Intro!$B$12-AI5))</f>
        <v>6.9343349494413245E-2</v>
      </c>
      <c r="AJ12" s="62">
        <f>IF(AJ5&lt;Intro!$B$12,1,(1+Intro!$B$29)^(Intro!$B$12-AJ5))</f>
        <v>6.3039408631284766E-2</v>
      </c>
    </row>
    <row r="13" spans="2:37" ht="14.4" outlineLevel="1" x14ac:dyDescent="0.3">
      <c r="B13" s="5" t="s">
        <v>78</v>
      </c>
      <c r="C13" s="48" t="s">
        <v>75</v>
      </c>
      <c r="D13" s="62">
        <f>IF(D5&lt;Intro!$B$12,1,(1+Intro!$B$30)^(Intro!$B$12-D5))</f>
        <v>1</v>
      </c>
      <c r="E13" s="62">
        <f>IF(E5&lt;Intro!$B$12,1,(1+Intro!$B$30)^(Intro!$B$12-E5))</f>
        <v>1</v>
      </c>
      <c r="F13" s="62">
        <f>IF(F5&lt;Intro!$B$12,1,(1+Intro!$B$30)^(Intro!$B$12-F5))</f>
        <v>1</v>
      </c>
      <c r="G13" s="62">
        <f>IF(G5&lt;Intro!$B$12,1,(1+Intro!$B$30)^(Intro!$B$12-G5))</f>
        <v>1</v>
      </c>
      <c r="H13" s="62">
        <f>IF(H5&lt;Intro!$B$12,1,(1+Intro!$B$30)^(Intro!$B$12-H5))</f>
        <v>0.90909090909090906</v>
      </c>
      <c r="I13" s="62">
        <f>IF(I5&lt;Intro!$B$12,1,(1+Intro!$B$30)^(Intro!$B$12-I5))</f>
        <v>0.82644628099173545</v>
      </c>
      <c r="J13" s="62">
        <f>IF(J5&lt;Intro!$B$12,1,(1+Intro!$B$30)^(Intro!$B$12-J5))</f>
        <v>0.75131480090157754</v>
      </c>
      <c r="K13" s="62">
        <f>IF(K5&lt;Intro!$B$12,1,(1+Intro!$B$30)^(Intro!$B$12-K5))</f>
        <v>0.68301345536507052</v>
      </c>
      <c r="L13" s="62">
        <f>IF(L5&lt;Intro!$B$12,1,(1+Intro!$B$30)^(Intro!$B$12-L5))</f>
        <v>0.62092132305915493</v>
      </c>
      <c r="M13" s="62">
        <f>IF(M5&lt;Intro!$B$12,1,(1+Intro!$B$30)^(Intro!$B$12-M5))</f>
        <v>0.56447393005377722</v>
      </c>
      <c r="N13" s="62">
        <f>IF(N5&lt;Intro!$B$12,1,(1+Intro!$B$30)^(Intro!$B$12-N5))</f>
        <v>0.51315811823070645</v>
      </c>
      <c r="O13" s="62">
        <f>IF(O5&lt;Intro!$B$12,1,(1+Intro!$B$30)^(Intro!$B$12-O5))</f>
        <v>0.46650738020973315</v>
      </c>
      <c r="P13" s="62">
        <f>IF(P5&lt;Intro!$B$12,1,(1+Intro!$B$30)^(Intro!$B$12-P5))</f>
        <v>0.42409761837248466</v>
      </c>
      <c r="Q13" s="62">
        <f>IF(Q5&lt;Intro!$B$12,1,(1+Intro!$B$30)^(Intro!$B$12-Q5))</f>
        <v>0.38554328942953148</v>
      </c>
      <c r="R13" s="62">
        <f>IF(R5&lt;Intro!$B$12,1,(1+Intro!$B$30)^(Intro!$B$12-R5))</f>
        <v>0.3504938994813922</v>
      </c>
      <c r="S13" s="62">
        <f>IF(S5&lt;Intro!$B$12,1,(1+Intro!$B$30)^(Intro!$B$12-S5))</f>
        <v>0.31863081771035656</v>
      </c>
      <c r="T13" s="62">
        <f>IF(T5&lt;Intro!$B$12,1,(1+Intro!$B$30)^(Intro!$B$12-T5))</f>
        <v>0.28966437973668779</v>
      </c>
      <c r="U13" s="62">
        <f>IF(U5&lt;Intro!$B$12,1,(1+Intro!$B$30)^(Intro!$B$12-U5))</f>
        <v>0.26333125430607973</v>
      </c>
      <c r="V13" s="62">
        <f>IF(V5&lt;Intro!$B$12,1,(1+Intro!$B$30)^(Intro!$B$12-V5))</f>
        <v>0.23939204936916339</v>
      </c>
      <c r="W13" s="62">
        <f>IF(W5&lt;Intro!$B$12,1,(1+Intro!$B$30)^(Intro!$B$12-W5))</f>
        <v>0.21762913579014853</v>
      </c>
      <c r="X13" s="62">
        <f>IF(X5&lt;Intro!$B$12,1,(1+Intro!$B$30)^(Intro!$B$12-X5))</f>
        <v>0.19784466890013502</v>
      </c>
      <c r="Y13" s="62">
        <f>IF(Y5&lt;Intro!$B$12,1,(1+Intro!$B$30)^(Intro!$B$12-Y5))</f>
        <v>0.17985878990921364</v>
      </c>
      <c r="Z13" s="62">
        <f>IF(Z5&lt;Intro!$B$12,1,(1+Intro!$B$30)^(Intro!$B$12-Z5))</f>
        <v>0.16350799082655781</v>
      </c>
      <c r="AA13" s="62">
        <f>IF(AA5&lt;Intro!$B$12,1,(1+Intro!$B$30)^(Intro!$B$12-AA5))</f>
        <v>0.14864362802414349</v>
      </c>
      <c r="AB13" s="62">
        <f>IF(AB5&lt;Intro!$B$12,1,(1+Intro!$B$30)^(Intro!$B$12-AB5))</f>
        <v>0.13513057093103953</v>
      </c>
      <c r="AC13" s="62">
        <f>IF(AC5&lt;Intro!$B$12,1,(1+Intro!$B$30)^(Intro!$B$12-AC5))</f>
        <v>0.12284597357367227</v>
      </c>
      <c r="AD13" s="62">
        <f>IF(AD5&lt;Intro!$B$12,1,(1+Intro!$B$30)^(Intro!$B$12-AD5))</f>
        <v>0.11167815779424752</v>
      </c>
      <c r="AE13" s="62">
        <f>IF(AE5&lt;Intro!$B$12,1,(1+Intro!$B$30)^(Intro!$B$12-AE5))</f>
        <v>0.10152559799477048</v>
      </c>
      <c r="AF13" s="62">
        <f>IF(AF5&lt;Intro!$B$12,1,(1+Intro!$B$30)^(Intro!$B$12-AF5))</f>
        <v>9.2295998177064048E-2</v>
      </c>
      <c r="AG13" s="62">
        <f>IF(AG5&lt;Intro!$B$12,1,(1+Intro!$B$30)^(Intro!$B$12-AG5))</f>
        <v>8.3905452888240042E-2</v>
      </c>
      <c r="AH13" s="62">
        <f>IF(AH5&lt;Intro!$B$12,1,(1+Intro!$B$30)^(Intro!$B$12-AH5))</f>
        <v>7.6277684443854576E-2</v>
      </c>
      <c r="AI13" s="62">
        <f>IF(AI5&lt;Intro!$B$12,1,(1+Intro!$B$30)^(Intro!$B$12-AI5))</f>
        <v>6.9343349494413245E-2</v>
      </c>
      <c r="AJ13" s="62">
        <f>IF(AJ5&lt;Intro!$B$12,1,(1+Intro!$B$30)^(Intro!$B$12-AJ5))</f>
        <v>6.3039408631284766E-2</v>
      </c>
    </row>
    <row r="14" spans="2:37" ht="14.4" outlineLevel="1" x14ac:dyDescent="0.3">
      <c r="B14" s="5" t="s">
        <v>79</v>
      </c>
      <c r="C14" s="48" t="s">
        <v>75</v>
      </c>
      <c r="D14" s="62">
        <f>IF(D5&lt;Intro!$B$12,1,(1+Intro!$B$31)^(Intro!$B$12-D5))</f>
        <v>1</v>
      </c>
      <c r="E14" s="62">
        <f>IF(E5&lt;Intro!$B$12,1,(1+Intro!$B$31)^(Intro!$B$12-E5))</f>
        <v>1</v>
      </c>
      <c r="F14" s="62">
        <f>IF(F5&lt;Intro!$B$12,1,(1+Intro!$B$31)^(Intro!$B$12-F5))</f>
        <v>1</v>
      </c>
      <c r="G14" s="62">
        <f>IF(G5&lt;Intro!$B$12,1,(1+Intro!$B$31)^(Intro!$B$12-G5))</f>
        <v>1</v>
      </c>
      <c r="H14" s="62">
        <f>IF(H5&lt;Intro!$B$12,1,(1+Intro!$B$31)^(Intro!$B$12-H5))</f>
        <v>0.90909090909090906</v>
      </c>
      <c r="I14" s="62">
        <f>IF(I5&lt;Intro!$B$12,1,(1+Intro!$B$31)^(Intro!$B$12-I5))</f>
        <v>0.82644628099173545</v>
      </c>
      <c r="J14" s="62">
        <f>IF(J5&lt;Intro!$B$12,1,(1+Intro!$B$31)^(Intro!$B$12-J5))</f>
        <v>0.75131480090157754</v>
      </c>
      <c r="K14" s="62">
        <f>IF(K5&lt;Intro!$B$12,1,(1+Intro!$B$31)^(Intro!$B$12-K5))</f>
        <v>0.68301345536507052</v>
      </c>
      <c r="L14" s="62">
        <f>IF(L5&lt;Intro!$B$12,1,(1+Intro!$B$31)^(Intro!$B$12-L5))</f>
        <v>0.62092132305915493</v>
      </c>
      <c r="M14" s="62">
        <f>IF(M5&lt;Intro!$B$12,1,(1+Intro!$B$31)^(Intro!$B$12-M5))</f>
        <v>0.56447393005377722</v>
      </c>
      <c r="N14" s="62">
        <f>IF(N5&lt;Intro!$B$12,1,(1+Intro!$B$31)^(Intro!$B$12-N5))</f>
        <v>0.51315811823070645</v>
      </c>
      <c r="O14" s="62">
        <f>IF(O5&lt;Intro!$B$12,1,(1+Intro!$B$31)^(Intro!$B$12-O5))</f>
        <v>0.46650738020973315</v>
      </c>
      <c r="P14" s="62">
        <f>IF(P5&lt;Intro!$B$12,1,(1+Intro!$B$31)^(Intro!$B$12-P5))</f>
        <v>0.42409761837248466</v>
      </c>
      <c r="Q14" s="62">
        <f>IF(Q5&lt;Intro!$B$12,1,(1+Intro!$B$31)^(Intro!$B$12-Q5))</f>
        <v>0.38554328942953148</v>
      </c>
      <c r="R14" s="62">
        <f>IF(R5&lt;Intro!$B$12,1,(1+Intro!$B$31)^(Intro!$B$12-R5))</f>
        <v>0.3504938994813922</v>
      </c>
      <c r="S14" s="62">
        <f>IF(S5&lt;Intro!$B$12,1,(1+Intro!$B$31)^(Intro!$B$12-S5))</f>
        <v>0.31863081771035656</v>
      </c>
      <c r="T14" s="62">
        <f>IF(T5&lt;Intro!$B$12,1,(1+Intro!$B$31)^(Intro!$B$12-T5))</f>
        <v>0.28966437973668779</v>
      </c>
      <c r="U14" s="62">
        <f>IF(U5&lt;Intro!$B$12,1,(1+Intro!$B$31)^(Intro!$B$12-U5))</f>
        <v>0.26333125430607973</v>
      </c>
      <c r="V14" s="62">
        <f>IF(V5&lt;Intro!$B$12,1,(1+Intro!$B$31)^(Intro!$B$12-V5))</f>
        <v>0.23939204936916339</v>
      </c>
      <c r="W14" s="62">
        <f>IF(W5&lt;Intro!$B$12,1,(1+Intro!$B$31)^(Intro!$B$12-W5))</f>
        <v>0.21762913579014853</v>
      </c>
      <c r="X14" s="62">
        <f>IF(X5&lt;Intro!$B$12,1,(1+Intro!$B$31)^(Intro!$B$12-X5))</f>
        <v>0.19784466890013502</v>
      </c>
      <c r="Y14" s="62">
        <f>IF(Y5&lt;Intro!$B$12,1,(1+Intro!$B$31)^(Intro!$B$12-Y5))</f>
        <v>0.17985878990921364</v>
      </c>
      <c r="Z14" s="62">
        <f>IF(Z5&lt;Intro!$B$12,1,(1+Intro!$B$31)^(Intro!$B$12-Z5))</f>
        <v>0.16350799082655781</v>
      </c>
      <c r="AA14" s="62">
        <f>IF(AA5&lt;Intro!$B$12,1,(1+Intro!$B$31)^(Intro!$B$12-AA5))</f>
        <v>0.14864362802414349</v>
      </c>
      <c r="AB14" s="62">
        <f>IF(AB5&lt;Intro!$B$12,1,(1+Intro!$B$31)^(Intro!$B$12-AB5))</f>
        <v>0.13513057093103953</v>
      </c>
      <c r="AC14" s="62">
        <f>IF(AC5&lt;Intro!$B$12,1,(1+Intro!$B$31)^(Intro!$B$12-AC5))</f>
        <v>0.12284597357367227</v>
      </c>
      <c r="AD14" s="62">
        <f>IF(AD5&lt;Intro!$B$12,1,(1+Intro!$B$31)^(Intro!$B$12-AD5))</f>
        <v>0.11167815779424752</v>
      </c>
      <c r="AE14" s="62">
        <f>IF(AE5&lt;Intro!$B$12,1,(1+Intro!$B$31)^(Intro!$B$12-AE5))</f>
        <v>0.10152559799477048</v>
      </c>
      <c r="AF14" s="62">
        <f>IF(AF5&lt;Intro!$B$12,1,(1+Intro!$B$31)^(Intro!$B$12-AF5))</f>
        <v>9.2295998177064048E-2</v>
      </c>
      <c r="AG14" s="62">
        <f>IF(AG5&lt;Intro!$B$12,1,(1+Intro!$B$31)^(Intro!$B$12-AG5))</f>
        <v>8.3905452888240042E-2</v>
      </c>
      <c r="AH14" s="62">
        <f>IF(AH5&lt;Intro!$B$12,1,(1+Intro!$B$31)^(Intro!$B$12-AH5))</f>
        <v>7.6277684443854576E-2</v>
      </c>
      <c r="AI14" s="62">
        <f>IF(AI5&lt;Intro!$B$12,1,(1+Intro!$B$31)^(Intro!$B$12-AI5))</f>
        <v>6.9343349494413245E-2</v>
      </c>
      <c r="AJ14" s="62">
        <f>IF(AJ5&lt;Intro!$B$12,1,(1+Intro!$B$31)^(Intro!$B$12-AJ5))</f>
        <v>6.3039408631284766E-2</v>
      </c>
    </row>
    <row r="15" spans="2:37" ht="14.4" outlineLevel="1" x14ac:dyDescent="0.3">
      <c r="B15" s="5"/>
      <c r="C15" s="4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</row>
    <row r="16" spans="2:37" ht="14.4" outlineLevel="1" x14ac:dyDescent="0.3">
      <c r="B16" s="5" t="s">
        <v>80</v>
      </c>
      <c r="C16" s="47" t="s">
        <v>84</v>
      </c>
      <c r="D16" s="18">
        <f>IF(Intro!$C$14="real",Intro!$B$14,Intro!$B$14*D9)</f>
        <v>70</v>
      </c>
      <c r="E16" s="18">
        <f>IF(Intro!$C$14="real",Intro!$B$14,Intro!$B$14*E9)</f>
        <v>70</v>
      </c>
      <c r="F16" s="18">
        <f>IF(Intro!$C$14="real",Intro!$B$14,Intro!$B$14*F9)</f>
        <v>70</v>
      </c>
      <c r="G16" s="18">
        <f>IF(Intro!$C$14="real",Intro!$B$14,Intro!$B$14*G9)</f>
        <v>70</v>
      </c>
      <c r="H16" s="18">
        <f>IF(Intro!$C$14="real",Intro!$B$14,Intro!$B$14*H9)</f>
        <v>71.75</v>
      </c>
      <c r="I16" s="18">
        <f>IF(Intro!$C$14="real",Intro!$B$14,Intro!$B$14*I9)</f>
        <v>73.543749999999989</v>
      </c>
      <c r="J16" s="18">
        <f>IF(Intro!$C$14="real",Intro!$B$14,Intro!$B$14*J9)</f>
        <v>75.38234374999999</v>
      </c>
      <c r="K16" s="18">
        <f>IF(Intro!$C$14="real",Intro!$B$14,Intro!$B$14*K9)</f>
        <v>77.26690234374999</v>
      </c>
      <c r="L16" s="18">
        <f>IF(Intro!$C$14="real",Intro!$B$14,Intro!$B$14*L9)</f>
        <v>79.198574902343722</v>
      </c>
      <c r="M16" s="18">
        <f>IF(Intro!$C$14="real",Intro!$B$14,Intro!$B$14*M9)</f>
        <v>81.178539274902306</v>
      </c>
      <c r="N16" s="18">
        <f>IF(Intro!$C$14="real",Intro!$B$14,Intro!$B$14*N9)</f>
        <v>83.208002756774874</v>
      </c>
      <c r="O16" s="18">
        <f>IF(Intro!$C$14="real",Intro!$B$14,Intro!$B$14*O9)</f>
        <v>85.288202825694242</v>
      </c>
      <c r="P16" s="18">
        <f>IF(Intro!$C$14="real",Intro!$B$14,Intro!$B$14*P9)</f>
        <v>87.420407896336584</v>
      </c>
      <c r="Q16" s="18">
        <f>IF(Intro!$C$14="real",Intro!$B$14,Intro!$B$14*Q9)</f>
        <v>89.60591809374499</v>
      </c>
      <c r="R16" s="18">
        <f>IF(Intro!$C$14="real",Intro!$B$14,Intro!$B$14*R9)</f>
        <v>91.846066046088623</v>
      </c>
      <c r="S16" s="18">
        <f>IF(Intro!$C$14="real",Intro!$B$14,Intro!$B$14*S9)</f>
        <v>94.142217697240824</v>
      </c>
      <c r="T16" s="18">
        <f>IF(Intro!$C$14="real",Intro!$B$14,Intro!$B$14*T9)</f>
        <v>96.49577313967184</v>
      </c>
      <c r="U16" s="18">
        <f>IF(Intro!$C$14="real",Intro!$B$14,Intro!$B$14*U9)</f>
        <v>98.908167468163626</v>
      </c>
      <c r="V16" s="18">
        <f>IF(Intro!$C$14="real",Intro!$B$14,Intro!$B$14*V9)</f>
        <v>101.38087165486773</v>
      </c>
      <c r="W16" s="18">
        <f>IF(Intro!$C$14="real",Intro!$B$14,Intro!$B$14*W9)</f>
        <v>103.91539344623942</v>
      </c>
      <c r="X16" s="18">
        <f>IF(Intro!$C$14="real",Intro!$B$14,Intro!$B$14*X9)</f>
        <v>106.51327828239539</v>
      </c>
      <c r="Y16" s="18">
        <f>IF(Intro!$C$14="real",Intro!$B$14,Intro!$B$14*Y9)</f>
        <v>109.17611023945528</v>
      </c>
      <c r="Z16" s="18">
        <f>IF(Intro!$C$14="real",Intro!$B$14,Intro!$B$14*Z9)</f>
        <v>111.90551299544167</v>
      </c>
      <c r="AA16" s="18">
        <f>IF(Intro!$C$14="real",Intro!$B$14,Intro!$B$14*AA9)</f>
        <v>114.70315082032769</v>
      </c>
      <c r="AB16" s="18">
        <f>IF(Intro!$C$14="real",Intro!$B$14,Intro!$B$14*AB9)</f>
        <v>117.57072959083587</v>
      </c>
      <c r="AC16" s="18">
        <f>IF(Intro!$C$14="real",Intro!$B$14,Intro!$B$14*AC9)</f>
        <v>120.50999783060676</v>
      </c>
      <c r="AD16" s="18">
        <f>IF(Intro!$C$14="real",Intro!$B$14,Intro!$B$14*AD9)</f>
        <v>123.52274777637193</v>
      </c>
      <c r="AE16" s="18">
        <f>IF(Intro!$C$14="real",Intro!$B$14,Intro!$B$14*AE9)</f>
        <v>126.61081647078123</v>
      </c>
      <c r="AF16" s="18">
        <f>IF(Intro!$C$14="real",Intro!$B$14,Intro!$B$14*AF9)</f>
        <v>129.77608688255074</v>
      </c>
      <c r="AG16" s="18">
        <f>IF(Intro!$C$14="real",Intro!$B$14,Intro!$B$14*AG9)</f>
        <v>133.0204890546145</v>
      </c>
      <c r="AH16" s="18">
        <f>IF(Intro!$C$14="real",Intro!$B$14,Intro!$B$14*AH9)</f>
        <v>136.34600128097986</v>
      </c>
      <c r="AI16" s="18">
        <f>IF(Intro!$C$14="real",Intro!$B$14,Intro!$B$14*AI9)</f>
        <v>139.75465131300433</v>
      </c>
      <c r="AJ16" s="18">
        <f>IF(Intro!$C$14="real",Intro!$B$14,Intro!$B$14*AJ9)</f>
        <v>143.24851759582947</v>
      </c>
    </row>
    <row r="17" spans="2:37" ht="14.4" outlineLevel="1" x14ac:dyDescent="0.3">
      <c r="B17" s="5" t="s">
        <v>81</v>
      </c>
      <c r="C17" s="47" t="s">
        <v>85</v>
      </c>
      <c r="D17" s="18">
        <f>IF(Intro!$C$16="real",Intro!$B$16,Intro!$B$16*D10)</f>
        <v>120</v>
      </c>
      <c r="E17" s="18">
        <f>IF(Intro!$C$16="real",Intro!$B$16,Intro!$B$16*E10)</f>
        <v>120</v>
      </c>
      <c r="F17" s="18">
        <f>IF(Intro!$C$16="real",Intro!$B$16,Intro!$B$16*F10)</f>
        <v>120</v>
      </c>
      <c r="G17" s="18">
        <f>IF(Intro!$C$16="real",Intro!$B$16,Intro!$B$16*G10)</f>
        <v>120</v>
      </c>
      <c r="H17" s="18">
        <f>IF(Intro!$C$16="real",Intro!$B$16,Intro!$B$16*H10)</f>
        <v>120</v>
      </c>
      <c r="I17" s="18">
        <f>IF(Intro!$C$16="real",Intro!$B$16,Intro!$B$16*I10)</f>
        <v>120</v>
      </c>
      <c r="J17" s="18">
        <f>IF(Intro!$C$16="real",Intro!$B$16,Intro!$B$16*J10)</f>
        <v>120</v>
      </c>
      <c r="K17" s="18">
        <f>IF(Intro!$C$16="real",Intro!$B$16,Intro!$B$16*K10)</f>
        <v>120</v>
      </c>
      <c r="L17" s="18">
        <f>IF(Intro!$C$16="real",Intro!$B$16,Intro!$B$16*L10)</f>
        <v>120</v>
      </c>
      <c r="M17" s="18">
        <f>IF(Intro!$C$16="real",Intro!$B$16,Intro!$B$16*M10)</f>
        <v>122.4</v>
      </c>
      <c r="N17" s="18">
        <f>IF(Intro!$C$16="real",Intro!$B$16,Intro!$B$16*N10)</f>
        <v>124.848</v>
      </c>
      <c r="O17" s="18">
        <f>IF(Intro!$C$16="real",Intro!$B$16,Intro!$B$16*O10)</f>
        <v>127.34495999999999</v>
      </c>
      <c r="P17" s="18">
        <f>IF(Intro!$C$16="real",Intro!$B$16,Intro!$B$16*P10)</f>
        <v>129.8918592</v>
      </c>
      <c r="Q17" s="18">
        <f>IF(Intro!$C$16="real",Intro!$B$16,Intro!$B$16*Q10)</f>
        <v>132.48969638400001</v>
      </c>
      <c r="R17" s="18">
        <f>IF(Intro!$C$16="real",Intro!$B$16,Intro!$B$16*R10)</f>
        <v>135.13949031168002</v>
      </c>
      <c r="S17" s="18">
        <f>IF(Intro!$C$16="real",Intro!$B$16,Intro!$B$16*S10)</f>
        <v>137.84228011791359</v>
      </c>
      <c r="T17" s="18">
        <f>IF(Intro!$C$16="real",Intro!$B$16,Intro!$B$16*T10)</f>
        <v>140.59912572027187</v>
      </c>
      <c r="U17" s="18">
        <f>IF(Intro!$C$16="real",Intro!$B$16,Intro!$B$16*U10)</f>
        <v>143.4111082346773</v>
      </c>
      <c r="V17" s="18">
        <f>IF(Intro!$C$16="real",Intro!$B$16,Intro!$B$16*V10)</f>
        <v>146.27933039937085</v>
      </c>
      <c r="W17" s="18">
        <f>IF(Intro!$C$16="real",Intro!$B$16,Intro!$B$16*W10)</f>
        <v>149.20491700735823</v>
      </c>
      <c r="X17" s="18">
        <f>IF(Intro!$C$16="real",Intro!$B$16,Intro!$B$16*X10)</f>
        <v>152.18901534750543</v>
      </c>
      <c r="Y17" s="18">
        <f>IF(Intro!$C$16="real",Intro!$B$16,Intro!$B$16*Y10)</f>
        <v>155.23279565445554</v>
      </c>
      <c r="Z17" s="18">
        <f>IF(Intro!$C$16="real",Intro!$B$16,Intro!$B$16*Z10)</f>
        <v>158.33745156754466</v>
      </c>
      <c r="AA17" s="18">
        <f>IF(Intro!$C$16="real",Intro!$B$16,Intro!$B$16*AA10)</f>
        <v>161.50420059889549</v>
      </c>
      <c r="AB17" s="18">
        <f>IF(Intro!$C$16="real",Intro!$B$16,Intro!$B$16*AB10)</f>
        <v>164.73428461087343</v>
      </c>
      <c r="AC17" s="18">
        <f>IF(Intro!$C$16="real",Intro!$B$16,Intro!$B$16*AC10)</f>
        <v>168.02897030309092</v>
      </c>
      <c r="AD17" s="18">
        <f>IF(Intro!$C$16="real",Intro!$B$16,Intro!$B$16*AD10)</f>
        <v>171.38954970915273</v>
      </c>
      <c r="AE17" s="18">
        <f>IF(Intro!$C$16="real",Intro!$B$16,Intro!$B$16*AE10)</f>
        <v>174.81734070333579</v>
      </c>
      <c r="AF17" s="18">
        <f>IF(Intro!$C$16="real",Intro!$B$16,Intro!$B$16*AF10)</f>
        <v>178.31368751740251</v>
      </c>
      <c r="AG17" s="18">
        <f>IF(Intro!$C$16="real",Intro!$B$16,Intro!$B$16*AG10)</f>
        <v>181.87996126775056</v>
      </c>
      <c r="AH17" s="18">
        <f>IF(Intro!$C$16="real",Intro!$B$16,Intro!$B$16*AH10)</f>
        <v>185.51756049310558</v>
      </c>
      <c r="AI17" s="18">
        <f>IF(Intro!$C$16="real",Intro!$B$16,Intro!$B$16*AI10)</f>
        <v>189.22791170296765</v>
      </c>
      <c r="AJ17" s="18">
        <f>IF(Intro!$C$16="real",Intro!$B$16,Intro!$B$16*AJ10)</f>
        <v>193.01246993702699</v>
      </c>
    </row>
    <row r="18" spans="2:37" ht="14.4" outlineLevel="1" x14ac:dyDescent="0.3">
      <c r="B18" s="5"/>
      <c r="C18" s="4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2:37" ht="14.4" outlineLevel="1" x14ac:dyDescent="0.3">
      <c r="B19" s="5" t="s">
        <v>82</v>
      </c>
      <c r="C19" s="47" t="s">
        <v>84</v>
      </c>
      <c r="D19" s="18">
        <f>IF(Intro!$C$15="real",Intro!$B$15,Intro!$B$15*D9)</f>
        <v>3</v>
      </c>
      <c r="E19" s="18">
        <f>IF(Intro!$C$15="real",Intro!$B$15,Intro!$B$15*E9)</f>
        <v>3</v>
      </c>
      <c r="F19" s="18">
        <f>IF(Intro!$C$15="real",Intro!$B$15,Intro!$B$15*F9)</f>
        <v>3</v>
      </c>
      <c r="G19" s="18">
        <f>IF(Intro!$C$15="real",Intro!$B$15,Intro!$B$15*G9)</f>
        <v>3</v>
      </c>
      <c r="H19" s="18">
        <f>IF(Intro!$C$15="real",Intro!$B$15,Intro!$B$15*H9)</f>
        <v>3.0749999999999997</v>
      </c>
      <c r="I19" s="18">
        <f>IF(Intro!$C$15="real",Intro!$B$15,Intro!$B$15*I9)</f>
        <v>3.1518749999999995</v>
      </c>
      <c r="J19" s="18">
        <f>IF(Intro!$C$15="real",Intro!$B$15,Intro!$B$15*J9)</f>
        <v>3.2306718749999996</v>
      </c>
      <c r="K19" s="18">
        <f>IF(Intro!$C$15="real",Intro!$B$15,Intro!$B$15*K9)</f>
        <v>3.3114386718749991</v>
      </c>
      <c r="L19" s="18">
        <f>IF(Intro!$C$15="real",Intro!$B$15,Intro!$B$15*L9)</f>
        <v>3.394224638671874</v>
      </c>
      <c r="M19" s="18">
        <f>IF(Intro!$C$15="real",Intro!$B$15,Intro!$B$15*M9)</f>
        <v>3.4790802546386708</v>
      </c>
      <c r="N19" s="18">
        <f>IF(Intro!$C$15="real",Intro!$B$15,Intro!$B$15*N9)</f>
        <v>3.5660572610046373</v>
      </c>
      <c r="O19" s="18">
        <f>IF(Intro!$C$15="real",Intro!$B$15,Intro!$B$15*O9)</f>
        <v>3.6552086925297531</v>
      </c>
      <c r="P19" s="18">
        <f>IF(Intro!$C$15="real",Intro!$B$15,Intro!$B$15*P9)</f>
        <v>3.7465889098429965</v>
      </c>
      <c r="Q19" s="18">
        <f>IF(Intro!$C$15="real",Intro!$B$15,Intro!$B$15*Q9)</f>
        <v>3.8402536325890715</v>
      </c>
      <c r="R19" s="18">
        <f>IF(Intro!$C$15="real",Intro!$B$15,Intro!$B$15*R9)</f>
        <v>3.9362599734037982</v>
      </c>
      <c r="S19" s="18">
        <f>IF(Intro!$C$15="real",Intro!$B$15,Intro!$B$15*S9)</f>
        <v>4.034666472738893</v>
      </c>
      <c r="T19" s="18">
        <f>IF(Intro!$C$15="real",Intro!$B$15,Intro!$B$15*T9)</f>
        <v>4.1355331345573649</v>
      </c>
      <c r="U19" s="18">
        <f>IF(Intro!$C$15="real",Intro!$B$15,Intro!$B$15*U9)</f>
        <v>4.2389214629212981</v>
      </c>
      <c r="V19" s="18">
        <f>IF(Intro!$C$15="real",Intro!$B$15,Intro!$B$15*V9)</f>
        <v>4.3448944994943313</v>
      </c>
      <c r="W19" s="18">
        <f>IF(Intro!$C$15="real",Intro!$B$15,Intro!$B$15*W9)</f>
        <v>4.4535168619816892</v>
      </c>
      <c r="X19" s="18">
        <f>IF(Intro!$C$15="real",Intro!$B$15,Intro!$B$15*X9)</f>
        <v>4.5648547835312314</v>
      </c>
      <c r="Y19" s="18">
        <f>IF(Intro!$C$15="real",Intro!$B$15,Intro!$B$15*Y9)</f>
        <v>4.6789761531195122</v>
      </c>
      <c r="Z19" s="18">
        <f>IF(Intro!$C$15="real",Intro!$B$15,Intro!$B$15*Z9)</f>
        <v>4.7959505569475001</v>
      </c>
      <c r="AA19" s="18">
        <f>IF(Intro!$C$15="real",Intro!$B$15,Intro!$B$15*AA9)</f>
        <v>4.9158493208711871</v>
      </c>
      <c r="AB19" s="18">
        <f>IF(Intro!$C$15="real",Intro!$B$15,Intro!$B$15*AB9)</f>
        <v>5.0387455538929657</v>
      </c>
      <c r="AC19" s="18">
        <f>IF(Intro!$C$15="real",Intro!$B$15,Intro!$B$15*AC9)</f>
        <v>5.1647141927402895</v>
      </c>
      <c r="AD19" s="18">
        <f>IF(Intro!$C$15="real",Intro!$B$15,Intro!$B$15*AD9)</f>
        <v>5.293832047558797</v>
      </c>
      <c r="AE19" s="18">
        <f>IF(Intro!$C$15="real",Intro!$B$15,Intro!$B$15*AE9)</f>
        <v>5.4261778487477663</v>
      </c>
      <c r="AF19" s="18">
        <f>IF(Intro!$C$15="real",Intro!$B$15,Intro!$B$15*AF9)</f>
        <v>5.56183229496646</v>
      </c>
      <c r="AG19" s="18">
        <f>IF(Intro!$C$15="real",Intro!$B$15,Intro!$B$15*AG9)</f>
        <v>5.7008781023406208</v>
      </c>
      <c r="AH19" s="18">
        <f>IF(Intro!$C$15="real",Intro!$B$15,Intro!$B$15*AH9)</f>
        <v>5.8434000548991367</v>
      </c>
      <c r="AI19" s="18">
        <f>IF(Intro!$C$15="real",Intro!$B$15,Intro!$B$15*AI9)</f>
        <v>5.9894850562716142</v>
      </c>
      <c r="AJ19" s="18">
        <f>IF(Intro!$C$15="real",Intro!$B$15,Intro!$B$15*AJ9)</f>
        <v>6.1392221826784059</v>
      </c>
    </row>
    <row r="20" spans="2:37" ht="14.4" outlineLevel="1" x14ac:dyDescent="0.3">
      <c r="B20" s="5" t="s">
        <v>83</v>
      </c>
      <c r="C20" s="47" t="s">
        <v>85</v>
      </c>
      <c r="D20" s="18">
        <f>Intro!$B$17*D10</f>
        <v>0</v>
      </c>
      <c r="E20" s="18">
        <f>Intro!$B$17*E10</f>
        <v>0</v>
      </c>
      <c r="F20" s="18">
        <f>Intro!$B$17*F10</f>
        <v>0</v>
      </c>
      <c r="G20" s="18">
        <f>Intro!$B$17*G10</f>
        <v>0</v>
      </c>
      <c r="H20" s="18">
        <f>Intro!$B$17*H10</f>
        <v>0</v>
      </c>
      <c r="I20" s="18">
        <f>Intro!$B$17*I10</f>
        <v>0</v>
      </c>
      <c r="J20" s="18">
        <f>Intro!$B$17*J10</f>
        <v>0</v>
      </c>
      <c r="K20" s="18">
        <f>Intro!$B$17*K10</f>
        <v>0</v>
      </c>
      <c r="L20" s="18">
        <f>Intro!$B$17*L10</f>
        <v>0</v>
      </c>
      <c r="M20" s="18">
        <f>Intro!$B$17*M10</f>
        <v>0</v>
      </c>
      <c r="N20" s="18">
        <f>Intro!$B$17*N10</f>
        <v>0</v>
      </c>
      <c r="O20" s="18">
        <f>Intro!$B$17*O10</f>
        <v>0</v>
      </c>
      <c r="P20" s="18">
        <f>Intro!$B$17*P10</f>
        <v>0</v>
      </c>
      <c r="Q20" s="18">
        <f>Intro!$B$17*Q10</f>
        <v>0</v>
      </c>
      <c r="R20" s="18">
        <f>Intro!$B$17*R10</f>
        <v>0</v>
      </c>
      <c r="S20" s="18">
        <f>Intro!$B$17*S10</f>
        <v>0</v>
      </c>
      <c r="T20" s="18">
        <f>Intro!$B$17*T10</f>
        <v>0</v>
      </c>
      <c r="U20" s="18">
        <f>Intro!$B$17*U10</f>
        <v>0</v>
      </c>
      <c r="V20" s="18">
        <f>Intro!$B$17*V10</f>
        <v>0</v>
      </c>
      <c r="W20" s="18">
        <f>Intro!$B$17*W10</f>
        <v>0</v>
      </c>
      <c r="X20" s="18">
        <f>Intro!$B$17*X10</f>
        <v>0</v>
      </c>
      <c r="Y20" s="18">
        <f>Intro!$B$17*Y10</f>
        <v>0</v>
      </c>
      <c r="Z20" s="18">
        <f>Intro!$B$17*Z10</f>
        <v>0</v>
      </c>
      <c r="AA20" s="18">
        <f>Intro!$B$17*AA10</f>
        <v>0</v>
      </c>
      <c r="AB20" s="18">
        <f>Intro!$B$17*AB10</f>
        <v>0</v>
      </c>
      <c r="AC20" s="18">
        <f>Intro!$B$17*AC10</f>
        <v>0</v>
      </c>
      <c r="AD20" s="18">
        <f>Intro!$B$17*AD10</f>
        <v>0</v>
      </c>
      <c r="AE20" s="18">
        <f>Intro!$B$17*AE10</f>
        <v>0</v>
      </c>
      <c r="AF20" s="18">
        <f>Intro!$B$17*AF10</f>
        <v>0</v>
      </c>
      <c r="AG20" s="18">
        <f>Intro!$B$17*AG10</f>
        <v>0</v>
      </c>
      <c r="AH20" s="18">
        <f>Intro!$B$17*AH10</f>
        <v>0</v>
      </c>
      <c r="AI20" s="18">
        <f>Intro!$B$17*AI10</f>
        <v>0</v>
      </c>
      <c r="AJ20" s="18">
        <f>Intro!$B$17*AJ10</f>
        <v>0</v>
      </c>
    </row>
    <row r="21" spans="2:37" ht="15" x14ac:dyDescent="0.3">
      <c r="B21" s="4"/>
    </row>
    <row r="22" spans="2:37" ht="15" x14ac:dyDescent="0.3">
      <c r="B22" s="12" t="s">
        <v>2</v>
      </c>
    </row>
    <row r="23" spans="2:37" ht="15" outlineLevel="1" x14ac:dyDescent="0.3">
      <c r="B23" s="14"/>
      <c r="C23" s="15" t="s">
        <v>3</v>
      </c>
      <c r="D23" s="15" t="s">
        <v>4</v>
      </c>
      <c r="E23" s="15">
        <v>2022</v>
      </c>
      <c r="F23" s="15">
        <f>E23+1</f>
        <v>2023</v>
      </c>
      <c r="G23" s="15">
        <f t="shared" ref="G23:AC23" si="1">F23+1</f>
        <v>2024</v>
      </c>
      <c r="H23" s="15">
        <f t="shared" si="1"/>
        <v>2025</v>
      </c>
      <c r="I23" s="15">
        <f t="shared" si="1"/>
        <v>2026</v>
      </c>
      <c r="J23" s="15">
        <f t="shared" si="1"/>
        <v>2027</v>
      </c>
      <c r="K23" s="15">
        <f t="shared" si="1"/>
        <v>2028</v>
      </c>
      <c r="L23" s="15">
        <f t="shared" si="1"/>
        <v>2029</v>
      </c>
      <c r="M23" s="15">
        <f t="shared" si="1"/>
        <v>2030</v>
      </c>
      <c r="N23" s="15">
        <f t="shared" si="1"/>
        <v>2031</v>
      </c>
      <c r="O23" s="15">
        <f t="shared" si="1"/>
        <v>2032</v>
      </c>
      <c r="P23" s="15">
        <f t="shared" si="1"/>
        <v>2033</v>
      </c>
      <c r="Q23" s="15">
        <f t="shared" si="1"/>
        <v>2034</v>
      </c>
      <c r="R23" s="15">
        <f t="shared" si="1"/>
        <v>2035</v>
      </c>
      <c r="S23" s="15">
        <f t="shared" si="1"/>
        <v>2036</v>
      </c>
      <c r="T23" s="15">
        <f t="shared" si="1"/>
        <v>2037</v>
      </c>
      <c r="U23" s="15">
        <f t="shared" si="1"/>
        <v>2038</v>
      </c>
      <c r="V23" s="15">
        <f t="shared" si="1"/>
        <v>2039</v>
      </c>
      <c r="W23" s="15">
        <f t="shared" si="1"/>
        <v>2040</v>
      </c>
      <c r="X23" s="15">
        <f t="shared" si="1"/>
        <v>2041</v>
      </c>
      <c r="Y23" s="15">
        <f t="shared" si="1"/>
        <v>2042</v>
      </c>
      <c r="Z23" s="15">
        <f t="shared" si="1"/>
        <v>2043</v>
      </c>
      <c r="AA23" s="15">
        <f t="shared" si="1"/>
        <v>2044</v>
      </c>
      <c r="AB23" s="15">
        <f t="shared" si="1"/>
        <v>2045</v>
      </c>
      <c r="AC23" s="15">
        <f t="shared" si="1"/>
        <v>2046</v>
      </c>
      <c r="AD23" s="15">
        <f t="shared" ref="AD23:AK23" si="2">AC23+1</f>
        <v>2047</v>
      </c>
      <c r="AE23" s="15">
        <f t="shared" si="2"/>
        <v>2048</v>
      </c>
      <c r="AF23" s="15">
        <f t="shared" si="2"/>
        <v>2049</v>
      </c>
      <c r="AG23" s="15">
        <f t="shared" si="2"/>
        <v>2050</v>
      </c>
      <c r="AH23" s="15">
        <f t="shared" si="2"/>
        <v>2051</v>
      </c>
      <c r="AI23" s="15">
        <f t="shared" si="2"/>
        <v>2052</v>
      </c>
      <c r="AJ23" s="15">
        <f t="shared" si="2"/>
        <v>2053</v>
      </c>
      <c r="AK23" s="15">
        <f t="shared" si="2"/>
        <v>2054</v>
      </c>
    </row>
    <row r="24" spans="2:37" outlineLevel="1" x14ac:dyDescent="0.3">
      <c r="B24" s="46" t="s">
        <v>5</v>
      </c>
      <c r="C24" s="19">
        <f t="shared" ref="C24:C53" si="3">SUM(E24:AK24)</f>
        <v>202.24659431033743</v>
      </c>
      <c r="D24" s="49" t="s">
        <v>6</v>
      </c>
      <c r="E24" s="21">
        <f>(IF(Intro!$C$9=1,E96, IF(Intro!$C$9=2,E103,E110)))*(1+Intro!$G$28)</f>
        <v>0</v>
      </c>
      <c r="F24" s="21">
        <f>(IF(Intro!$C$9=1,F96, IF(Intro!$C$9=2,F103,F110)))*(1+Intro!$G$28)</f>
        <v>0</v>
      </c>
      <c r="G24" s="21">
        <f>(IF(Intro!$C$9=1,G96, IF(Intro!$C$9=2,G103,G110)))*(1+Intro!$G$28)</f>
        <v>0</v>
      </c>
      <c r="H24" s="21">
        <f>(IF(Intro!$C$9=1,H96, IF(Intro!$C$9=2,H103,H110)))*(1+Intro!$G$28)</f>
        <v>0</v>
      </c>
      <c r="I24" s="21">
        <f>(IF(Intro!$C$9=1,I96, IF(Intro!$C$9=2,I103,I110)))*(1+Intro!$G$28)</f>
        <v>0</v>
      </c>
      <c r="J24" s="21">
        <f>(IF(Intro!$C$9=1,J96, IF(Intro!$C$9=2,J103,J110)))*(1+Intro!$G$28)</f>
        <v>0</v>
      </c>
      <c r="K24" s="21">
        <f>(IF(Intro!$C$9=1,K96, IF(Intro!$C$9=2,K103,K110)))*(1+Intro!$G$28)</f>
        <v>0</v>
      </c>
      <c r="L24" s="21">
        <f>(IF(Intro!$C$9=1,L96, IF(Intro!$C$9=2,L103,L110)))*(1+Intro!$G$28)</f>
        <v>0</v>
      </c>
      <c r="M24" s="21">
        <f>(IF(Intro!$C$9=1,M96, IF(Intro!$C$9=2,M103,M110)))*(1+Intro!$G$28)</f>
        <v>0</v>
      </c>
      <c r="N24" s="21">
        <f>(IF(Intro!$C$9=1,N96, IF(Intro!$C$9=2,N103,N110)))*(1+Intro!$G$28)</f>
        <v>0</v>
      </c>
      <c r="O24" s="21">
        <f>(IF(Intro!$C$9=1,O96, IF(Intro!$C$9=2,O103,O110)))*(1+Intro!$G$28)</f>
        <v>7.0714396973400007</v>
      </c>
      <c r="P24" s="21">
        <f>(IF(Intro!$C$9=1,P96, IF(Intro!$C$9=2,P103,P110)))*(1+Intro!$G$28)</f>
        <v>14.090841362949998</v>
      </c>
      <c r="Q24" s="21">
        <f>(IF(Intro!$C$9=1,Q96, IF(Intro!$C$9=2,Q103,Q110)))*(1+Intro!$G$28)</f>
        <v>14.92586084080755</v>
      </c>
      <c r="R24" s="21">
        <f>(IF(Intro!$C$9=1,R96, IF(Intro!$C$9=2,R103,R110)))*(1+Intro!$G$28)</f>
        <v>14.92586084080755</v>
      </c>
      <c r="S24" s="21">
        <f>(IF(Intro!$C$9=1,S96, IF(Intro!$C$9=2,S103,S110)))*(1+Intro!$G$28)</f>
        <v>14.966753610234418</v>
      </c>
      <c r="T24" s="21">
        <f>(IF(Intro!$C$9=1,T96, IF(Intro!$C$9=2,T103,T110)))*(1+Intro!$G$28)</f>
        <v>14.92586084080755</v>
      </c>
      <c r="U24" s="21">
        <f>(IF(Intro!$C$9=1,U96, IF(Intro!$C$9=2,U103,U110)))*(1+Intro!$G$28)</f>
        <v>14.92586084080755</v>
      </c>
      <c r="V24" s="21">
        <f>(IF(Intro!$C$9=1,V96, IF(Intro!$C$9=2,V103,V110)))*(1+Intro!$G$28)</f>
        <v>14.92586084080755</v>
      </c>
      <c r="W24" s="21">
        <f>(IF(Intro!$C$9=1,W96, IF(Intro!$C$9=2,W103,W110)))*(1+Intro!$G$28)</f>
        <v>14.966753610234418</v>
      </c>
      <c r="X24" s="21">
        <f>(IF(Intro!$C$9=1,X96, IF(Intro!$C$9=2,X103,X110)))*(1+Intro!$G$28)</f>
        <v>14.648003298707552</v>
      </c>
      <c r="Y24" s="21">
        <f>(IF(Intro!$C$9=1,Y96, IF(Intro!$C$9=2,Y103,Y110)))*(1+Intro!$G$28)</f>
        <v>11.669797911707048</v>
      </c>
      <c r="Z24" s="21">
        <f>(IF(Intro!$C$9=1,Z96, IF(Intro!$C$9=2,Z103,Z110)))*(1+Intro!$G$28)</f>
        <v>9.3831632286137499</v>
      </c>
      <c r="AA24" s="21">
        <f>(IF(Intro!$C$9=1,AA96, IF(Intro!$C$9=2,AA103,AA110)))*(1+Intro!$G$28)</f>
        <v>7.5337697346165609</v>
      </c>
      <c r="AB24" s="21">
        <f>(IF(Intro!$C$9=1,AB96, IF(Intro!$C$9=2,AB103,AB110)))*(1+Intro!$G$28)</f>
        <v>6.466387220491649</v>
      </c>
      <c r="AC24" s="21">
        <f>(IF(Intro!$C$9=1,AC96, IF(Intro!$C$9=2,AC103,AC110)))*(1+Intro!$G$28)</f>
        <v>5.5028325715153503</v>
      </c>
      <c r="AD24" s="21">
        <f>(IF(Intro!$C$9=1,AD96, IF(Intro!$C$9=2,AD103,AD110)))*(1+Intro!$G$28)</f>
        <v>4.5109176777835502</v>
      </c>
      <c r="AE24" s="21">
        <f>(IF(Intro!$C$9=1,AE96, IF(Intro!$C$9=2,AE103,AE110)))*(1+Intro!$G$28)</f>
        <v>4.0453597124362206</v>
      </c>
      <c r="AF24" s="21">
        <f>(IF(Intro!$C$9=1,AF96, IF(Intro!$C$9=2,AF103,AF110)))*(1+Intro!$G$28)</f>
        <v>3.6597767389301494</v>
      </c>
      <c r="AG24" s="21">
        <f>(IF(Intro!$C$9=1,AG96, IF(Intro!$C$9=2,AG103,AG110)))*(1+Intro!$G$28)</f>
        <v>3.3119770058907001</v>
      </c>
      <c r="AH24" s="21">
        <f>(IF(Intro!$C$9=1,AH96, IF(Intro!$C$9=2,AH103,AH110)))*(1+Intro!$G$28)</f>
        <v>3.0183663374896001</v>
      </c>
      <c r="AI24" s="21">
        <f>(IF(Intro!$C$9=1,AI96, IF(Intro!$C$9=2,AI103,AI110)))*(1+Intro!$G$28)</f>
        <v>2.7711503873587744</v>
      </c>
      <c r="AJ24" s="21">
        <f>(IF(Intro!$C$9=1,AJ96, IF(Intro!$C$9=2,AJ103,AJ110)))*(1+Intro!$G$28)</f>
        <v>0</v>
      </c>
      <c r="AK24" s="21">
        <f>(IF(Intro!$C$9=1,AK96, IF(Intro!$C$9=2,AK103,AK110)))*(1+Intro!$G$28)</f>
        <v>0</v>
      </c>
    </row>
    <row r="25" spans="2:37" outlineLevel="1" x14ac:dyDescent="0.3">
      <c r="B25" s="46" t="s">
        <v>7</v>
      </c>
      <c r="C25" s="19">
        <f t="shared" si="3"/>
        <v>0</v>
      </c>
      <c r="D25" s="49" t="s">
        <v>8</v>
      </c>
      <c r="E25" s="21">
        <f>IF(Intro!$C$9=1,E97, IF(Intro!$C$9=2,E104,E111))</f>
        <v>0</v>
      </c>
      <c r="F25" s="21">
        <f>IF(Intro!$C$9=1,F97, IF(Intro!$C$9=2,F104,F111))</f>
        <v>0</v>
      </c>
      <c r="G25" s="21">
        <f>IF(Intro!$C$9=1,G97, IF(Intro!$C$9=2,G104,G111))</f>
        <v>0</v>
      </c>
      <c r="H25" s="21">
        <f>IF(Intro!$C$9=1,H97, IF(Intro!$C$9=2,H104,H111))</f>
        <v>0</v>
      </c>
      <c r="I25" s="21">
        <f>IF(Intro!$C$9=1,I97, IF(Intro!$C$9=2,I104,I111))</f>
        <v>0</v>
      </c>
      <c r="J25" s="21">
        <f>IF(Intro!$C$9=1,J97, IF(Intro!$C$9=2,J104,J111))</f>
        <v>0</v>
      </c>
      <c r="K25" s="21">
        <f>IF(Intro!$C$9=1,K97, IF(Intro!$C$9=2,K104,K111))</f>
        <v>0</v>
      </c>
      <c r="L25" s="21">
        <f>IF(Intro!$C$9=1,L97, IF(Intro!$C$9=2,L104,L111))</f>
        <v>0</v>
      </c>
      <c r="M25" s="21">
        <f>IF(Intro!$C$9=1,M97, IF(Intro!$C$9=2,M104,M111))</f>
        <v>0</v>
      </c>
      <c r="N25" s="21">
        <f>IF(Intro!$C$9=1,N97, IF(Intro!$C$9=2,N104,N111))</f>
        <v>0</v>
      </c>
      <c r="O25" s="21">
        <f>IF(Intro!$C$9=1,O97, IF(Intro!$C$9=2,O104,O111))</f>
        <v>0</v>
      </c>
      <c r="P25" s="21">
        <f>IF(Intro!$C$9=1,P97, IF(Intro!$C$9=2,P104,P111))</f>
        <v>0</v>
      </c>
      <c r="Q25" s="21">
        <f>IF(Intro!$C$9=1,Q97, IF(Intro!$C$9=2,Q104,Q111))</f>
        <v>0</v>
      </c>
      <c r="R25" s="21">
        <f>IF(Intro!$C$9=1,R97, IF(Intro!$C$9=2,R104,R111))</f>
        <v>0</v>
      </c>
      <c r="S25" s="21">
        <f>IF(Intro!$C$9=1,S97, IF(Intro!$C$9=2,S104,S111))</f>
        <v>0</v>
      </c>
      <c r="T25" s="21">
        <f>IF(Intro!$C$9=1,T97, IF(Intro!$C$9=2,T104,T111))</f>
        <v>0</v>
      </c>
      <c r="U25" s="21">
        <f>IF(Intro!$C$9=1,U97, IF(Intro!$C$9=2,U104,U111))</f>
        <v>0</v>
      </c>
      <c r="V25" s="21">
        <f>IF(Intro!$C$9=1,V97, IF(Intro!$C$9=2,V104,V111))</f>
        <v>0</v>
      </c>
      <c r="W25" s="21">
        <f>IF(Intro!$C$9=1,W97, IF(Intro!$C$9=2,W104,W111))</f>
        <v>0</v>
      </c>
      <c r="X25" s="21">
        <f>IF(Intro!$C$9=1,X97, IF(Intro!$C$9=2,X104,X111))</f>
        <v>0</v>
      </c>
      <c r="Y25" s="21">
        <f>IF(Intro!$C$9=1,Y97, IF(Intro!$C$9=2,Y104,Y111))</f>
        <v>0</v>
      </c>
      <c r="Z25" s="21">
        <f>IF(Intro!$C$9=1,Z97, IF(Intro!$C$9=2,Z104,Z111))</f>
        <v>0</v>
      </c>
      <c r="AA25" s="21">
        <f>IF(Intro!$C$9=1,AA97, IF(Intro!$C$9=2,AA104,AA111))</f>
        <v>0</v>
      </c>
      <c r="AB25" s="21">
        <f>IF(Intro!$C$9=1,AB97, IF(Intro!$C$9=2,AB104,AB111))</f>
        <v>0</v>
      </c>
      <c r="AC25" s="21">
        <f>IF(Intro!$C$9=1,AC97, IF(Intro!$C$9=2,AC104,AC111))</f>
        <v>0</v>
      </c>
      <c r="AD25" s="21">
        <f>IF(Intro!$C$9=1,AD97, IF(Intro!$C$9=2,AD104,AD111))</f>
        <v>0</v>
      </c>
      <c r="AE25" s="21">
        <f>IF(Intro!$C$9=1,AE97, IF(Intro!$C$9=2,AE104,AE111))</f>
        <v>0</v>
      </c>
      <c r="AF25" s="21">
        <f>IF(Intro!$C$9=1,AF97, IF(Intro!$C$9=2,AF104,AF111))</f>
        <v>0</v>
      </c>
      <c r="AG25" s="21">
        <f>IF(Intro!$C$9=1,AG97, IF(Intro!$C$9=2,AG104,AG111))</f>
        <v>0</v>
      </c>
      <c r="AH25" s="21">
        <f>IF(Intro!$C$9=1,AH97, IF(Intro!$C$9=2,AH104,AH111))</f>
        <v>0</v>
      </c>
      <c r="AI25" s="21">
        <f>IF(Intro!$C$9=1,AI97, IF(Intro!$C$9=2,AI104,AI111))</f>
        <v>0</v>
      </c>
      <c r="AJ25" s="21">
        <f>IF(Intro!$C$9=1,AJ97, IF(Intro!$C$9=2,AJ104,AJ111))</f>
        <v>0</v>
      </c>
      <c r="AK25" s="21">
        <f>IF(Intro!$C$9=1,AK97, IF(Intro!$C$9=2,AK104,AK111))</f>
        <v>0</v>
      </c>
    </row>
    <row r="26" spans="2:37" outlineLevel="1" x14ac:dyDescent="0.3">
      <c r="B26" s="46" t="s">
        <v>9</v>
      </c>
      <c r="C26" s="19">
        <f t="shared" si="3"/>
        <v>0</v>
      </c>
      <c r="D26" s="49" t="s">
        <v>6</v>
      </c>
      <c r="E26" s="21">
        <f>(IF(Intro!$C$9=1,E98, IF(Intro!C9=2,E105,E112)))*(1+Intro!$G$28)</f>
        <v>0</v>
      </c>
      <c r="F26" s="21">
        <f>(IF(Intro!$C$9=1,F98, IF(Intro!D9=2,F105,F112)))*(1+Intro!$G$28)</f>
        <v>0</v>
      </c>
      <c r="G26" s="21">
        <f>(IF(Intro!$C$9=1,G98, IF(Intro!E9=2,G105,G112)))*(1+Intro!$G$28)</f>
        <v>0</v>
      </c>
      <c r="H26" s="21">
        <f>(IF(Intro!$C$9=1,H98, IF(Intro!F9=2,H105,H112)))*(1+Intro!$G$28)</f>
        <v>0</v>
      </c>
      <c r="I26" s="21">
        <f>(IF(Intro!$C$9=1,I98, IF(Intro!G9=2,I105,I112)))*(1+Intro!$G$28)</f>
        <v>0</v>
      </c>
      <c r="J26" s="21">
        <f>(IF(Intro!$C$9=1,J98, IF(Intro!H9=2,J105,J112)))*(1+Intro!$G$28)</f>
        <v>0</v>
      </c>
      <c r="K26" s="21">
        <f>(IF(Intro!$C$9=1,K98, IF(Intro!I9=2,K105,K112)))*(1+Intro!$G$28)</f>
        <v>0</v>
      </c>
      <c r="L26" s="21">
        <f>(IF(Intro!$C$9=1,L98, IF(Intro!J9=2,L105,L112)))*(1+Intro!$G$28)</f>
        <v>0</v>
      </c>
      <c r="M26" s="21">
        <f>(IF(Intro!$C$9=1,M98, IF(Intro!K9=2,M105,M112)))*(1+Intro!$G$28)</f>
        <v>0</v>
      </c>
      <c r="N26" s="21">
        <f>(IF(Intro!$C$9=1,N98, IF(Intro!L9=2,N105,N112)))*(1+Intro!$G$28)</f>
        <v>0</v>
      </c>
      <c r="O26" s="21">
        <f>(IF(Intro!$C$9=1,O98, IF(Intro!M9=2,O105,O112)))*(1+Intro!$G$28)</f>
        <v>0</v>
      </c>
      <c r="P26" s="21">
        <f>(IF(Intro!$C$9=1,P98, IF(Intro!N9=2,P105,P112)))*(1+Intro!$G$28)</f>
        <v>0</v>
      </c>
      <c r="Q26" s="21">
        <f>(IF(Intro!$C$9=1,Q98, IF(Intro!O9=2,Q105,Q112)))*(1+Intro!$G$28)</f>
        <v>0</v>
      </c>
      <c r="R26" s="21">
        <f>(IF(Intro!$C$9=1,R98, IF(Intro!P9=2,R105,R112)))*(1+Intro!$G$28)</f>
        <v>0</v>
      </c>
      <c r="S26" s="21">
        <f>(IF(Intro!$C$9=1,S98, IF(Intro!Q9=2,S105,S112)))*(1+Intro!$G$28)</f>
        <v>0</v>
      </c>
      <c r="T26" s="21">
        <f>(IF(Intro!$C$9=1,T98, IF(Intro!R9=2,T105,T112)))*(1+Intro!$G$28)</f>
        <v>0</v>
      </c>
      <c r="U26" s="21">
        <f>(IF(Intro!$C$9=1,U98, IF(Intro!S9=2,U105,U112)))*(1+Intro!$G$28)</f>
        <v>0</v>
      </c>
      <c r="V26" s="21">
        <f>(IF(Intro!$C$9=1,V98, IF(Intro!T9=2,V105,V112)))*(1+Intro!$G$28)</f>
        <v>0</v>
      </c>
      <c r="W26" s="21">
        <f>(IF(Intro!$C$9=1,W98, IF(Intro!U9=2,W105,W112)))*(1+Intro!$G$28)</f>
        <v>0</v>
      </c>
      <c r="X26" s="21">
        <f>(IF(Intro!$C$9=1,X98, IF(Intro!V9=2,X105,X112)))*(1+Intro!$G$28)</f>
        <v>0</v>
      </c>
      <c r="Y26" s="21">
        <f>(IF(Intro!$C$9=1,Y98, IF(Intro!W9=2,Y105,Y112)))*(1+Intro!$G$28)</f>
        <v>0</v>
      </c>
      <c r="Z26" s="21">
        <f>(IF(Intro!$C$9=1,Z98, IF(Intro!X9=2,Z105,Z112)))*(1+Intro!$G$28)</f>
        <v>0</v>
      </c>
      <c r="AA26" s="21">
        <f>(IF(Intro!$C$9=1,AA98, IF(Intro!Y9=2,AA105,AA112)))*(1+Intro!$G$28)</f>
        <v>0</v>
      </c>
      <c r="AB26" s="21">
        <f>(IF(Intro!$C$9=1,AB98, IF(Intro!Z9=2,AB105,AB112)))*(1+Intro!$G$28)</f>
        <v>0</v>
      </c>
      <c r="AC26" s="21">
        <f>(IF(Intro!$C$9=1,AC98, IF(Intro!AA9=2,AC105,AC112)))*(1+Intro!$G$28)</f>
        <v>0</v>
      </c>
      <c r="AD26" s="21">
        <f>(IF(Intro!$C$9=1,AD98, IF(Intro!AB9=2,AD105,AD112)))*(1+Intro!$G$28)</f>
        <v>0</v>
      </c>
      <c r="AE26" s="21">
        <f>(IF(Intro!$C$9=1,AE98, IF(Intro!AC9=2,AE105,AE112)))*(1+Intro!$G$28)</f>
        <v>0</v>
      </c>
      <c r="AF26" s="21">
        <f>(IF(Intro!$C$9=1,AF98, IF(Intro!AD9=2,AF105,AF112)))*(1+Intro!$G$28)</f>
        <v>0</v>
      </c>
      <c r="AG26" s="21">
        <f>(IF(Intro!$C$9=1,AG98, IF(Intro!AE9=2,AG105,AG112)))*(1+Intro!$G$28)</f>
        <v>0</v>
      </c>
      <c r="AH26" s="21">
        <f>(IF(Intro!$C$9=1,AH98, IF(Intro!AF9=2,AH105,AH112)))*(1+Intro!$G$28)</f>
        <v>0</v>
      </c>
      <c r="AI26" s="21">
        <f>(IF(Intro!$C$9=1,AI98, IF(Intro!AG9=2,AI105,AI112)))*(1+Intro!$G$28)</f>
        <v>0</v>
      </c>
      <c r="AJ26" s="21">
        <f>(IF(Intro!$C$9=1,AJ98, IF(Intro!AH9=2,AJ105,AJ112)))*(1+Intro!$G$28)</f>
        <v>0</v>
      </c>
      <c r="AK26" s="21">
        <f>(IF(Intro!$C$9=1,AK98, IF(Intro!AI9=2,AK105,AK112)))*(1+Intro!$G$28)</f>
        <v>0</v>
      </c>
    </row>
    <row r="27" spans="2:37" outlineLevel="1" x14ac:dyDescent="0.3">
      <c r="B27" s="46" t="s">
        <v>10</v>
      </c>
      <c r="C27" s="19">
        <f t="shared" si="3"/>
        <v>0</v>
      </c>
      <c r="D27" s="49" t="s">
        <v>8</v>
      </c>
      <c r="E27" s="21">
        <f>IF(Intro!$G$32="yes",IF(Intro!$C$9=1,E99, IF(Intro!$C$9=2,E106,E113)),0)</f>
        <v>0</v>
      </c>
      <c r="F27" s="21">
        <f>F182</f>
        <v>0</v>
      </c>
      <c r="G27" s="21">
        <f t="shared" ref="G27:AC27" si="4">G182</f>
        <v>0</v>
      </c>
      <c r="H27" s="21">
        <f t="shared" si="4"/>
        <v>0</v>
      </c>
      <c r="I27" s="21">
        <f t="shared" si="4"/>
        <v>0</v>
      </c>
      <c r="J27" s="21">
        <f t="shared" si="4"/>
        <v>0</v>
      </c>
      <c r="K27" s="21">
        <f t="shared" si="4"/>
        <v>0</v>
      </c>
      <c r="L27" s="21">
        <f t="shared" si="4"/>
        <v>0</v>
      </c>
      <c r="M27" s="21">
        <f t="shared" si="4"/>
        <v>0</v>
      </c>
      <c r="N27" s="21">
        <f t="shared" si="4"/>
        <v>0</v>
      </c>
      <c r="O27" s="21">
        <f t="shared" si="4"/>
        <v>0</v>
      </c>
      <c r="P27" s="21">
        <f t="shared" si="4"/>
        <v>0</v>
      </c>
      <c r="Q27" s="21">
        <f t="shared" si="4"/>
        <v>0</v>
      </c>
      <c r="R27" s="21">
        <f t="shared" si="4"/>
        <v>0</v>
      </c>
      <c r="S27" s="21">
        <f t="shared" si="4"/>
        <v>0</v>
      </c>
      <c r="T27" s="21">
        <f t="shared" si="4"/>
        <v>0</v>
      </c>
      <c r="U27" s="21">
        <f t="shared" si="4"/>
        <v>0</v>
      </c>
      <c r="V27" s="21">
        <f t="shared" si="4"/>
        <v>0</v>
      </c>
      <c r="W27" s="21">
        <f t="shared" si="4"/>
        <v>0</v>
      </c>
      <c r="X27" s="21">
        <f t="shared" si="4"/>
        <v>0</v>
      </c>
      <c r="Y27" s="21">
        <f t="shared" si="4"/>
        <v>0</v>
      </c>
      <c r="Z27" s="21">
        <f t="shared" si="4"/>
        <v>0</v>
      </c>
      <c r="AA27" s="21">
        <f t="shared" si="4"/>
        <v>0</v>
      </c>
      <c r="AB27" s="21">
        <f t="shared" si="4"/>
        <v>0</v>
      </c>
      <c r="AC27" s="21">
        <f t="shared" si="4"/>
        <v>0</v>
      </c>
      <c r="AD27" s="21">
        <f t="shared" ref="AD27:AK27" si="5">AD182</f>
        <v>0</v>
      </c>
      <c r="AE27" s="21">
        <f t="shared" si="5"/>
        <v>0</v>
      </c>
      <c r="AF27" s="21">
        <f t="shared" si="5"/>
        <v>0</v>
      </c>
      <c r="AG27" s="21">
        <f t="shared" si="5"/>
        <v>0</v>
      </c>
      <c r="AH27" s="21">
        <f t="shared" si="5"/>
        <v>0</v>
      </c>
      <c r="AI27" s="21">
        <f t="shared" si="5"/>
        <v>0</v>
      </c>
      <c r="AJ27" s="21">
        <f t="shared" si="5"/>
        <v>0</v>
      </c>
      <c r="AK27" s="21">
        <f t="shared" si="5"/>
        <v>0</v>
      </c>
    </row>
    <row r="28" spans="2:37" outlineLevel="1" x14ac:dyDescent="0.3">
      <c r="B28" s="46" t="s">
        <v>11</v>
      </c>
      <c r="C28" s="19">
        <f t="shared" si="3"/>
        <v>202.24659431033743</v>
      </c>
      <c r="D28" s="49" t="s">
        <v>12</v>
      </c>
      <c r="E28" s="21">
        <f>SUM(E24,E26)+(SUM(E25,E27)*35.315*1000/5800)</f>
        <v>0</v>
      </c>
      <c r="F28" s="21">
        <f t="shared" ref="F28:AC28" si="6">SUM(F24,F26)+(SUM(F25,F27)*35.315*1000/5800)</f>
        <v>0</v>
      </c>
      <c r="G28" s="21">
        <f t="shared" si="6"/>
        <v>0</v>
      </c>
      <c r="H28" s="21">
        <f>SUM(H24,H26)+(SUM(H25,H27)*35.315*1000/5800)</f>
        <v>0</v>
      </c>
      <c r="I28" s="21">
        <f t="shared" si="6"/>
        <v>0</v>
      </c>
      <c r="J28" s="21">
        <f t="shared" si="6"/>
        <v>0</v>
      </c>
      <c r="K28" s="21">
        <f t="shared" si="6"/>
        <v>0</v>
      </c>
      <c r="L28" s="21">
        <f t="shared" si="6"/>
        <v>0</v>
      </c>
      <c r="M28" s="21">
        <f>SUM(M24,M26)+(SUM(M25,M27)*35.315*1000/5800)</f>
        <v>0</v>
      </c>
      <c r="N28" s="21">
        <f>SUM(N24,N26)+(SUM(N25,N27)*35.315*1000/5800)</f>
        <v>0</v>
      </c>
      <c r="O28" s="21">
        <f t="shared" si="6"/>
        <v>7.0714396973400007</v>
      </c>
      <c r="P28" s="21">
        <f t="shared" si="6"/>
        <v>14.090841362949998</v>
      </c>
      <c r="Q28" s="21">
        <f t="shared" si="6"/>
        <v>14.92586084080755</v>
      </c>
      <c r="R28" s="21">
        <f t="shared" si="6"/>
        <v>14.92586084080755</v>
      </c>
      <c r="S28" s="21">
        <f t="shared" si="6"/>
        <v>14.966753610234418</v>
      </c>
      <c r="T28" s="21">
        <f t="shared" si="6"/>
        <v>14.92586084080755</v>
      </c>
      <c r="U28" s="21">
        <f t="shared" si="6"/>
        <v>14.92586084080755</v>
      </c>
      <c r="V28" s="21">
        <f t="shared" si="6"/>
        <v>14.92586084080755</v>
      </c>
      <c r="W28" s="21">
        <f t="shared" si="6"/>
        <v>14.966753610234418</v>
      </c>
      <c r="X28" s="21">
        <f t="shared" si="6"/>
        <v>14.648003298707552</v>
      </c>
      <c r="Y28" s="21">
        <f t="shared" si="6"/>
        <v>11.669797911707048</v>
      </c>
      <c r="Z28" s="21">
        <f t="shared" si="6"/>
        <v>9.3831632286137499</v>
      </c>
      <c r="AA28" s="21">
        <f t="shared" si="6"/>
        <v>7.5337697346165609</v>
      </c>
      <c r="AB28" s="21">
        <f t="shared" si="6"/>
        <v>6.466387220491649</v>
      </c>
      <c r="AC28" s="21">
        <f t="shared" si="6"/>
        <v>5.5028325715153503</v>
      </c>
      <c r="AD28" s="21">
        <f t="shared" ref="AD28:AK28" si="7">SUM(AD24,AD26)+(SUM(AD25,AD27)*35.315*1000/5800)</f>
        <v>4.5109176777835502</v>
      </c>
      <c r="AE28" s="21">
        <f t="shared" si="7"/>
        <v>4.0453597124362206</v>
      </c>
      <c r="AF28" s="21">
        <f t="shared" si="7"/>
        <v>3.6597767389301494</v>
      </c>
      <c r="AG28" s="21">
        <f t="shared" si="7"/>
        <v>3.3119770058907001</v>
      </c>
      <c r="AH28" s="21">
        <f t="shared" si="7"/>
        <v>3.0183663374896001</v>
      </c>
      <c r="AI28" s="21">
        <f t="shared" si="7"/>
        <v>2.7711503873587744</v>
      </c>
      <c r="AJ28" s="21">
        <f t="shared" si="7"/>
        <v>0</v>
      </c>
      <c r="AK28" s="21">
        <f t="shared" si="7"/>
        <v>0</v>
      </c>
    </row>
    <row r="29" spans="2:37" outlineLevel="1" x14ac:dyDescent="0.3">
      <c r="B29" s="46" t="s">
        <v>13</v>
      </c>
      <c r="C29" s="19">
        <f t="shared" si="3"/>
        <v>0</v>
      </c>
      <c r="D29" s="49" t="s">
        <v>8</v>
      </c>
      <c r="E29" s="21">
        <f>SUM(E25,E27)</f>
        <v>0</v>
      </c>
      <c r="F29" s="21">
        <f t="shared" ref="F29:AC29" si="8">SUM(F25,F27)</f>
        <v>0</v>
      </c>
      <c r="G29" s="21">
        <f t="shared" si="8"/>
        <v>0</v>
      </c>
      <c r="H29" s="21">
        <f t="shared" si="8"/>
        <v>0</v>
      </c>
      <c r="I29" s="21">
        <f t="shared" si="8"/>
        <v>0</v>
      </c>
      <c r="J29" s="21">
        <f t="shared" si="8"/>
        <v>0</v>
      </c>
      <c r="K29" s="21">
        <f t="shared" si="8"/>
        <v>0</v>
      </c>
      <c r="L29" s="21">
        <f t="shared" si="8"/>
        <v>0</v>
      </c>
      <c r="M29" s="21">
        <f t="shared" si="8"/>
        <v>0</v>
      </c>
      <c r="N29" s="21">
        <f t="shared" si="8"/>
        <v>0</v>
      </c>
      <c r="O29" s="21">
        <f t="shared" si="8"/>
        <v>0</v>
      </c>
      <c r="P29" s="21">
        <f t="shared" si="8"/>
        <v>0</v>
      </c>
      <c r="Q29" s="21">
        <f t="shared" si="8"/>
        <v>0</v>
      </c>
      <c r="R29" s="21">
        <f t="shared" si="8"/>
        <v>0</v>
      </c>
      <c r="S29" s="21">
        <f t="shared" si="8"/>
        <v>0</v>
      </c>
      <c r="T29" s="21">
        <f t="shared" si="8"/>
        <v>0</v>
      </c>
      <c r="U29" s="21">
        <f t="shared" si="8"/>
        <v>0</v>
      </c>
      <c r="V29" s="21">
        <f t="shared" si="8"/>
        <v>0</v>
      </c>
      <c r="W29" s="21">
        <f t="shared" si="8"/>
        <v>0</v>
      </c>
      <c r="X29" s="21">
        <f t="shared" si="8"/>
        <v>0</v>
      </c>
      <c r="Y29" s="21">
        <f t="shared" si="8"/>
        <v>0</v>
      </c>
      <c r="Z29" s="21">
        <f t="shared" si="8"/>
        <v>0</v>
      </c>
      <c r="AA29" s="21">
        <f t="shared" si="8"/>
        <v>0</v>
      </c>
      <c r="AB29" s="21">
        <f t="shared" si="8"/>
        <v>0</v>
      </c>
      <c r="AC29" s="21">
        <f t="shared" si="8"/>
        <v>0</v>
      </c>
      <c r="AD29" s="21">
        <f t="shared" ref="AD29:AK29" si="9">SUM(AD25,AD27)</f>
        <v>0</v>
      </c>
      <c r="AE29" s="21">
        <f t="shared" si="9"/>
        <v>0</v>
      </c>
      <c r="AF29" s="21">
        <f t="shared" si="9"/>
        <v>0</v>
      </c>
      <c r="AG29" s="21">
        <f t="shared" si="9"/>
        <v>0</v>
      </c>
      <c r="AH29" s="21">
        <f t="shared" si="9"/>
        <v>0</v>
      </c>
      <c r="AI29" s="21">
        <f t="shared" si="9"/>
        <v>0</v>
      </c>
      <c r="AJ29" s="21">
        <f t="shared" si="9"/>
        <v>0</v>
      </c>
      <c r="AK29" s="21">
        <f t="shared" si="9"/>
        <v>0</v>
      </c>
    </row>
    <row r="30" spans="2:37" outlineLevel="1" x14ac:dyDescent="0.3">
      <c r="B30" s="46" t="s">
        <v>14</v>
      </c>
      <c r="C30" s="19">
        <f t="shared" si="3"/>
        <v>202.24659431033743</v>
      </c>
      <c r="D30" s="49" t="s">
        <v>6</v>
      </c>
      <c r="E30" s="21">
        <f>SUM(E24,E26)</f>
        <v>0</v>
      </c>
      <c r="F30" s="21">
        <f t="shared" ref="F30:AC30" si="10">SUM(F24,F26)</f>
        <v>0</v>
      </c>
      <c r="G30" s="21">
        <f t="shared" si="10"/>
        <v>0</v>
      </c>
      <c r="H30" s="21">
        <f t="shared" si="10"/>
        <v>0</v>
      </c>
      <c r="I30" s="21">
        <f t="shared" si="10"/>
        <v>0</v>
      </c>
      <c r="J30" s="21">
        <f t="shared" si="10"/>
        <v>0</v>
      </c>
      <c r="K30" s="21">
        <f t="shared" si="10"/>
        <v>0</v>
      </c>
      <c r="L30" s="21">
        <f t="shared" si="10"/>
        <v>0</v>
      </c>
      <c r="M30" s="21">
        <f t="shared" si="10"/>
        <v>0</v>
      </c>
      <c r="N30" s="21">
        <f t="shared" si="10"/>
        <v>0</v>
      </c>
      <c r="O30" s="21">
        <f t="shared" si="10"/>
        <v>7.0714396973400007</v>
      </c>
      <c r="P30" s="21">
        <f t="shared" si="10"/>
        <v>14.090841362949998</v>
      </c>
      <c r="Q30" s="21">
        <f t="shared" si="10"/>
        <v>14.92586084080755</v>
      </c>
      <c r="R30" s="21">
        <f t="shared" si="10"/>
        <v>14.92586084080755</v>
      </c>
      <c r="S30" s="21">
        <f t="shared" si="10"/>
        <v>14.966753610234418</v>
      </c>
      <c r="T30" s="21">
        <f t="shared" si="10"/>
        <v>14.92586084080755</v>
      </c>
      <c r="U30" s="21">
        <f t="shared" si="10"/>
        <v>14.92586084080755</v>
      </c>
      <c r="V30" s="21">
        <f t="shared" si="10"/>
        <v>14.92586084080755</v>
      </c>
      <c r="W30" s="21">
        <f t="shared" si="10"/>
        <v>14.966753610234418</v>
      </c>
      <c r="X30" s="21">
        <f t="shared" si="10"/>
        <v>14.648003298707552</v>
      </c>
      <c r="Y30" s="21">
        <f t="shared" si="10"/>
        <v>11.669797911707048</v>
      </c>
      <c r="Z30" s="21">
        <f t="shared" si="10"/>
        <v>9.3831632286137499</v>
      </c>
      <c r="AA30" s="21">
        <f t="shared" si="10"/>
        <v>7.5337697346165609</v>
      </c>
      <c r="AB30" s="21">
        <f t="shared" si="10"/>
        <v>6.466387220491649</v>
      </c>
      <c r="AC30" s="21">
        <f t="shared" si="10"/>
        <v>5.5028325715153503</v>
      </c>
      <c r="AD30" s="21">
        <f t="shared" ref="AD30:AK30" si="11">SUM(AD24,AD26)</f>
        <v>4.5109176777835502</v>
      </c>
      <c r="AE30" s="21">
        <f t="shared" si="11"/>
        <v>4.0453597124362206</v>
      </c>
      <c r="AF30" s="21">
        <f t="shared" si="11"/>
        <v>3.6597767389301494</v>
      </c>
      <c r="AG30" s="21">
        <f t="shared" si="11"/>
        <v>3.3119770058907001</v>
      </c>
      <c r="AH30" s="21">
        <f t="shared" si="11"/>
        <v>3.0183663374896001</v>
      </c>
      <c r="AI30" s="21">
        <f t="shared" si="11"/>
        <v>2.7711503873587744</v>
      </c>
      <c r="AJ30" s="21">
        <f t="shared" si="11"/>
        <v>0</v>
      </c>
      <c r="AK30" s="21">
        <f t="shared" si="11"/>
        <v>0</v>
      </c>
    </row>
    <row r="31" spans="2:37" outlineLevel="1" x14ac:dyDescent="0.3">
      <c r="B31" s="46" t="s">
        <v>13</v>
      </c>
      <c r="C31" s="19">
        <f t="shared" si="3"/>
        <v>0</v>
      </c>
      <c r="D31" s="49" t="s">
        <v>12</v>
      </c>
      <c r="E31" s="21">
        <f>E29*35.315*1000/5800</f>
        <v>0</v>
      </c>
      <c r="F31" s="21">
        <f>F29*35.315*1000/5800</f>
        <v>0</v>
      </c>
      <c r="G31" s="21">
        <f t="shared" ref="G31:AC31" si="12">G29*35.315*1000/5800</f>
        <v>0</v>
      </c>
      <c r="H31" s="21">
        <f t="shared" si="12"/>
        <v>0</v>
      </c>
      <c r="I31" s="21">
        <f t="shared" si="12"/>
        <v>0</v>
      </c>
      <c r="J31" s="21">
        <f t="shared" si="12"/>
        <v>0</v>
      </c>
      <c r="K31" s="21">
        <f t="shared" si="12"/>
        <v>0</v>
      </c>
      <c r="L31" s="21">
        <f t="shared" si="12"/>
        <v>0</v>
      </c>
      <c r="M31" s="21">
        <f t="shared" si="12"/>
        <v>0</v>
      </c>
      <c r="N31" s="21">
        <f t="shared" si="12"/>
        <v>0</v>
      </c>
      <c r="O31" s="21">
        <f t="shared" si="12"/>
        <v>0</v>
      </c>
      <c r="P31" s="21">
        <f t="shared" si="12"/>
        <v>0</v>
      </c>
      <c r="Q31" s="21">
        <f t="shared" si="12"/>
        <v>0</v>
      </c>
      <c r="R31" s="21">
        <f t="shared" si="12"/>
        <v>0</v>
      </c>
      <c r="S31" s="21">
        <f t="shared" si="12"/>
        <v>0</v>
      </c>
      <c r="T31" s="21">
        <f t="shared" si="12"/>
        <v>0</v>
      </c>
      <c r="U31" s="21">
        <f t="shared" si="12"/>
        <v>0</v>
      </c>
      <c r="V31" s="21">
        <f t="shared" si="12"/>
        <v>0</v>
      </c>
      <c r="W31" s="21">
        <f t="shared" si="12"/>
        <v>0</v>
      </c>
      <c r="X31" s="21">
        <f t="shared" si="12"/>
        <v>0</v>
      </c>
      <c r="Y31" s="21">
        <f t="shared" si="12"/>
        <v>0</v>
      </c>
      <c r="Z31" s="21">
        <f t="shared" si="12"/>
        <v>0</v>
      </c>
      <c r="AA31" s="21">
        <f t="shared" si="12"/>
        <v>0</v>
      </c>
      <c r="AB31" s="21">
        <f t="shared" si="12"/>
        <v>0</v>
      </c>
      <c r="AC31" s="21">
        <f t="shared" si="12"/>
        <v>0</v>
      </c>
      <c r="AD31" s="21">
        <f t="shared" ref="AD31:AK31" si="13">AD29*35.315*1000/5800</f>
        <v>0</v>
      </c>
      <c r="AE31" s="21">
        <f t="shared" si="13"/>
        <v>0</v>
      </c>
      <c r="AF31" s="21">
        <f t="shared" si="13"/>
        <v>0</v>
      </c>
      <c r="AG31" s="21">
        <f t="shared" si="13"/>
        <v>0</v>
      </c>
      <c r="AH31" s="21">
        <f t="shared" si="13"/>
        <v>0</v>
      </c>
      <c r="AI31" s="21">
        <f t="shared" si="13"/>
        <v>0</v>
      </c>
      <c r="AJ31" s="21">
        <f t="shared" si="13"/>
        <v>0</v>
      </c>
      <c r="AK31" s="21">
        <f t="shared" si="13"/>
        <v>0</v>
      </c>
    </row>
    <row r="32" spans="2:37" outlineLevel="1" x14ac:dyDescent="0.3">
      <c r="B32" s="46"/>
      <c r="C32" s="19"/>
      <c r="D32" s="49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</row>
    <row r="33" spans="2:37" outlineLevel="1" x14ac:dyDescent="0.3">
      <c r="B33" s="46" t="s">
        <v>15</v>
      </c>
      <c r="C33" s="19" t="e">
        <f>AVERAGE(E33:AK33)</f>
        <v>#DIV/0!</v>
      </c>
      <c r="D33" s="49" t="s">
        <v>16</v>
      </c>
      <c r="E33" s="21">
        <f>(E24/E1)*1000</f>
        <v>0</v>
      </c>
      <c r="F33" s="21">
        <f t="shared" ref="F33:AC33" si="14">(F24/F1)*1000</f>
        <v>0</v>
      </c>
      <c r="G33" s="21">
        <f t="shared" si="14"/>
        <v>0</v>
      </c>
      <c r="H33" s="21">
        <f t="shared" si="14"/>
        <v>0</v>
      </c>
      <c r="I33" s="21">
        <f t="shared" si="14"/>
        <v>0</v>
      </c>
      <c r="J33" s="21">
        <f t="shared" si="14"/>
        <v>0</v>
      </c>
      <c r="K33" s="21">
        <f t="shared" si="14"/>
        <v>0</v>
      </c>
      <c r="L33" s="21">
        <f t="shared" si="14"/>
        <v>0</v>
      </c>
      <c r="M33" s="21">
        <f t="shared" si="14"/>
        <v>0</v>
      </c>
      <c r="N33" s="21">
        <f t="shared" si="14"/>
        <v>0</v>
      </c>
      <c r="O33" s="21">
        <f t="shared" si="14"/>
        <v>19.32087349</v>
      </c>
      <c r="P33" s="21">
        <f t="shared" si="14"/>
        <v>38.605044829999997</v>
      </c>
      <c r="Q33" s="21">
        <f t="shared" si="14"/>
        <v>40.892769426869997</v>
      </c>
      <c r="R33" s="21">
        <f t="shared" si="14"/>
        <v>40.892769426869997</v>
      </c>
      <c r="S33" s="21">
        <f t="shared" si="14"/>
        <v>40.892769426869997</v>
      </c>
      <c r="T33" s="21">
        <f t="shared" si="14"/>
        <v>40.892769426869997</v>
      </c>
      <c r="U33" s="21">
        <f t="shared" si="14"/>
        <v>40.892769426869997</v>
      </c>
      <c r="V33" s="21">
        <f t="shared" si="14"/>
        <v>40.892769426869997</v>
      </c>
      <c r="W33" s="21">
        <f t="shared" si="14"/>
        <v>40.892769426869997</v>
      </c>
      <c r="X33" s="21">
        <f t="shared" si="14"/>
        <v>40.131515886870005</v>
      </c>
      <c r="Y33" s="21">
        <f t="shared" si="14"/>
        <v>31.972049073169995</v>
      </c>
      <c r="Z33" s="21">
        <f t="shared" si="14"/>
        <v>25.707296516749999</v>
      </c>
      <c r="AA33" s="21">
        <f t="shared" si="14"/>
        <v>20.584070313160002</v>
      </c>
      <c r="AB33" s="21">
        <f t="shared" si="14"/>
        <v>17.716129371209998</v>
      </c>
      <c r="AC33" s="21">
        <f t="shared" si="14"/>
        <v>15.07625362059</v>
      </c>
      <c r="AD33" s="193" t="e">
        <f>(AD24/AD1)*1000</f>
        <v>#DIV/0!</v>
      </c>
      <c r="AE33" s="21" t="e">
        <f t="shared" ref="AE33:AK33" si="15">(AE24/AE1)*1000</f>
        <v>#DIV/0!</v>
      </c>
      <c r="AF33" s="21" t="e">
        <f t="shared" si="15"/>
        <v>#DIV/0!</v>
      </c>
      <c r="AG33" s="21" t="e">
        <f t="shared" si="15"/>
        <v>#DIV/0!</v>
      </c>
      <c r="AH33" s="21" t="e">
        <f t="shared" si="15"/>
        <v>#DIV/0!</v>
      </c>
      <c r="AI33" s="21">
        <f t="shared" si="15"/>
        <v>7.592192842078834</v>
      </c>
      <c r="AJ33" s="21">
        <f t="shared" si="15"/>
        <v>0</v>
      </c>
      <c r="AK33" s="21">
        <f t="shared" si="15"/>
        <v>0</v>
      </c>
    </row>
    <row r="34" spans="2:37" outlineLevel="1" x14ac:dyDescent="0.3">
      <c r="B34" s="46" t="s">
        <v>17</v>
      </c>
      <c r="C34" s="19" t="e">
        <f t="shared" ref="C34:C38" si="16">AVERAGE(E34:AK34)</f>
        <v>#DIV/0!</v>
      </c>
      <c r="D34" s="49" t="s">
        <v>18</v>
      </c>
      <c r="E34" s="21">
        <f>(E25/E1)*1000</f>
        <v>0</v>
      </c>
      <c r="F34" s="21">
        <f t="shared" ref="F34:AC34" si="17">(F25/F1)*1000</f>
        <v>0</v>
      </c>
      <c r="G34" s="21">
        <f t="shared" si="17"/>
        <v>0</v>
      </c>
      <c r="H34" s="21">
        <f t="shared" si="17"/>
        <v>0</v>
      </c>
      <c r="I34" s="21">
        <f t="shared" si="17"/>
        <v>0</v>
      </c>
      <c r="J34" s="21">
        <f t="shared" si="17"/>
        <v>0</v>
      </c>
      <c r="K34" s="21">
        <f t="shared" si="17"/>
        <v>0</v>
      </c>
      <c r="L34" s="21">
        <f t="shared" si="17"/>
        <v>0</v>
      </c>
      <c r="M34" s="21">
        <f t="shared" si="17"/>
        <v>0</v>
      </c>
      <c r="N34" s="21">
        <f t="shared" si="17"/>
        <v>0</v>
      </c>
      <c r="O34" s="21">
        <f t="shared" si="17"/>
        <v>0</v>
      </c>
      <c r="P34" s="21">
        <f t="shared" si="17"/>
        <v>0</v>
      </c>
      <c r="Q34" s="21">
        <f t="shared" si="17"/>
        <v>0</v>
      </c>
      <c r="R34" s="21">
        <f t="shared" si="17"/>
        <v>0</v>
      </c>
      <c r="S34" s="21">
        <f t="shared" si="17"/>
        <v>0</v>
      </c>
      <c r="T34" s="21">
        <f t="shared" si="17"/>
        <v>0</v>
      </c>
      <c r="U34" s="21">
        <f t="shared" si="17"/>
        <v>0</v>
      </c>
      <c r="V34" s="21">
        <f t="shared" si="17"/>
        <v>0</v>
      </c>
      <c r="W34" s="21">
        <f t="shared" si="17"/>
        <v>0</v>
      </c>
      <c r="X34" s="21">
        <f t="shared" si="17"/>
        <v>0</v>
      </c>
      <c r="Y34" s="21">
        <f t="shared" si="17"/>
        <v>0</v>
      </c>
      <c r="Z34" s="21">
        <f t="shared" si="17"/>
        <v>0</v>
      </c>
      <c r="AA34" s="21">
        <f t="shared" si="17"/>
        <v>0</v>
      </c>
      <c r="AB34" s="21">
        <f t="shared" si="17"/>
        <v>0</v>
      </c>
      <c r="AC34" s="21">
        <f t="shared" si="17"/>
        <v>0</v>
      </c>
      <c r="AD34" s="21" t="e">
        <f t="shared" ref="AD34:AK34" si="18">(AD25/AD1)*1000</f>
        <v>#DIV/0!</v>
      </c>
      <c r="AE34" s="21" t="e">
        <f t="shared" si="18"/>
        <v>#DIV/0!</v>
      </c>
      <c r="AF34" s="21" t="e">
        <f t="shared" si="18"/>
        <v>#DIV/0!</v>
      </c>
      <c r="AG34" s="21" t="e">
        <f t="shared" si="18"/>
        <v>#DIV/0!</v>
      </c>
      <c r="AH34" s="21" t="e">
        <f t="shared" si="18"/>
        <v>#DIV/0!</v>
      </c>
      <c r="AI34" s="21">
        <f t="shared" si="18"/>
        <v>0</v>
      </c>
      <c r="AJ34" s="21">
        <f t="shared" si="18"/>
        <v>0</v>
      </c>
      <c r="AK34" s="21">
        <f t="shared" si="18"/>
        <v>0</v>
      </c>
    </row>
    <row r="35" spans="2:37" outlineLevel="1" x14ac:dyDescent="0.3">
      <c r="B35" s="46" t="s">
        <v>17</v>
      </c>
      <c r="C35" s="19" t="e">
        <f t="shared" si="16"/>
        <v>#DIV/0!</v>
      </c>
      <c r="D35" s="49" t="s">
        <v>19</v>
      </c>
      <c r="E35" s="21">
        <f>E34*35.315</f>
        <v>0</v>
      </c>
      <c r="F35" s="21">
        <f t="shared" ref="F35:AC35" si="19">F34*35.315</f>
        <v>0</v>
      </c>
      <c r="G35" s="21">
        <f t="shared" si="19"/>
        <v>0</v>
      </c>
      <c r="H35" s="21">
        <f t="shared" si="19"/>
        <v>0</v>
      </c>
      <c r="I35" s="21">
        <f t="shared" si="19"/>
        <v>0</v>
      </c>
      <c r="J35" s="21">
        <f t="shared" si="19"/>
        <v>0</v>
      </c>
      <c r="K35" s="21">
        <f t="shared" si="19"/>
        <v>0</v>
      </c>
      <c r="L35" s="21">
        <f t="shared" si="19"/>
        <v>0</v>
      </c>
      <c r="M35" s="21">
        <f t="shared" si="19"/>
        <v>0</v>
      </c>
      <c r="N35" s="21">
        <f t="shared" si="19"/>
        <v>0</v>
      </c>
      <c r="O35" s="21">
        <f t="shared" si="19"/>
        <v>0</v>
      </c>
      <c r="P35" s="21">
        <f t="shared" si="19"/>
        <v>0</v>
      </c>
      <c r="Q35" s="21">
        <f t="shared" si="19"/>
        <v>0</v>
      </c>
      <c r="R35" s="21">
        <f t="shared" si="19"/>
        <v>0</v>
      </c>
      <c r="S35" s="21">
        <f t="shared" si="19"/>
        <v>0</v>
      </c>
      <c r="T35" s="21">
        <f t="shared" si="19"/>
        <v>0</v>
      </c>
      <c r="U35" s="21">
        <f t="shared" si="19"/>
        <v>0</v>
      </c>
      <c r="V35" s="21">
        <f t="shared" si="19"/>
        <v>0</v>
      </c>
      <c r="W35" s="21">
        <f t="shared" si="19"/>
        <v>0</v>
      </c>
      <c r="X35" s="21">
        <f t="shared" si="19"/>
        <v>0</v>
      </c>
      <c r="Y35" s="21">
        <f t="shared" si="19"/>
        <v>0</v>
      </c>
      <c r="Z35" s="21">
        <f t="shared" si="19"/>
        <v>0</v>
      </c>
      <c r="AA35" s="21">
        <f t="shared" si="19"/>
        <v>0</v>
      </c>
      <c r="AB35" s="21">
        <f t="shared" si="19"/>
        <v>0</v>
      </c>
      <c r="AC35" s="21">
        <f t="shared" si="19"/>
        <v>0</v>
      </c>
      <c r="AD35" s="21" t="e">
        <f t="shared" ref="AD35:AK35" si="20">AD34*35.315</f>
        <v>#DIV/0!</v>
      </c>
      <c r="AE35" s="21" t="e">
        <f t="shared" si="20"/>
        <v>#DIV/0!</v>
      </c>
      <c r="AF35" s="21" t="e">
        <f t="shared" si="20"/>
        <v>#DIV/0!</v>
      </c>
      <c r="AG35" s="21" t="e">
        <f t="shared" si="20"/>
        <v>#DIV/0!</v>
      </c>
      <c r="AH35" s="21" t="e">
        <f t="shared" si="20"/>
        <v>#DIV/0!</v>
      </c>
      <c r="AI35" s="21">
        <f t="shared" si="20"/>
        <v>0</v>
      </c>
      <c r="AJ35" s="21">
        <f t="shared" si="20"/>
        <v>0</v>
      </c>
      <c r="AK35" s="21">
        <f t="shared" si="20"/>
        <v>0</v>
      </c>
    </row>
    <row r="36" spans="2:37" outlineLevel="1" x14ac:dyDescent="0.3">
      <c r="B36" s="46" t="s">
        <v>20</v>
      </c>
      <c r="C36" s="19" t="e">
        <f t="shared" si="16"/>
        <v>#DIV/0!</v>
      </c>
      <c r="D36" s="49" t="s">
        <v>16</v>
      </c>
      <c r="E36" s="21">
        <f>(E26/E1)*1000</f>
        <v>0</v>
      </c>
      <c r="F36" s="21">
        <f t="shared" ref="F36:AC36" si="21">(F26/F1)*1000</f>
        <v>0</v>
      </c>
      <c r="G36" s="21">
        <f t="shared" si="21"/>
        <v>0</v>
      </c>
      <c r="H36" s="21">
        <f t="shared" si="21"/>
        <v>0</v>
      </c>
      <c r="I36" s="21">
        <f t="shared" si="21"/>
        <v>0</v>
      </c>
      <c r="J36" s="21">
        <f t="shared" si="21"/>
        <v>0</v>
      </c>
      <c r="K36" s="21">
        <f t="shared" si="21"/>
        <v>0</v>
      </c>
      <c r="L36" s="21">
        <f t="shared" si="21"/>
        <v>0</v>
      </c>
      <c r="M36" s="21">
        <f t="shared" si="21"/>
        <v>0</v>
      </c>
      <c r="N36" s="21">
        <f t="shared" si="21"/>
        <v>0</v>
      </c>
      <c r="O36" s="21">
        <f t="shared" si="21"/>
        <v>0</v>
      </c>
      <c r="P36" s="21">
        <f t="shared" si="21"/>
        <v>0</v>
      </c>
      <c r="Q36" s="21">
        <f t="shared" si="21"/>
        <v>0</v>
      </c>
      <c r="R36" s="21">
        <f t="shared" si="21"/>
        <v>0</v>
      </c>
      <c r="S36" s="21">
        <f t="shared" si="21"/>
        <v>0</v>
      </c>
      <c r="T36" s="21">
        <f t="shared" si="21"/>
        <v>0</v>
      </c>
      <c r="U36" s="21">
        <f t="shared" si="21"/>
        <v>0</v>
      </c>
      <c r="V36" s="21">
        <f t="shared" si="21"/>
        <v>0</v>
      </c>
      <c r="W36" s="21">
        <f t="shared" si="21"/>
        <v>0</v>
      </c>
      <c r="X36" s="21">
        <f t="shared" si="21"/>
        <v>0</v>
      </c>
      <c r="Y36" s="21">
        <f t="shared" si="21"/>
        <v>0</v>
      </c>
      <c r="Z36" s="21">
        <f t="shared" si="21"/>
        <v>0</v>
      </c>
      <c r="AA36" s="21">
        <f t="shared" si="21"/>
        <v>0</v>
      </c>
      <c r="AB36" s="21">
        <f t="shared" si="21"/>
        <v>0</v>
      </c>
      <c r="AC36" s="21">
        <f t="shared" si="21"/>
        <v>0</v>
      </c>
      <c r="AD36" s="21" t="e">
        <f t="shared" ref="AD36:AK36" si="22">(AD26/AD1)*1000</f>
        <v>#DIV/0!</v>
      </c>
      <c r="AE36" s="21" t="e">
        <f t="shared" si="22"/>
        <v>#DIV/0!</v>
      </c>
      <c r="AF36" s="21" t="e">
        <f t="shared" si="22"/>
        <v>#DIV/0!</v>
      </c>
      <c r="AG36" s="21" t="e">
        <f t="shared" si="22"/>
        <v>#DIV/0!</v>
      </c>
      <c r="AH36" s="21" t="e">
        <f t="shared" si="22"/>
        <v>#DIV/0!</v>
      </c>
      <c r="AI36" s="21">
        <f t="shared" si="22"/>
        <v>0</v>
      </c>
      <c r="AJ36" s="21">
        <f t="shared" si="22"/>
        <v>0</v>
      </c>
      <c r="AK36" s="21">
        <f t="shared" si="22"/>
        <v>0</v>
      </c>
    </row>
    <row r="37" spans="2:37" outlineLevel="1" x14ac:dyDescent="0.3">
      <c r="B37" s="46" t="s">
        <v>21</v>
      </c>
      <c r="C37" s="19" t="e">
        <f t="shared" si="16"/>
        <v>#DIV/0!</v>
      </c>
      <c r="D37" s="49" t="s">
        <v>18</v>
      </c>
      <c r="E37" s="21">
        <f>(E27/E1)*1000</f>
        <v>0</v>
      </c>
      <c r="F37" s="21">
        <f t="shared" ref="F37:AC37" si="23">(F27/F1)*1000</f>
        <v>0</v>
      </c>
      <c r="G37" s="21">
        <f t="shared" si="23"/>
        <v>0</v>
      </c>
      <c r="H37" s="21">
        <f t="shared" si="23"/>
        <v>0</v>
      </c>
      <c r="I37" s="21">
        <f t="shared" si="23"/>
        <v>0</v>
      </c>
      <c r="J37" s="21">
        <f t="shared" si="23"/>
        <v>0</v>
      </c>
      <c r="K37" s="21">
        <f t="shared" si="23"/>
        <v>0</v>
      </c>
      <c r="L37" s="21">
        <f t="shared" si="23"/>
        <v>0</v>
      </c>
      <c r="M37" s="21">
        <f t="shared" si="23"/>
        <v>0</v>
      </c>
      <c r="N37" s="21">
        <f t="shared" si="23"/>
        <v>0</v>
      </c>
      <c r="O37" s="21">
        <f t="shared" si="23"/>
        <v>0</v>
      </c>
      <c r="P37" s="21">
        <f t="shared" si="23"/>
        <v>0</v>
      </c>
      <c r="Q37" s="21">
        <f t="shared" si="23"/>
        <v>0</v>
      </c>
      <c r="R37" s="21">
        <f t="shared" si="23"/>
        <v>0</v>
      </c>
      <c r="S37" s="21">
        <f t="shared" si="23"/>
        <v>0</v>
      </c>
      <c r="T37" s="21">
        <f t="shared" si="23"/>
        <v>0</v>
      </c>
      <c r="U37" s="21">
        <f t="shared" si="23"/>
        <v>0</v>
      </c>
      <c r="V37" s="21">
        <f t="shared" si="23"/>
        <v>0</v>
      </c>
      <c r="W37" s="21">
        <f t="shared" si="23"/>
        <v>0</v>
      </c>
      <c r="X37" s="21">
        <f t="shared" si="23"/>
        <v>0</v>
      </c>
      <c r="Y37" s="21">
        <f t="shared" si="23"/>
        <v>0</v>
      </c>
      <c r="Z37" s="21">
        <f t="shared" si="23"/>
        <v>0</v>
      </c>
      <c r="AA37" s="21">
        <f t="shared" si="23"/>
        <v>0</v>
      </c>
      <c r="AB37" s="21">
        <f t="shared" si="23"/>
        <v>0</v>
      </c>
      <c r="AC37" s="21">
        <f t="shared" si="23"/>
        <v>0</v>
      </c>
      <c r="AD37" s="21" t="e">
        <f t="shared" ref="AD37:AK37" si="24">(AD27/AD1)*1000</f>
        <v>#DIV/0!</v>
      </c>
      <c r="AE37" s="21" t="e">
        <f t="shared" si="24"/>
        <v>#DIV/0!</v>
      </c>
      <c r="AF37" s="21" t="e">
        <f t="shared" si="24"/>
        <v>#DIV/0!</v>
      </c>
      <c r="AG37" s="21" t="e">
        <f t="shared" si="24"/>
        <v>#DIV/0!</v>
      </c>
      <c r="AH37" s="21" t="e">
        <f t="shared" si="24"/>
        <v>#DIV/0!</v>
      </c>
      <c r="AI37" s="21">
        <f t="shared" si="24"/>
        <v>0</v>
      </c>
      <c r="AJ37" s="21">
        <f t="shared" si="24"/>
        <v>0</v>
      </c>
      <c r="AK37" s="21">
        <f t="shared" si="24"/>
        <v>0</v>
      </c>
    </row>
    <row r="38" spans="2:37" outlineLevel="1" x14ac:dyDescent="0.3">
      <c r="B38" s="46" t="s">
        <v>21</v>
      </c>
      <c r="C38" s="19" t="e">
        <f t="shared" si="16"/>
        <v>#DIV/0!</v>
      </c>
      <c r="D38" s="49" t="s">
        <v>19</v>
      </c>
      <c r="E38" s="21">
        <f>E37*35.315</f>
        <v>0</v>
      </c>
      <c r="F38" s="21">
        <f t="shared" ref="F38:AC38" si="25">F37*35.315</f>
        <v>0</v>
      </c>
      <c r="G38" s="21">
        <f t="shared" si="25"/>
        <v>0</v>
      </c>
      <c r="H38" s="21">
        <f t="shared" si="25"/>
        <v>0</v>
      </c>
      <c r="I38" s="21">
        <f t="shared" si="25"/>
        <v>0</v>
      </c>
      <c r="J38" s="21">
        <f t="shared" si="25"/>
        <v>0</v>
      </c>
      <c r="K38" s="21">
        <f t="shared" si="25"/>
        <v>0</v>
      </c>
      <c r="L38" s="21">
        <f t="shared" si="25"/>
        <v>0</v>
      </c>
      <c r="M38" s="21">
        <f t="shared" si="25"/>
        <v>0</v>
      </c>
      <c r="N38" s="21">
        <f t="shared" si="25"/>
        <v>0</v>
      </c>
      <c r="O38" s="21">
        <f t="shared" si="25"/>
        <v>0</v>
      </c>
      <c r="P38" s="21">
        <f t="shared" si="25"/>
        <v>0</v>
      </c>
      <c r="Q38" s="21">
        <f t="shared" si="25"/>
        <v>0</v>
      </c>
      <c r="R38" s="21">
        <f t="shared" si="25"/>
        <v>0</v>
      </c>
      <c r="S38" s="21">
        <f t="shared" si="25"/>
        <v>0</v>
      </c>
      <c r="T38" s="21">
        <f t="shared" si="25"/>
        <v>0</v>
      </c>
      <c r="U38" s="21">
        <f t="shared" si="25"/>
        <v>0</v>
      </c>
      <c r="V38" s="21">
        <f t="shared" si="25"/>
        <v>0</v>
      </c>
      <c r="W38" s="21">
        <f t="shared" si="25"/>
        <v>0</v>
      </c>
      <c r="X38" s="21">
        <f t="shared" si="25"/>
        <v>0</v>
      </c>
      <c r="Y38" s="21">
        <f t="shared" si="25"/>
        <v>0</v>
      </c>
      <c r="Z38" s="21">
        <f t="shared" si="25"/>
        <v>0</v>
      </c>
      <c r="AA38" s="21">
        <f t="shared" si="25"/>
        <v>0</v>
      </c>
      <c r="AB38" s="21">
        <f t="shared" si="25"/>
        <v>0</v>
      </c>
      <c r="AC38" s="21">
        <f t="shared" si="25"/>
        <v>0</v>
      </c>
      <c r="AD38" s="21" t="e">
        <f t="shared" ref="AD38:AK38" si="26">AD37*35.315</f>
        <v>#DIV/0!</v>
      </c>
      <c r="AE38" s="21" t="e">
        <f t="shared" si="26"/>
        <v>#DIV/0!</v>
      </c>
      <c r="AF38" s="21" t="e">
        <f t="shared" si="26"/>
        <v>#DIV/0!</v>
      </c>
      <c r="AG38" s="21" t="e">
        <f t="shared" si="26"/>
        <v>#DIV/0!</v>
      </c>
      <c r="AH38" s="21" t="e">
        <f t="shared" si="26"/>
        <v>#DIV/0!</v>
      </c>
      <c r="AI38" s="21">
        <f t="shared" si="26"/>
        <v>0</v>
      </c>
      <c r="AJ38" s="21">
        <f t="shared" si="26"/>
        <v>0</v>
      </c>
      <c r="AK38" s="21">
        <f t="shared" si="26"/>
        <v>0</v>
      </c>
    </row>
    <row r="39" spans="2:37" outlineLevel="1" x14ac:dyDescent="0.3">
      <c r="B39" s="46"/>
      <c r="C39" s="19"/>
      <c r="D39" s="49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</row>
    <row r="40" spans="2:37" outlineLevel="1" x14ac:dyDescent="0.3">
      <c r="B40" s="46" t="s">
        <v>22</v>
      </c>
      <c r="C40" s="19">
        <f t="shared" si="3"/>
        <v>404.32013482812494</v>
      </c>
      <c r="D40" s="49" t="s">
        <v>0</v>
      </c>
      <c r="E40" s="21">
        <f>(IF(Intro!$C$10="A",E117, IF(Intro!$C$10="B",E134,E151)))*(1+Intro!$G$30)</f>
        <v>0</v>
      </c>
      <c r="F40" s="21">
        <f>(IF(Intro!$C$10="A",F117, IF(Intro!$C$10="B",F134,F151)))*(1+Intro!$G$30)</f>
        <v>0</v>
      </c>
      <c r="G40" s="21">
        <f>(IF(Intro!$C$10="A",G117, IF(Intro!$C$10="B",G134,G151)))*(1+Intro!$G$30)</f>
        <v>0</v>
      </c>
      <c r="H40" s="21">
        <f>(IF(Intro!$C$10="A",H117, IF(Intro!$C$10="B",H134,H151)))*(1+Intro!$G$30)</f>
        <v>0</v>
      </c>
      <c r="I40" s="21">
        <f>(IF(Intro!$C$10="A",I117, IF(Intro!$C$10="B",I134,I151)))*(1+Intro!$G$30)</f>
        <v>0</v>
      </c>
      <c r="J40" s="21">
        <f>(IF(Intro!$C$10="A",J117, IF(Intro!$C$10="B",J134,J151)))*(1+Intro!$G$30)</f>
        <v>38.662999999999997</v>
      </c>
      <c r="K40" s="21">
        <f>(IF(Intro!$C$10="A",K117, IF(Intro!$C$10="B",K134,K151)))*(1+Intro!$G$30)</f>
        <v>118.88872499999999</v>
      </c>
      <c r="L40" s="21">
        <f>(IF(Intro!$C$10="A",L117, IF(Intro!$C$10="B",L134,L151)))*(1+Intro!$G$30)</f>
        <v>121.86094312499998</v>
      </c>
      <c r="M40" s="21">
        <f>(IF(Intro!$C$10="A",M117, IF(Intro!$C$10="B",M134,M151)))*(1+Intro!$G$30)</f>
        <v>124.90746670312497</v>
      </c>
      <c r="N40" s="21">
        <f>(IF(Intro!$C$10="A",N117, IF(Intro!$C$10="B",N134,N151)))*(1+Intro!$G$30)</f>
        <v>0</v>
      </c>
      <c r="O40" s="21">
        <f>(IF(Intro!$C$10="A",O117, IF(Intro!$C$10="B",O134,O151)))*(1+Intro!$G$30)</f>
        <v>0</v>
      </c>
      <c r="P40" s="21">
        <f>(IF(Intro!$C$10="A",P117, IF(Intro!$C$10="B",P134,P151)))*(1+Intro!$G$30)</f>
        <v>0</v>
      </c>
      <c r="Q40" s="21">
        <f>(IF(Intro!$C$10="A",Q117, IF(Intro!$C$10="B",Q134,Q151)))*(1+Intro!$G$30)</f>
        <v>0</v>
      </c>
      <c r="R40" s="21">
        <f>(IF(Intro!$C$10="A",R117, IF(Intro!$C$10="B",R134,R151)))*(1+Intro!$G$30)</f>
        <v>0</v>
      </c>
      <c r="S40" s="21">
        <f>(IF(Intro!$C$10="A",S117, IF(Intro!$C$10="B",S134,S151)))*(1+Intro!$G$30)</f>
        <v>0</v>
      </c>
      <c r="T40" s="21">
        <f>(IF(Intro!$C$10="A",T117, IF(Intro!$C$10="B",T134,T151)))*(1+Intro!$G$30)</f>
        <v>0</v>
      </c>
      <c r="U40" s="21">
        <f>(IF(Intro!$C$10="A",U117, IF(Intro!$C$10="B",U134,U151)))*(1+Intro!$G$30)</f>
        <v>0</v>
      </c>
      <c r="V40" s="21">
        <f>(IF(Intro!$C$10="A",V117, IF(Intro!$C$10="B",V134,V151)))*(1+Intro!$G$30)</f>
        <v>0</v>
      </c>
      <c r="W40" s="21">
        <f>(IF(Intro!$C$10="A",W117, IF(Intro!$C$10="B",W134,W151)))*(1+Intro!$G$30)</f>
        <v>0</v>
      </c>
      <c r="X40" s="21">
        <f>(IF(Intro!$C$10="A",X117, IF(Intro!$C$10="B",X134,X151)))*(1+Intro!$G$30)</f>
        <v>0</v>
      </c>
      <c r="Y40" s="21">
        <f>(IF(Intro!$C$10="A",Y117, IF(Intro!$C$10="B",Y134,Y151)))*(1+Intro!$G$30)</f>
        <v>0</v>
      </c>
      <c r="Z40" s="21">
        <f>(IF(Intro!$C$10="A",Z117, IF(Intro!$C$10="B",Z134,Z151)))*(1+Intro!$G$30)</f>
        <v>0</v>
      </c>
      <c r="AA40" s="21">
        <f>(IF(Intro!$C$10="A",AA117, IF(Intro!$C$10="B",AA134,AA151)))*(1+Intro!$G$30)</f>
        <v>0</v>
      </c>
      <c r="AB40" s="21">
        <f>(IF(Intro!$C$10="A",AB117, IF(Intro!$C$10="B",AB134,AB151)))*(1+Intro!$G$30)</f>
        <v>0</v>
      </c>
      <c r="AC40" s="21">
        <f>(IF(Intro!$C$10="A",AC117, IF(Intro!$C$10="B",AC134,AC151)))*(1+Intro!$G$30)</f>
        <v>0</v>
      </c>
      <c r="AD40" s="21">
        <f>(IF(Intro!$C$10="A",AD117, IF(Intro!$C$10="B",AD134,AD151)))*(1+Intro!$G$30)</f>
        <v>0</v>
      </c>
      <c r="AE40" s="21">
        <f>(IF(Intro!$C$10="A",AE117, IF(Intro!$C$10="B",AE134,AE151)))*(1+Intro!$G$30)</f>
        <v>0</v>
      </c>
      <c r="AF40" s="21">
        <f>(IF(Intro!$C$10="A",AF117, IF(Intro!$C$10="B",AF134,AF151)))*(1+Intro!$G$30)</f>
        <v>0</v>
      </c>
      <c r="AG40" s="21">
        <f>(IF(Intro!$C$10="A",AG117, IF(Intro!$C$10="B",AG134,AG151)))*(1+Intro!$G$30)</f>
        <v>0</v>
      </c>
      <c r="AH40" s="21">
        <f>(IF(Intro!$C$10="A",AH117, IF(Intro!$C$10="B",AH134,AH151)))*(1+Intro!$G$30)</f>
        <v>0</v>
      </c>
      <c r="AI40" s="21">
        <f>(IF(Intro!$C$10="A",AI117, IF(Intro!$C$10="B",AI134,AI151)))*(1+Intro!$G$30)</f>
        <v>0</v>
      </c>
      <c r="AJ40" s="21">
        <f>(IF(Intro!$C$10="A",AJ117, IF(Intro!$C$10="B",AJ134,AJ151)))*(1+Intro!$G$30)</f>
        <v>0</v>
      </c>
      <c r="AK40" s="21">
        <f>(IF(Intro!$C$10="A",AK117, IF(Intro!$C$10="B",AK134,AK151)))*(1+Intro!$G$30)</f>
        <v>0</v>
      </c>
    </row>
    <row r="41" spans="2:37" outlineLevel="1" x14ac:dyDescent="0.3">
      <c r="B41" s="46" t="s">
        <v>23</v>
      </c>
      <c r="C41" s="19">
        <f t="shared" si="3"/>
        <v>1017.7034686328122</v>
      </c>
      <c r="D41" s="49" t="s">
        <v>0</v>
      </c>
      <c r="E41" s="21">
        <f>(IF(Intro!$C$10="A",E118, IF(Intro!$C$10="B",E135,E152)))*(1+Intro!$G$30)</f>
        <v>0</v>
      </c>
      <c r="F41" s="21">
        <f>(IF(Intro!$C$10="A",F118, IF(Intro!$C$10="B",F135,F152)))*(1+Intro!$G$30)</f>
        <v>0</v>
      </c>
      <c r="G41" s="21">
        <f>(IF(Intro!$C$10="A",G118, IF(Intro!$C$10="B",G135,G152)))*(1+Intro!$G$30)</f>
        <v>0</v>
      </c>
      <c r="H41" s="21">
        <f>(IF(Intro!$C$10="A",H118, IF(Intro!$C$10="B",H135,H152)))*(1+Intro!$G$30)</f>
        <v>0</v>
      </c>
      <c r="I41" s="21">
        <f>(IF(Intro!$C$10="A",I118, IF(Intro!$C$10="B",I135,I152)))*(1+Intro!$G$30)</f>
        <v>0</v>
      </c>
      <c r="J41" s="21">
        <f>(IF(Intro!$C$10="A",J118, IF(Intro!$C$10="B",J135,J152)))*(1+Intro!$G$30)</f>
        <v>97.077749999999995</v>
      </c>
      <c r="K41" s="21">
        <f>(IF(Intro!$C$10="A",K118, IF(Intro!$C$10="B",K135,K152)))*(1+Intro!$G$30)</f>
        <v>232.17761874999997</v>
      </c>
      <c r="L41" s="21">
        <f>(IF(Intro!$C$10="A",L118, IF(Intro!$C$10="B",L135,L152)))*(1+Intro!$G$30)</f>
        <v>339.9743703124999</v>
      </c>
      <c r="M41" s="21">
        <f>(IF(Intro!$C$10="A",M118, IF(Intro!$C$10="B",M135,M152)))*(1+Intro!$G$30)</f>
        <v>348.4737295703124</v>
      </c>
      <c r="N41" s="21">
        <f>(IF(Intro!$C$10="A",N118, IF(Intro!$C$10="B",N135,N152)))*(1+Intro!$G$30)</f>
        <v>0</v>
      </c>
      <c r="O41" s="21">
        <f>(IF(Intro!$C$10="A",O118, IF(Intro!$C$10="B",O135,O152)))*(1+Intro!$G$30)</f>
        <v>0</v>
      </c>
      <c r="P41" s="21">
        <f>(IF(Intro!$C$10="A",P118, IF(Intro!$C$10="B",P135,P152)))*(1+Intro!$G$30)</f>
        <v>0</v>
      </c>
      <c r="Q41" s="21">
        <f>(IF(Intro!$C$10="A",Q118, IF(Intro!$C$10="B",Q135,Q152)))*(1+Intro!$G$30)</f>
        <v>0</v>
      </c>
      <c r="R41" s="21">
        <f>(IF(Intro!$C$10="A",R118, IF(Intro!$C$10="B",R135,R152)))*(1+Intro!$G$30)</f>
        <v>0</v>
      </c>
      <c r="S41" s="21">
        <f>(IF(Intro!$C$10="A",S118, IF(Intro!$C$10="B",S135,S152)))*(1+Intro!$G$30)</f>
        <v>0</v>
      </c>
      <c r="T41" s="21">
        <f>(IF(Intro!$C$10="A",T118, IF(Intro!$C$10="B",T135,T152)))*(1+Intro!$G$30)</f>
        <v>0</v>
      </c>
      <c r="U41" s="21">
        <f>(IF(Intro!$C$10="A",U118, IF(Intro!$C$10="B",U135,U152)))*(1+Intro!$G$30)</f>
        <v>0</v>
      </c>
      <c r="V41" s="21">
        <f>(IF(Intro!$C$10="A",V118, IF(Intro!$C$10="B",V135,V152)))*(1+Intro!$G$30)</f>
        <v>0</v>
      </c>
      <c r="W41" s="21">
        <f>(IF(Intro!$C$10="A",W118, IF(Intro!$C$10="B",W135,W152)))*(1+Intro!$G$30)</f>
        <v>0</v>
      </c>
      <c r="X41" s="21">
        <f>(IF(Intro!$C$10="A",X118, IF(Intro!$C$10="B",X135,X152)))*(1+Intro!$G$30)</f>
        <v>0</v>
      </c>
      <c r="Y41" s="21">
        <f>(IF(Intro!$C$10="A",Y118, IF(Intro!$C$10="B",Y135,Y152)))*(1+Intro!$G$30)</f>
        <v>0</v>
      </c>
      <c r="Z41" s="21">
        <f>(IF(Intro!$C$10="A",Z118, IF(Intro!$C$10="B",Z135,Z152)))*(1+Intro!$G$30)</f>
        <v>0</v>
      </c>
      <c r="AA41" s="21">
        <f>(IF(Intro!$C$10="A",AA118, IF(Intro!$C$10="B",AA135,AA152)))*(1+Intro!$G$30)</f>
        <v>0</v>
      </c>
      <c r="AB41" s="21">
        <f>(IF(Intro!$C$10="A",AB118, IF(Intro!$C$10="B",AB135,AB152)))*(1+Intro!$G$30)</f>
        <v>0</v>
      </c>
      <c r="AC41" s="21">
        <f>(IF(Intro!$C$10="A",AC118, IF(Intro!$C$10="B",AC135,AC152)))*(1+Intro!$G$30)</f>
        <v>0</v>
      </c>
      <c r="AD41" s="21">
        <f>(IF(Intro!$C$10="A",AD118, IF(Intro!$C$10="B",AD135,AD152)))*(1+Intro!$G$30)</f>
        <v>0</v>
      </c>
      <c r="AE41" s="21">
        <f>(IF(Intro!$C$10="A",AE118, IF(Intro!$C$10="B",AE135,AE152)))*(1+Intro!$G$30)</f>
        <v>0</v>
      </c>
      <c r="AF41" s="21">
        <f>(IF(Intro!$C$10="A",AF118, IF(Intro!$C$10="B",AF135,AF152)))*(1+Intro!$G$30)</f>
        <v>0</v>
      </c>
      <c r="AG41" s="21">
        <f>(IF(Intro!$C$10="A",AG118, IF(Intro!$C$10="B",AG135,AG152)))*(1+Intro!$G$30)</f>
        <v>0</v>
      </c>
      <c r="AH41" s="21">
        <f>(IF(Intro!$C$10="A",AH118, IF(Intro!$C$10="B",AH135,AH152)))*(1+Intro!$G$30)</f>
        <v>0</v>
      </c>
      <c r="AI41" s="21">
        <f>(IF(Intro!$C$10="A",AI118, IF(Intro!$C$10="B",AI135,AI152)))*(1+Intro!$G$30)</f>
        <v>0</v>
      </c>
      <c r="AJ41" s="21">
        <f>(IF(Intro!$C$10="A",AJ118, IF(Intro!$C$10="B",AJ135,AJ152)))*(1+Intro!$G$30)</f>
        <v>0</v>
      </c>
      <c r="AK41" s="21">
        <f>(IF(Intro!$C$10="A",AK118, IF(Intro!$C$10="B",AK135,AK152)))*(1+Intro!$G$30)</f>
        <v>0</v>
      </c>
    </row>
    <row r="42" spans="2:37" outlineLevel="1" x14ac:dyDescent="0.3">
      <c r="B42" s="46" t="s">
        <v>24</v>
      </c>
      <c r="C42" s="19">
        <f t="shared" si="3"/>
        <v>96.282838916992176</v>
      </c>
      <c r="D42" s="49" t="s">
        <v>0</v>
      </c>
      <c r="E42" s="21">
        <f>(IF(Intro!$C$10="A",E119, IF(Intro!$C$10="B",E136,E153)))*(1+Intro!$G$30)</f>
        <v>0</v>
      </c>
      <c r="F42" s="21">
        <f>(IF(Intro!$C$10="A",F119, IF(Intro!$C$10="B",F136,F153)))*(1+Intro!$G$30)</f>
        <v>0</v>
      </c>
      <c r="G42" s="21">
        <f>(IF(Intro!$C$10="A",G119, IF(Intro!$C$10="B",G136,G153)))*(1+Intro!$G$30)</f>
        <v>0</v>
      </c>
      <c r="H42" s="21">
        <f>(IF(Intro!$C$10="A",H119, IF(Intro!$C$10="B",H136,H153)))*(1+Intro!$G$30)</f>
        <v>0</v>
      </c>
      <c r="I42" s="21">
        <f>(IF(Intro!$C$10="A",I119, IF(Intro!$C$10="B",I136,I153)))*(1+Intro!$G$30)</f>
        <v>0</v>
      </c>
      <c r="J42" s="21">
        <f>(IF(Intro!$C$10="A",J119, IF(Intro!$C$10="B",J136,J153)))*(1+Intro!$G$30)</f>
        <v>0</v>
      </c>
      <c r="K42" s="21">
        <f>(IF(Intro!$C$10="A",K119, IF(Intro!$C$10="B",K136,K153)))*(1+Intro!$G$30)</f>
        <v>0</v>
      </c>
      <c r="L42" s="21">
        <f>(IF(Intro!$C$10="A",L119, IF(Intro!$C$10="B",L136,L153)))*(1+Intro!$G$30)</f>
        <v>45.256328515625</v>
      </c>
      <c r="M42" s="21">
        <f>(IF(Intro!$C$10="A",M119, IF(Intro!$C$10="B",M136,M153)))*(1+Intro!$G$30)</f>
        <v>51.026510401367176</v>
      </c>
      <c r="N42" s="21">
        <f>(IF(Intro!$C$10="A",N119, IF(Intro!$C$10="B",N136,N153)))*(1+Intro!$G$30)</f>
        <v>0</v>
      </c>
      <c r="O42" s="21">
        <f>(IF(Intro!$C$10="A",O119, IF(Intro!$C$10="B",O136,O153)))*(1+Intro!$G$30)</f>
        <v>0</v>
      </c>
      <c r="P42" s="21">
        <f>(IF(Intro!$C$10="A",P119, IF(Intro!$C$10="B",P136,P153)))*(1+Intro!$G$30)</f>
        <v>0</v>
      </c>
      <c r="Q42" s="21">
        <f>(IF(Intro!$C$10="A",Q119, IF(Intro!$C$10="B",Q136,Q153)))*(1+Intro!$G$30)</f>
        <v>0</v>
      </c>
      <c r="R42" s="21">
        <f>(IF(Intro!$C$10="A",R119, IF(Intro!$C$10="B",R136,R153)))*(1+Intro!$G$30)</f>
        <v>0</v>
      </c>
      <c r="S42" s="21">
        <f>(IF(Intro!$C$10="A",S119, IF(Intro!$C$10="B",S136,S153)))*(1+Intro!$G$30)</f>
        <v>0</v>
      </c>
      <c r="T42" s="21">
        <f>(IF(Intro!$C$10="A",T119, IF(Intro!$C$10="B",T136,T153)))*(1+Intro!$G$30)</f>
        <v>0</v>
      </c>
      <c r="U42" s="21">
        <f>(IF(Intro!$C$10="A",U119, IF(Intro!$C$10="B",U136,U153)))*(1+Intro!$G$30)</f>
        <v>0</v>
      </c>
      <c r="V42" s="21">
        <f>(IF(Intro!$C$10="A",V119, IF(Intro!$C$10="B",V136,V153)))*(1+Intro!$G$30)</f>
        <v>0</v>
      </c>
      <c r="W42" s="21">
        <f>(IF(Intro!$C$10="A",W119, IF(Intro!$C$10="B",W136,W153)))*(1+Intro!$G$30)</f>
        <v>0</v>
      </c>
      <c r="X42" s="21">
        <f>(IF(Intro!$C$10="A",X119, IF(Intro!$C$10="B",X136,X153)))*(1+Intro!$G$30)</f>
        <v>0</v>
      </c>
      <c r="Y42" s="21">
        <f>(IF(Intro!$C$10="A",Y119, IF(Intro!$C$10="B",Y136,Y153)))*(1+Intro!$G$30)</f>
        <v>0</v>
      </c>
      <c r="Z42" s="21">
        <f>(IF(Intro!$C$10="A",Z119, IF(Intro!$C$10="B",Z136,Z153)))*(1+Intro!$G$30)</f>
        <v>0</v>
      </c>
      <c r="AA42" s="21">
        <f>(IF(Intro!$C$10="A",AA119, IF(Intro!$C$10="B",AA136,AA153)))*(1+Intro!$G$30)</f>
        <v>0</v>
      </c>
      <c r="AB42" s="21">
        <f>(IF(Intro!$C$10="A",AB119, IF(Intro!$C$10="B",AB136,AB153)))*(1+Intro!$G$30)</f>
        <v>0</v>
      </c>
      <c r="AC42" s="21">
        <f>(IF(Intro!$C$10="A",AC119, IF(Intro!$C$10="B",AC136,AC153)))*(1+Intro!$G$30)</f>
        <v>0</v>
      </c>
      <c r="AD42" s="21">
        <f>(IF(Intro!$C$10="A",AD119, IF(Intro!$C$10="B",AD136,AD153)))*(1+Intro!$G$30)</f>
        <v>0</v>
      </c>
      <c r="AE42" s="21">
        <f>(IF(Intro!$C$10="A",AE119, IF(Intro!$C$10="B",AE136,AE153)))*(1+Intro!$G$30)</f>
        <v>0</v>
      </c>
      <c r="AF42" s="21">
        <f>(IF(Intro!$C$10="A",AF119, IF(Intro!$C$10="B",AF136,AF153)))*(1+Intro!$G$30)</f>
        <v>0</v>
      </c>
      <c r="AG42" s="21">
        <f>(IF(Intro!$C$10="A",AG119, IF(Intro!$C$10="B",AG136,AG153)))*(1+Intro!$G$30)</f>
        <v>0</v>
      </c>
      <c r="AH42" s="21">
        <f>(IF(Intro!$C$10="A",AH119, IF(Intro!$C$10="B",AH136,AH153)))*(1+Intro!$G$30)</f>
        <v>0</v>
      </c>
      <c r="AI42" s="21">
        <f>(IF(Intro!$C$10="A",AI119, IF(Intro!$C$10="B",AI136,AI153)))*(1+Intro!$G$30)</f>
        <v>0</v>
      </c>
      <c r="AJ42" s="21">
        <f>(IF(Intro!$C$10="A",AJ119, IF(Intro!$C$10="B",AJ136,AJ153)))*(1+Intro!$G$30)</f>
        <v>0</v>
      </c>
      <c r="AK42" s="21">
        <f>(IF(Intro!$C$10="A",AK119, IF(Intro!$C$10="B",AK136,AK153)))*(1+Intro!$G$30)</f>
        <v>0</v>
      </c>
    </row>
    <row r="43" spans="2:37" outlineLevel="1" x14ac:dyDescent="0.3">
      <c r="B43" s="46" t="s">
        <v>25</v>
      </c>
      <c r="C43" s="19">
        <f t="shared" si="3"/>
        <v>6.7975437499999991</v>
      </c>
      <c r="D43" s="49" t="s">
        <v>0</v>
      </c>
      <c r="E43" s="21">
        <f>(IF(Intro!$C$10="A",E120, IF(Intro!$C$10="B",E137,E154)))*(1+Intro!$G$30)</f>
        <v>0</v>
      </c>
      <c r="F43" s="21">
        <f>(IF(Intro!$C$10="A",F120, IF(Intro!$C$10="B",F137,F154)))*(1+Intro!$G$30)</f>
        <v>0</v>
      </c>
      <c r="G43" s="21">
        <f>(IF(Intro!$C$10="A",G120, IF(Intro!$C$10="B",G137,G154)))*(1+Intro!$G$30)</f>
        <v>0</v>
      </c>
      <c r="H43" s="21">
        <f>(IF(Intro!$C$10="A",H120, IF(Intro!$C$10="B",H137,H154)))*(1+Intro!$G$30)</f>
        <v>0</v>
      </c>
      <c r="I43" s="21">
        <f>(IF(Intro!$C$10="A",I120, IF(Intro!$C$10="B",I137,I154)))*(1+Intro!$G$30)</f>
        <v>0</v>
      </c>
      <c r="J43" s="21">
        <f>(IF(Intro!$C$10="A",J120, IF(Intro!$C$10="B",J137,J154)))*(1+Intro!$G$30)</f>
        <v>6.7975437499999991</v>
      </c>
      <c r="K43" s="21">
        <f>(IF(Intro!$C$10="A",K120, IF(Intro!$C$10="B",K137,K154)))*(1+Intro!$G$30)</f>
        <v>0</v>
      </c>
      <c r="L43" s="21">
        <f>(IF(Intro!$C$10="A",L120, IF(Intro!$C$10="B",L137,L154)))*(1+Intro!$G$30)</f>
        <v>0</v>
      </c>
      <c r="M43" s="21">
        <f>(IF(Intro!$C$10="A",M120, IF(Intro!$C$10="B",M137,M154)))*(1+Intro!$G$30)</f>
        <v>0</v>
      </c>
      <c r="N43" s="21">
        <f>(IF(Intro!$C$10="A",N120, IF(Intro!$C$10="B",N137,N154)))*(1+Intro!$G$30)</f>
        <v>0</v>
      </c>
      <c r="O43" s="21">
        <f>(IF(Intro!$C$10="A",O120, IF(Intro!$C$10="B",O137,O154)))*(1+Intro!$G$30)</f>
        <v>0</v>
      </c>
      <c r="P43" s="21">
        <f>(IF(Intro!$C$10="A",P120, IF(Intro!$C$10="B",P137,P154)))*(1+Intro!$G$30)</f>
        <v>0</v>
      </c>
      <c r="Q43" s="21">
        <f>(IF(Intro!$C$10="A",Q120, IF(Intro!$C$10="B",Q137,Q154)))*(1+Intro!$G$30)</f>
        <v>0</v>
      </c>
      <c r="R43" s="21">
        <f>(IF(Intro!$C$10="A",R120, IF(Intro!$C$10="B",R137,R154)))*(1+Intro!$G$30)</f>
        <v>0</v>
      </c>
      <c r="S43" s="21">
        <f>(IF(Intro!$C$10="A",S120, IF(Intro!$C$10="B",S137,S154)))*(1+Intro!$G$30)</f>
        <v>0</v>
      </c>
      <c r="T43" s="21">
        <f>(IF(Intro!$C$10="A",T120, IF(Intro!$C$10="B",T137,T154)))*(1+Intro!$G$30)</f>
        <v>0</v>
      </c>
      <c r="U43" s="21">
        <f>(IF(Intro!$C$10="A",U120, IF(Intro!$C$10="B",U137,U154)))*(1+Intro!$G$30)</f>
        <v>0</v>
      </c>
      <c r="V43" s="21">
        <f>(IF(Intro!$C$10="A",V120, IF(Intro!$C$10="B",V137,V154)))*(1+Intro!$G$30)</f>
        <v>0</v>
      </c>
      <c r="W43" s="21">
        <f>(IF(Intro!$C$10="A",W120, IF(Intro!$C$10="B",W137,W154)))*(1+Intro!$G$30)</f>
        <v>0</v>
      </c>
      <c r="X43" s="21">
        <f>(IF(Intro!$C$10="A",X120, IF(Intro!$C$10="B",X137,X154)))*(1+Intro!$G$30)</f>
        <v>0</v>
      </c>
      <c r="Y43" s="21">
        <f>(IF(Intro!$C$10="A",Y120, IF(Intro!$C$10="B",Y137,Y154)))*(1+Intro!$G$30)</f>
        <v>0</v>
      </c>
      <c r="Z43" s="21">
        <f>(IF(Intro!$C$10="A",Z120, IF(Intro!$C$10="B",Z137,Z154)))*(1+Intro!$G$30)</f>
        <v>0</v>
      </c>
      <c r="AA43" s="21">
        <f>(IF(Intro!$C$10="A",AA120, IF(Intro!$C$10="B",AA137,AA154)))*(1+Intro!$G$30)</f>
        <v>0</v>
      </c>
      <c r="AB43" s="21">
        <f>(IF(Intro!$C$10="A",AB120, IF(Intro!$C$10="B",AB137,AB154)))*(1+Intro!$G$30)</f>
        <v>0</v>
      </c>
      <c r="AC43" s="21">
        <f>(IF(Intro!$C$10="A",AC120, IF(Intro!$C$10="B",AC137,AC154)))*(1+Intro!$G$30)</f>
        <v>0</v>
      </c>
      <c r="AD43" s="21">
        <f>(IF(Intro!$C$10="A",AD120, IF(Intro!$C$10="B",AD137,AD154)))*(1+Intro!$G$30)</f>
        <v>0</v>
      </c>
      <c r="AE43" s="21">
        <f>(IF(Intro!$C$10="A",AE120, IF(Intro!$C$10="B",AE137,AE154)))*(1+Intro!$G$30)</f>
        <v>0</v>
      </c>
      <c r="AF43" s="21">
        <f>(IF(Intro!$C$10="A",AF120, IF(Intro!$C$10="B",AF137,AF154)))*(1+Intro!$G$30)</f>
        <v>0</v>
      </c>
      <c r="AG43" s="21">
        <f>(IF(Intro!$C$10="A",AG120, IF(Intro!$C$10="B",AG137,AG154)))*(1+Intro!$G$30)</f>
        <v>0</v>
      </c>
      <c r="AH43" s="21">
        <f>(IF(Intro!$C$10="A",AH120, IF(Intro!$C$10="B",AH137,AH154)))*(1+Intro!$G$30)</f>
        <v>0</v>
      </c>
      <c r="AI43" s="21">
        <f>(IF(Intro!$C$10="A",AI120, IF(Intro!$C$10="B",AI137,AI154)))*(1+Intro!$G$30)</f>
        <v>0</v>
      </c>
      <c r="AJ43" s="21">
        <f>(IF(Intro!$C$10="A",AJ120, IF(Intro!$C$10="B",AJ137,AJ154)))*(1+Intro!$G$30)</f>
        <v>0</v>
      </c>
      <c r="AK43" s="21">
        <f>(IF(Intro!$C$10="A",AK120, IF(Intro!$C$10="B",AK137,AK154)))*(1+Intro!$G$30)</f>
        <v>0</v>
      </c>
    </row>
    <row r="44" spans="2:37" outlineLevel="1" x14ac:dyDescent="0.3">
      <c r="B44" s="46" t="s">
        <v>26</v>
      </c>
      <c r="C44" s="19">
        <f t="shared" si="3"/>
        <v>46.134374999999999</v>
      </c>
      <c r="D44" s="49" t="s">
        <v>0</v>
      </c>
      <c r="E44" s="21">
        <f>(IF(Intro!$C$10="A",E121, IF(Intro!$C$10="B",E138,E155)))*(1+Intro!$G$30)</f>
        <v>0</v>
      </c>
      <c r="F44" s="21">
        <f>(IF(Intro!$C$10="A",F121, IF(Intro!$C$10="B",F138,F155)))*(1+Intro!$G$30)</f>
        <v>0</v>
      </c>
      <c r="G44" s="21">
        <f>(IF(Intro!$C$10="A",G121, IF(Intro!$C$10="B",G138,G155)))*(1+Intro!$G$30)</f>
        <v>0</v>
      </c>
      <c r="H44" s="21">
        <f>(IF(Intro!$C$10="A",H121, IF(Intro!$C$10="B",H138,H155)))*(1+Intro!$G$30)</f>
        <v>15</v>
      </c>
      <c r="I44" s="21">
        <f>(IF(Intro!$C$10="A",I121, IF(Intro!$C$10="B",I138,I155)))*(1+Intro!$G$30)</f>
        <v>15.374999999999998</v>
      </c>
      <c r="J44" s="21">
        <f>(IF(Intro!$C$10="A",J121, IF(Intro!$C$10="B",J138,J155)))*(1+Intro!$G$30)</f>
        <v>15.759374999999999</v>
      </c>
      <c r="K44" s="21">
        <f>(IF(Intro!$C$10="A",K121, IF(Intro!$C$10="B",K138,K155)))*(1+Intro!$G$30)</f>
        <v>0</v>
      </c>
      <c r="L44" s="21">
        <f>(IF(Intro!$C$10="A",L121, IF(Intro!$C$10="B",L138,L155)))*(1+Intro!$G$30)</f>
        <v>0</v>
      </c>
      <c r="M44" s="21">
        <f>(IF(Intro!$C$10="A",M121, IF(Intro!$C$10="B",M138,M155)))*(1+Intro!$G$30)</f>
        <v>0</v>
      </c>
      <c r="N44" s="21">
        <f>(IF(Intro!$C$10="A",N121, IF(Intro!$C$10="B",N138,N155)))*(1+Intro!$G$30)</f>
        <v>0</v>
      </c>
      <c r="O44" s="21">
        <f>(IF(Intro!$C$10="A",O121, IF(Intro!$C$10="B",O138,O155)))*(1+Intro!$G$30)</f>
        <v>0</v>
      </c>
      <c r="P44" s="21">
        <f>(IF(Intro!$C$10="A",P121, IF(Intro!$C$10="B",P138,P155)))*(1+Intro!$G$30)</f>
        <v>0</v>
      </c>
      <c r="Q44" s="21">
        <f>(IF(Intro!$C$10="A",Q121, IF(Intro!$C$10="B",Q138,Q155)))*(1+Intro!$G$30)</f>
        <v>0</v>
      </c>
      <c r="R44" s="21">
        <f>(IF(Intro!$C$10="A",R121, IF(Intro!$C$10="B",R138,R155)))*(1+Intro!$G$30)</f>
        <v>0</v>
      </c>
      <c r="S44" s="21">
        <f>(IF(Intro!$C$10="A",S121, IF(Intro!$C$10="B",S138,S155)))*(1+Intro!$G$30)</f>
        <v>0</v>
      </c>
      <c r="T44" s="21">
        <f>(IF(Intro!$C$10="A",T121, IF(Intro!$C$10="B",T138,T155)))*(1+Intro!$G$30)</f>
        <v>0</v>
      </c>
      <c r="U44" s="21">
        <f>(IF(Intro!$C$10="A",U121, IF(Intro!$C$10="B",U138,U155)))*(1+Intro!$G$30)</f>
        <v>0</v>
      </c>
      <c r="V44" s="21">
        <f>(IF(Intro!$C$10="A",V121, IF(Intro!$C$10="B",V138,V155)))*(1+Intro!$G$30)</f>
        <v>0</v>
      </c>
      <c r="W44" s="21">
        <f>(IF(Intro!$C$10="A",W121, IF(Intro!$C$10="B",W138,W155)))*(1+Intro!$G$30)</f>
        <v>0</v>
      </c>
      <c r="X44" s="21">
        <f>(IF(Intro!$C$10="A",X121, IF(Intro!$C$10="B",X138,X155)))*(1+Intro!$G$30)</f>
        <v>0</v>
      </c>
      <c r="Y44" s="21">
        <f>(IF(Intro!$C$10="A",Y121, IF(Intro!$C$10="B",Y138,Y155)))*(1+Intro!$G$30)</f>
        <v>0</v>
      </c>
      <c r="Z44" s="21">
        <f>(IF(Intro!$C$10="A",Z121, IF(Intro!$C$10="B",Z138,Z155)))*(1+Intro!$G$30)</f>
        <v>0</v>
      </c>
      <c r="AA44" s="21">
        <f>(IF(Intro!$C$10="A",AA121, IF(Intro!$C$10="B",AA138,AA155)))*(1+Intro!$G$30)</f>
        <v>0</v>
      </c>
      <c r="AB44" s="21">
        <f>(IF(Intro!$C$10="A",AB121, IF(Intro!$C$10="B",AB138,AB155)))*(1+Intro!$G$30)</f>
        <v>0</v>
      </c>
      <c r="AC44" s="21">
        <f>(IF(Intro!$C$10="A",AC121, IF(Intro!$C$10="B",AC138,AC155)))*(1+Intro!$G$30)</f>
        <v>0</v>
      </c>
      <c r="AD44" s="21">
        <f>(IF(Intro!$C$10="A",AD121, IF(Intro!$C$10="B",AD138,AD155)))*(1+Intro!$G$30)</f>
        <v>0</v>
      </c>
      <c r="AE44" s="21">
        <f>(IF(Intro!$C$10="A",AE121, IF(Intro!$C$10="B",AE138,AE155)))*(1+Intro!$G$30)</f>
        <v>0</v>
      </c>
      <c r="AF44" s="21">
        <f>(IF(Intro!$C$10="A",AF121, IF(Intro!$C$10="B",AF138,AF155)))*(1+Intro!$G$30)</f>
        <v>0</v>
      </c>
      <c r="AG44" s="21">
        <f>(IF(Intro!$C$10="A",AG121, IF(Intro!$C$10="B",AG138,AG155)))*(1+Intro!$G$30)</f>
        <v>0</v>
      </c>
      <c r="AH44" s="21">
        <f>(IF(Intro!$C$10="A",AH121, IF(Intro!$C$10="B",AH138,AH155)))*(1+Intro!$G$30)</f>
        <v>0</v>
      </c>
      <c r="AI44" s="21">
        <f>(IF(Intro!$C$10="A",AI121, IF(Intro!$C$10="B",AI138,AI155)))*(1+Intro!$G$30)</f>
        <v>0</v>
      </c>
      <c r="AJ44" s="21">
        <f>(IF(Intro!$C$10="A",AJ121, IF(Intro!$C$10="B",AJ138,AJ155)))*(1+Intro!$G$30)</f>
        <v>0</v>
      </c>
      <c r="AK44" s="21">
        <f>(IF(Intro!$C$10="A",AK121, IF(Intro!$C$10="B",AK138,AK155)))*(1+Intro!$G$30)</f>
        <v>0</v>
      </c>
    </row>
    <row r="45" spans="2:37" outlineLevel="1" x14ac:dyDescent="0.3">
      <c r="B45" s="46" t="s">
        <v>27</v>
      </c>
      <c r="C45" s="19">
        <f t="shared" si="3"/>
        <v>53.935147656249988</v>
      </c>
      <c r="D45" s="49" t="s">
        <v>0</v>
      </c>
      <c r="E45" s="21">
        <f>(IF(Intro!$C$10="A",E122, IF(Intro!$C$10="B",E139,E156)))*(1+Intro!$G$30)</f>
        <v>0</v>
      </c>
      <c r="F45" s="21">
        <f>(IF(Intro!$C$10="A",F122, IF(Intro!$C$10="B",F139,F156)))*(1+Intro!$G$30)</f>
        <v>0</v>
      </c>
      <c r="G45" s="21">
        <f>(IF(Intro!$C$10="A",G122, IF(Intro!$C$10="B",G139,G156)))*(1+Intro!$G$30)</f>
        <v>0</v>
      </c>
      <c r="H45" s="21">
        <f>(IF(Intro!$C$10="A",H122, IF(Intro!$C$10="B",H139,H156)))*(1+Intro!$G$30)</f>
        <v>0</v>
      </c>
      <c r="I45" s="21">
        <f>(IF(Intro!$C$10="A",I122, IF(Intro!$C$10="B",I139,I156)))*(1+Intro!$G$30)</f>
        <v>0</v>
      </c>
      <c r="J45" s="21">
        <f>(IF(Intro!$C$10="A",J122, IF(Intro!$C$10="B",J139,J156)))*(1+Intro!$G$30)</f>
        <v>15.759374999999999</v>
      </c>
      <c r="K45" s="21">
        <f>(IF(Intro!$C$10="A",K122, IF(Intro!$C$10="B",K139,K156)))*(1+Intro!$G$30)</f>
        <v>18.307140624999999</v>
      </c>
      <c r="L45" s="21">
        <f>(IF(Intro!$C$10="A",L122, IF(Intro!$C$10="B",L139,L156)))*(1+Intro!$G$30)</f>
        <v>19.868632031249994</v>
      </c>
      <c r="M45" s="21">
        <f>(IF(Intro!$C$10="A",M122, IF(Intro!$C$10="B",M139,M156)))*(1+Intro!$G$30)</f>
        <v>0</v>
      </c>
      <c r="N45" s="21">
        <f>(IF(Intro!$C$10="A",N122, IF(Intro!$C$10="B",N139,N156)))*(1+Intro!$G$30)</f>
        <v>0</v>
      </c>
      <c r="O45" s="21">
        <f>(IF(Intro!$C$10="A",O122, IF(Intro!$C$10="B",O139,O156)))*(1+Intro!$G$30)</f>
        <v>0</v>
      </c>
      <c r="P45" s="21">
        <f>(IF(Intro!$C$10="A",P122, IF(Intro!$C$10="B",P139,P156)))*(1+Intro!$G$30)</f>
        <v>0</v>
      </c>
      <c r="Q45" s="21">
        <f>(IF(Intro!$C$10="A",Q122, IF(Intro!$C$10="B",Q139,Q156)))*(1+Intro!$G$30)</f>
        <v>0</v>
      </c>
      <c r="R45" s="21">
        <f>(IF(Intro!$C$10="A",R122, IF(Intro!$C$10="B",R139,R156)))*(1+Intro!$G$30)</f>
        <v>0</v>
      </c>
      <c r="S45" s="21">
        <f>(IF(Intro!$C$10="A",S122, IF(Intro!$C$10="B",S139,S156)))*(1+Intro!$G$30)</f>
        <v>0</v>
      </c>
      <c r="T45" s="21">
        <f>(IF(Intro!$C$10="A",T122, IF(Intro!$C$10="B",T139,T156)))*(1+Intro!$G$30)</f>
        <v>0</v>
      </c>
      <c r="U45" s="21">
        <f>(IF(Intro!$C$10="A",U122, IF(Intro!$C$10="B",U139,U156)))*(1+Intro!$G$30)</f>
        <v>0</v>
      </c>
      <c r="V45" s="21">
        <f>(IF(Intro!$C$10="A",V122, IF(Intro!$C$10="B",V139,V156)))*(1+Intro!$G$30)</f>
        <v>0</v>
      </c>
      <c r="W45" s="21">
        <f>(IF(Intro!$C$10="A",W122, IF(Intro!$C$10="B",W139,W156)))*(1+Intro!$G$30)</f>
        <v>0</v>
      </c>
      <c r="X45" s="21">
        <f>(IF(Intro!$C$10="A",X122, IF(Intro!$C$10="B",X139,X156)))*(1+Intro!$G$30)</f>
        <v>0</v>
      </c>
      <c r="Y45" s="21">
        <f>(IF(Intro!$C$10="A",Y122, IF(Intro!$C$10="B",Y139,Y156)))*(1+Intro!$G$30)</f>
        <v>0</v>
      </c>
      <c r="Z45" s="21">
        <f>(IF(Intro!$C$10="A",Z122, IF(Intro!$C$10="B",Z139,Z156)))*(1+Intro!$G$30)</f>
        <v>0</v>
      </c>
      <c r="AA45" s="21">
        <f>(IF(Intro!$C$10="A",AA122, IF(Intro!$C$10="B",AA139,AA156)))*(1+Intro!$G$30)</f>
        <v>0</v>
      </c>
      <c r="AB45" s="21">
        <f>(IF(Intro!$C$10="A",AB122, IF(Intro!$C$10="B",AB139,AB156)))*(1+Intro!$G$30)</f>
        <v>0</v>
      </c>
      <c r="AC45" s="21">
        <f>(IF(Intro!$C$10="A",AC122, IF(Intro!$C$10="B",AC139,AC156)))*(1+Intro!$G$30)</f>
        <v>0</v>
      </c>
      <c r="AD45" s="21">
        <f>(IF(Intro!$C$10="A",AD122, IF(Intro!$C$10="B",AD139,AD156)))*(1+Intro!$G$30)</f>
        <v>0</v>
      </c>
      <c r="AE45" s="21">
        <f>(IF(Intro!$C$10="A",AE122, IF(Intro!$C$10="B",AE139,AE156)))*(1+Intro!$G$30)</f>
        <v>0</v>
      </c>
      <c r="AF45" s="21">
        <f>(IF(Intro!$C$10="A",AF122, IF(Intro!$C$10="B",AF139,AF156)))*(1+Intro!$G$30)</f>
        <v>0</v>
      </c>
      <c r="AG45" s="21">
        <f>(IF(Intro!$C$10="A",AG122, IF(Intro!$C$10="B",AG139,AG156)))*(1+Intro!$G$30)</f>
        <v>0</v>
      </c>
      <c r="AH45" s="21">
        <f>(IF(Intro!$C$10="A",AH122, IF(Intro!$C$10="B",AH139,AH156)))*(1+Intro!$G$30)</f>
        <v>0</v>
      </c>
      <c r="AI45" s="21">
        <f>(IF(Intro!$C$10="A",AI122, IF(Intro!$C$10="B",AI139,AI156)))*(1+Intro!$G$30)</f>
        <v>0</v>
      </c>
      <c r="AJ45" s="21">
        <f>(IF(Intro!$C$10="A",AJ122, IF(Intro!$C$10="B",AJ139,AJ156)))*(1+Intro!$G$30)</f>
        <v>0</v>
      </c>
      <c r="AK45" s="21">
        <f>(IF(Intro!$C$10="A",AK122, IF(Intro!$C$10="B",AK139,AK156)))*(1+Intro!$G$30)</f>
        <v>0</v>
      </c>
    </row>
    <row r="46" spans="2:37" outlineLevel="1" x14ac:dyDescent="0.3">
      <c r="B46" s="46" t="s">
        <v>28</v>
      </c>
      <c r="C46" s="19">
        <f t="shared" si="3"/>
        <v>357.00804778966631</v>
      </c>
      <c r="D46" s="49" t="s">
        <v>0</v>
      </c>
      <c r="E46" s="21">
        <f>(IF(Intro!$C$10="A",E123, IF(Intro!$C$10="B",E140,E157)))*(1+Intro!$G$30)</f>
        <v>0</v>
      </c>
      <c r="F46" s="21">
        <f>(IF(Intro!$C$10="A",F123, IF(Intro!$C$10="B",F140,F157)))*(1+Intro!$G$30)</f>
        <v>0</v>
      </c>
      <c r="G46" s="21">
        <f>(IF(Intro!$C$10="A",G123, IF(Intro!$C$10="B",G140,G157)))*(1+Intro!$G$30)</f>
        <v>0</v>
      </c>
      <c r="H46" s="21">
        <f>(IF(Intro!$C$10="A",H123, IF(Intro!$C$10="B",H140,H157)))*(1+Intro!$G$30)</f>
        <v>0</v>
      </c>
      <c r="I46" s="21">
        <f>(IF(Intro!$C$10="A",I123, IF(Intro!$C$10="B",I140,I157)))*(1+Intro!$G$30)</f>
        <v>0</v>
      </c>
      <c r="J46" s="21">
        <f>(IF(Intro!$C$10="A",J123, IF(Intro!$C$10="B",J140,J157)))*(1+Intro!$G$30)</f>
        <v>0</v>
      </c>
      <c r="K46" s="21">
        <f>(IF(Intro!$C$10="A",K123, IF(Intro!$C$10="B",K140,K157)))*(1+Intro!$G$30)</f>
        <v>0</v>
      </c>
      <c r="L46" s="21">
        <f>(IF(Intro!$C$10="A",L123, IF(Intro!$C$10="B",L140,L157)))*(1+Intro!$G$30)</f>
        <v>0</v>
      </c>
      <c r="M46" s="21">
        <f>(IF(Intro!$C$10="A",M123, IF(Intro!$C$10="B",M140,M157)))*(1+Intro!$G$30)</f>
        <v>42.993512089843733</v>
      </c>
      <c r="N46" s="21">
        <f>(IF(Intro!$C$10="A",N123, IF(Intro!$C$10="B",N140,N157)))*(1+Intro!$G$30)</f>
        <v>132.20504967626948</v>
      </c>
      <c r="O46" s="21">
        <f>(IF(Intro!$C$10="A",O123, IF(Intro!$C$10="B",O140,O157)))*(1+Intro!$G$30)</f>
        <v>135.51017591817623</v>
      </c>
      <c r="P46" s="21">
        <f>(IF(Intro!$C$10="A",P123, IF(Intro!$C$10="B",P140,P157)))*(1+Intro!$G$30)</f>
        <v>46.299310105376875</v>
      </c>
      <c r="Q46" s="21">
        <f>(IF(Intro!$C$10="A",Q123, IF(Intro!$C$10="B",Q140,Q157)))*(1+Intro!$G$30)</f>
        <v>0</v>
      </c>
      <c r="R46" s="21">
        <f>(IF(Intro!$C$10="A",R123, IF(Intro!$C$10="B",R140,R157)))*(1+Intro!$G$30)</f>
        <v>0</v>
      </c>
      <c r="S46" s="21">
        <f>(IF(Intro!$C$10="A",S123, IF(Intro!$C$10="B",S140,S157)))*(1+Intro!$G$30)</f>
        <v>0</v>
      </c>
      <c r="T46" s="21">
        <f>(IF(Intro!$C$10="A",T123, IF(Intro!$C$10="B",T140,T157)))*(1+Intro!$G$30)</f>
        <v>0</v>
      </c>
      <c r="U46" s="21">
        <f>(IF(Intro!$C$10="A",U123, IF(Intro!$C$10="B",U140,U157)))*(1+Intro!$G$30)</f>
        <v>0</v>
      </c>
      <c r="V46" s="21">
        <f>(IF(Intro!$C$10="A",V123, IF(Intro!$C$10="B",V140,V157)))*(1+Intro!$G$30)</f>
        <v>0</v>
      </c>
      <c r="W46" s="21">
        <f>(IF(Intro!$C$10="A",W123, IF(Intro!$C$10="B",W140,W157)))*(1+Intro!$G$30)</f>
        <v>0</v>
      </c>
      <c r="X46" s="21">
        <f>(IF(Intro!$C$10="A",X123, IF(Intro!$C$10="B",X140,X157)))*(1+Intro!$G$30)</f>
        <v>0</v>
      </c>
      <c r="Y46" s="21">
        <f>(IF(Intro!$C$10="A",Y123, IF(Intro!$C$10="B",Y140,Y157)))*(1+Intro!$G$30)</f>
        <v>0</v>
      </c>
      <c r="Z46" s="21">
        <f>(IF(Intro!$C$10="A",Z123, IF(Intro!$C$10="B",Z140,Z157)))*(1+Intro!$G$30)</f>
        <v>0</v>
      </c>
      <c r="AA46" s="21">
        <f>(IF(Intro!$C$10="A",AA123, IF(Intro!$C$10="B",AA140,AA157)))*(1+Intro!$G$30)</f>
        <v>0</v>
      </c>
      <c r="AB46" s="21">
        <f>(IF(Intro!$C$10="A",AB123, IF(Intro!$C$10="B",AB140,AB157)))*(1+Intro!$G$30)</f>
        <v>0</v>
      </c>
      <c r="AC46" s="21">
        <f>(IF(Intro!$C$10="A",AC123, IF(Intro!$C$10="B",AC140,AC157)))*(1+Intro!$G$30)</f>
        <v>0</v>
      </c>
      <c r="AD46" s="21">
        <f>(IF(Intro!$C$10="A",AD123, IF(Intro!$C$10="B",AD140,AD157)))*(1+Intro!$G$30)</f>
        <v>0</v>
      </c>
      <c r="AE46" s="21">
        <f>(IF(Intro!$C$10="A",AE123, IF(Intro!$C$10="B",AE140,AE157)))*(1+Intro!$G$30)</f>
        <v>0</v>
      </c>
      <c r="AF46" s="21">
        <f>(IF(Intro!$C$10="A",AF123, IF(Intro!$C$10="B",AF140,AF157)))*(1+Intro!$G$30)</f>
        <v>0</v>
      </c>
      <c r="AG46" s="21">
        <f>(IF(Intro!$C$10="A",AG123, IF(Intro!$C$10="B",AG140,AG157)))*(1+Intro!$G$30)</f>
        <v>0</v>
      </c>
      <c r="AH46" s="21">
        <f>(IF(Intro!$C$10="A",AH123, IF(Intro!$C$10="B",AH140,AH157)))*(1+Intro!$G$30)</f>
        <v>0</v>
      </c>
      <c r="AI46" s="21">
        <f>(IF(Intro!$C$10="A",AI123, IF(Intro!$C$10="B",AI140,AI157)))*(1+Intro!$G$30)</f>
        <v>0</v>
      </c>
      <c r="AJ46" s="21">
        <f>(IF(Intro!$C$10="A",AJ123, IF(Intro!$C$10="B",AJ140,AJ157)))*(1+Intro!$G$30)</f>
        <v>0</v>
      </c>
      <c r="AK46" s="21">
        <f>(IF(Intro!$C$10="A",AK123, IF(Intro!$C$10="B",AK140,AK157)))*(1+Intro!$G$30)</f>
        <v>0</v>
      </c>
    </row>
    <row r="47" spans="2:37" outlineLevel="1" x14ac:dyDescent="0.3">
      <c r="B47" s="46" t="s">
        <v>29</v>
      </c>
      <c r="C47" s="19">
        <f t="shared" si="3"/>
        <v>0</v>
      </c>
      <c r="D47" s="49" t="s">
        <v>0</v>
      </c>
      <c r="E47" s="21">
        <f>(IF(Intro!$C$10="A",E124, IF(Intro!$C$10="B",E141,E158)))*(1+Intro!$G$30)</f>
        <v>0</v>
      </c>
      <c r="F47" s="21">
        <f>(IF(Intro!$C$10="A",F124, IF(Intro!$C$10="B",F141,F158)))*(1+Intro!$G$30)</f>
        <v>0</v>
      </c>
      <c r="G47" s="21">
        <f>(IF(Intro!$C$10="A",G124, IF(Intro!$C$10="B",G141,G158)))*(1+Intro!$G$30)</f>
        <v>0</v>
      </c>
      <c r="H47" s="21">
        <f>(IF(Intro!$C$10="A",H124, IF(Intro!$C$10="B",H141,H158)))*(1+Intro!$G$30)</f>
        <v>0</v>
      </c>
      <c r="I47" s="21">
        <f>(IF(Intro!$C$10="A",I124, IF(Intro!$C$10="B",I141,I158)))*(1+Intro!$G$30)</f>
        <v>0</v>
      </c>
      <c r="J47" s="21">
        <f>(IF(Intro!$C$10="A",J124, IF(Intro!$C$10="B",J141,J158)))*(1+Intro!$G$30)</f>
        <v>0</v>
      </c>
      <c r="K47" s="21">
        <f>(IF(Intro!$C$10="A",K124, IF(Intro!$C$10="B",K141,K158)))*(1+Intro!$G$30)</f>
        <v>0</v>
      </c>
      <c r="L47" s="21">
        <f>(IF(Intro!$C$10="A",L124, IF(Intro!$C$10="B",L141,L158)))*(1+Intro!$G$30)</f>
        <v>0</v>
      </c>
      <c r="M47" s="21">
        <f>(IF(Intro!$C$10="A",M124, IF(Intro!$C$10="B",M141,M158)))*(1+Intro!$G$30)</f>
        <v>0</v>
      </c>
      <c r="N47" s="21">
        <f>(IF(Intro!$C$10="A",N124, IF(Intro!$C$10="B",N141,N158)))*(1+Intro!$G$30)</f>
        <v>0</v>
      </c>
      <c r="O47" s="21">
        <f>(IF(Intro!$C$10="A",O124, IF(Intro!$C$10="B",O141,O158)))*(1+Intro!$G$30)</f>
        <v>0</v>
      </c>
      <c r="P47" s="21">
        <f>(IF(Intro!$C$10="A",P124, IF(Intro!$C$10="B",P141,P158)))*(1+Intro!$G$30)</f>
        <v>0</v>
      </c>
      <c r="Q47" s="21">
        <f>(IF(Intro!$C$10="A",Q124, IF(Intro!$C$10="B",Q141,Q158)))*(1+Intro!$G$30)</f>
        <v>0</v>
      </c>
      <c r="R47" s="21">
        <f>(IF(Intro!$C$10="A",R124, IF(Intro!$C$10="B",R141,R158)))*(1+Intro!$G$30)</f>
        <v>0</v>
      </c>
      <c r="S47" s="21">
        <f>(IF(Intro!$C$10="A",S124, IF(Intro!$C$10="B",S141,S158)))*(1+Intro!$G$30)</f>
        <v>0</v>
      </c>
      <c r="T47" s="21">
        <f>(IF(Intro!$C$10="A",T124, IF(Intro!$C$10="B",T141,T158)))*(1+Intro!$G$30)</f>
        <v>0</v>
      </c>
      <c r="U47" s="21">
        <f>(IF(Intro!$C$10="A",U124, IF(Intro!$C$10="B",U141,U158)))*(1+Intro!$G$30)</f>
        <v>0</v>
      </c>
      <c r="V47" s="21">
        <f>(IF(Intro!$C$10="A",V124, IF(Intro!$C$10="B",V141,V158)))*(1+Intro!$G$30)</f>
        <v>0</v>
      </c>
      <c r="W47" s="21">
        <f>(IF(Intro!$C$10="A",W124, IF(Intro!$C$10="B",W141,W158)))*(1+Intro!$G$30)</f>
        <v>0</v>
      </c>
      <c r="X47" s="21">
        <f>(IF(Intro!$C$10="A",X124, IF(Intro!$C$10="B",X141,X158)))*(1+Intro!$G$30)</f>
        <v>0</v>
      </c>
      <c r="Y47" s="21">
        <f>(IF(Intro!$C$10="A",Y124, IF(Intro!$C$10="B",Y141,Y158)))*(1+Intro!$G$30)</f>
        <v>0</v>
      </c>
      <c r="Z47" s="21">
        <f>(IF(Intro!$C$10="A",Z124, IF(Intro!$C$10="B",Z141,Z158)))*(1+Intro!$G$30)</f>
        <v>0</v>
      </c>
      <c r="AA47" s="21">
        <f>(IF(Intro!$C$10="A",AA124, IF(Intro!$C$10="B",AA141,AA158)))*(1+Intro!$G$30)</f>
        <v>0</v>
      </c>
      <c r="AB47" s="21">
        <f>(IF(Intro!$C$10="A",AB124, IF(Intro!$C$10="B",AB141,AB158)))*(1+Intro!$G$30)</f>
        <v>0</v>
      </c>
      <c r="AC47" s="21">
        <f>(IF(Intro!$C$10="A",AC124, IF(Intro!$C$10="B",AC141,AC158)))*(1+Intro!$G$30)</f>
        <v>0</v>
      </c>
      <c r="AD47" s="21">
        <f>(IF(Intro!$C$10="A",AD124, IF(Intro!$C$10="B",AD141,AD158)))*(1+Intro!$G$30)</f>
        <v>0</v>
      </c>
      <c r="AE47" s="21">
        <f>(IF(Intro!$C$10="A",AE124, IF(Intro!$C$10="B",AE141,AE158)))*(1+Intro!$G$30)</f>
        <v>0</v>
      </c>
      <c r="AF47" s="21">
        <f>(IF(Intro!$C$10="A",AF124, IF(Intro!$C$10="B",AF141,AF158)))*(1+Intro!$G$30)</f>
        <v>0</v>
      </c>
      <c r="AG47" s="21">
        <f>(IF(Intro!$C$10="A",AG124, IF(Intro!$C$10="B",AG141,AG158)))*(1+Intro!$G$30)</f>
        <v>0</v>
      </c>
      <c r="AH47" s="21">
        <f>(IF(Intro!$C$10="A",AH124, IF(Intro!$C$10="B",AH141,AH158)))*(1+Intro!$G$30)</f>
        <v>0</v>
      </c>
      <c r="AI47" s="21">
        <f>(IF(Intro!$C$10="A",AI124, IF(Intro!$C$10="B",AI141,AI158)))*(1+Intro!$G$30)</f>
        <v>0</v>
      </c>
      <c r="AJ47" s="21">
        <f>(IF(Intro!$C$10="A",AJ124, IF(Intro!$C$10="B",AJ141,AJ158)))*(1+Intro!$G$30)</f>
        <v>0</v>
      </c>
      <c r="AK47" s="21">
        <f>(IF(Intro!$C$10="A",AK124, IF(Intro!$C$10="B",AK141,AK158)))*(1+Intro!$G$30)</f>
        <v>0</v>
      </c>
    </row>
    <row r="48" spans="2:37" outlineLevel="1" x14ac:dyDescent="0.3">
      <c r="B48" s="46"/>
      <c r="C48" s="19"/>
      <c r="D48" s="49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</row>
    <row r="49" spans="2:37" outlineLevel="1" x14ac:dyDescent="0.3">
      <c r="B49" s="46" t="s">
        <v>30</v>
      </c>
      <c r="C49" s="19">
        <f t="shared" si="3"/>
        <v>0</v>
      </c>
      <c r="D49" s="49" t="s">
        <v>0</v>
      </c>
      <c r="E49" s="21">
        <f>(IF(Intro!$C$10="A",E125, IF(Intro!$C$10="B",E142,E159)))*(1+Intro!$G$30)</f>
        <v>0</v>
      </c>
      <c r="F49" s="21">
        <f>(IF(Intro!$C$10="A",F125, IF(Intro!$C$10="B",F142,F159)))*(1+Intro!$G$30)</f>
        <v>0</v>
      </c>
      <c r="G49" s="21">
        <f>(IF(Intro!$C$10="A",G125, IF(Intro!$C$10="B",G142,G159)))*(1+Intro!$G$30)</f>
        <v>0</v>
      </c>
      <c r="H49" s="21">
        <f>(IF(Intro!$C$10="A",H125, IF(Intro!$C$10="B",H142,H159)))*(1+Intro!$G$30)</f>
        <v>0</v>
      </c>
      <c r="I49" s="21">
        <f>(IF(Intro!$C$10="A",I125, IF(Intro!$C$10="B",I142,I159)))*(1+Intro!$G$30)</f>
        <v>0</v>
      </c>
      <c r="J49" s="21">
        <f>(IF(Intro!$C$10="A",J125, IF(Intro!$C$10="B",J142,J159)))*(1+Intro!$G$30)</f>
        <v>0</v>
      </c>
      <c r="K49" s="21">
        <f>(IF(Intro!$C$10="A",K125, IF(Intro!$C$10="B",K142,K159)))*(1+Intro!$G$30)</f>
        <v>0</v>
      </c>
      <c r="L49" s="21">
        <f>(IF(Intro!$C$10="A",L125, IF(Intro!$C$10="B",L142,L159)))*(1+Intro!$G$30)</f>
        <v>0</v>
      </c>
      <c r="M49" s="21">
        <f>(IF(Intro!$C$10="A",M125, IF(Intro!$C$10="B",M142,M159)))*(1+Intro!$G$30)</f>
        <v>0</v>
      </c>
      <c r="N49" s="21">
        <f>(IF(Intro!$C$10="A",N125, IF(Intro!$C$10="B",N142,N159)))*(1+Intro!$G$30)</f>
        <v>0</v>
      </c>
      <c r="O49" s="21">
        <f>(IF(Intro!$C$10="A",O125, IF(Intro!$C$10="B",O142,O159)))*(1+Intro!$G$30)</f>
        <v>0</v>
      </c>
      <c r="P49" s="21">
        <f>(IF(Intro!$C$10="A",P125, IF(Intro!$C$10="B",P142,P159)))*(1+Intro!$G$30)</f>
        <v>0</v>
      </c>
      <c r="Q49" s="21">
        <f>(IF(Intro!$C$10="A",Q125, IF(Intro!$C$10="B",Q142,Q159)))*(1+Intro!$G$30)</f>
        <v>0</v>
      </c>
      <c r="R49" s="21">
        <f>(IF(Intro!$C$10="A",R125, IF(Intro!$C$10="B",R142,R159)))*(1+Intro!$G$30)</f>
        <v>0</v>
      </c>
      <c r="S49" s="21">
        <f>(IF(Intro!$C$10="A",S125, IF(Intro!$C$10="B",S142,S159)))*(1+Intro!$G$30)</f>
        <v>0</v>
      </c>
      <c r="T49" s="21">
        <f>(IF(Intro!$C$10="A",T125, IF(Intro!$C$10="B",T142,T159)))*(1+Intro!$G$30)</f>
        <v>0</v>
      </c>
      <c r="U49" s="21">
        <f>(IF(Intro!$C$10="A",U125, IF(Intro!$C$10="B",U142,U159)))*(1+Intro!$G$30)</f>
        <v>0</v>
      </c>
      <c r="V49" s="21">
        <f>(IF(Intro!$C$10="A",V125, IF(Intro!$C$10="B",V142,V159)))*(1+Intro!$G$30)</f>
        <v>0</v>
      </c>
      <c r="W49" s="21">
        <f>(IF(Intro!$C$10="A",W125, IF(Intro!$C$10="B",W142,W159)))*(1+Intro!$G$30)</f>
        <v>0</v>
      </c>
      <c r="X49" s="21">
        <f>(IF(Intro!$C$10="A",X125, IF(Intro!$C$10="B",X142,X159)))*(1+Intro!$G$30)</f>
        <v>0</v>
      </c>
      <c r="Y49" s="21">
        <f>(IF(Intro!$C$10="A",Y125, IF(Intro!$C$10="B",Y142,Y159)))*(1+Intro!$G$30)</f>
        <v>0</v>
      </c>
      <c r="Z49" s="21">
        <f>(IF(Intro!$C$10="A",Z125, IF(Intro!$C$10="B",Z142,Z159)))*(1+Intro!$G$30)</f>
        <v>0</v>
      </c>
      <c r="AA49" s="21">
        <f>(IF(Intro!$C$10="A",AA125, IF(Intro!$C$10="B",AA142,AA159)))*(1+Intro!$G$30)</f>
        <v>0</v>
      </c>
      <c r="AB49" s="21">
        <f>(IF(Intro!$C$10="A",AB125, IF(Intro!$C$10="B",AB142,AB159)))*(1+Intro!$G$30)</f>
        <v>0</v>
      </c>
      <c r="AC49" s="21">
        <f>(IF(Intro!$C$10="A",AC125, IF(Intro!$C$10="B",AC142,AC159)))*(1+Intro!$G$30)</f>
        <v>0</v>
      </c>
      <c r="AD49" s="21">
        <f>(IF(Intro!$C$10="A",AD125, IF(Intro!$C$10="B",AD142,AD159)))*(1+Intro!$G$30)</f>
        <v>0</v>
      </c>
      <c r="AE49" s="21">
        <f>(IF(Intro!$C$10="A",AE125, IF(Intro!$C$10="B",AE142,AE159)))*(1+Intro!$G$30)</f>
        <v>0</v>
      </c>
      <c r="AF49" s="21">
        <f>(IF(Intro!$C$10="A",AF125, IF(Intro!$C$10="B",AF142,AF159)))*(1+Intro!$G$30)</f>
        <v>0</v>
      </c>
      <c r="AG49" s="21">
        <f>(IF(Intro!$C$10="A",AG125, IF(Intro!$C$10="B",AG142,AG159)))*(1+Intro!$G$30)</f>
        <v>0</v>
      </c>
      <c r="AH49" s="21">
        <f>(IF(Intro!$C$10="A",AH125, IF(Intro!$C$10="B",AH142,AH159)))*(1+Intro!$G$30)</f>
        <v>0</v>
      </c>
      <c r="AI49" s="21">
        <f>(IF(Intro!$C$10="A",AI125, IF(Intro!$C$10="B",AI142,AI159)))*(1+Intro!$G$30)</f>
        <v>0</v>
      </c>
      <c r="AJ49" s="21">
        <f>(IF(Intro!$C$10="A",AJ125, IF(Intro!$C$10="B",AJ142,AJ159)))*(1+Intro!$G$30)</f>
        <v>0</v>
      </c>
      <c r="AK49" s="21">
        <f>(IF(Intro!$C$10="A",AK125, IF(Intro!$C$10="B",AK142,AK159)))*(1+Intro!$G$30)</f>
        <v>0</v>
      </c>
    </row>
    <row r="50" spans="2:37" outlineLevel="1" x14ac:dyDescent="0.3">
      <c r="B50" s="46" t="s">
        <v>31</v>
      </c>
      <c r="C50" s="19">
        <f t="shared" si="3"/>
        <v>0</v>
      </c>
      <c r="D50" s="49" t="s">
        <v>0</v>
      </c>
      <c r="E50" s="21">
        <f>(IF(Intro!$C$10="A",E126, IF(Intro!$C$10="B",E143,E160)))*(1+Intro!$G$30)</f>
        <v>0</v>
      </c>
      <c r="F50" s="21">
        <f>(IF(Intro!$C$10="A",F126, IF(Intro!$C$10="B",F143,F160)))*(1+Intro!$G$30)</f>
        <v>0</v>
      </c>
      <c r="G50" s="21">
        <f>(IF(Intro!$C$10="A",G126, IF(Intro!$C$10="B",G143,G160)))*(1+Intro!$G$30)</f>
        <v>0</v>
      </c>
      <c r="H50" s="21">
        <f>(IF(Intro!$C$10="A",H126, IF(Intro!$C$10="B",H143,H160)))*(1+Intro!$G$30)</f>
        <v>0</v>
      </c>
      <c r="I50" s="21">
        <f>(IF(Intro!$C$10="A",I126, IF(Intro!$C$10="B",I143,I160)))*(1+Intro!$G$30)</f>
        <v>0</v>
      </c>
      <c r="J50" s="21">
        <f>(IF(Intro!$C$10="A",J126, IF(Intro!$C$10="B",J143,J160)))*(1+Intro!$G$30)</f>
        <v>0</v>
      </c>
      <c r="K50" s="21">
        <f>(IF(Intro!$C$10="A",K126, IF(Intro!$C$10="B",K143,K160)))*(1+Intro!$G$30)</f>
        <v>0</v>
      </c>
      <c r="L50" s="21">
        <f>(IF(Intro!$C$10="A",L126, IF(Intro!$C$10="B",L143,L160)))*(1+Intro!$G$30)</f>
        <v>0</v>
      </c>
      <c r="M50" s="21">
        <f>(IF(Intro!$C$10="A",M126, IF(Intro!$C$10="B",M143,M160)))*(1+Intro!$G$30)</f>
        <v>0</v>
      </c>
      <c r="N50" s="21">
        <f>(IF(Intro!$C$10="A",N126, IF(Intro!$C$10="B",N143,N160)))*(1+Intro!$G$30)</f>
        <v>0</v>
      </c>
      <c r="O50" s="21">
        <f>(IF(Intro!$C$10="A",O126, IF(Intro!$C$10="B",O143,O160)))*(1+Intro!$G$30)</f>
        <v>0</v>
      </c>
      <c r="P50" s="21">
        <f>(IF(Intro!$C$10="A",P126, IF(Intro!$C$10="B",P143,P160)))*(1+Intro!$G$30)</f>
        <v>0</v>
      </c>
      <c r="Q50" s="21">
        <f>(IF(Intro!$C$10="A",Q126, IF(Intro!$C$10="B",Q143,Q160)))*(1+Intro!$G$30)</f>
        <v>0</v>
      </c>
      <c r="R50" s="21">
        <f>(IF(Intro!$C$10="A",R126, IF(Intro!$C$10="B",R143,R160)))*(1+Intro!$G$30)</f>
        <v>0</v>
      </c>
      <c r="S50" s="21">
        <f>(IF(Intro!$C$10="A",S126, IF(Intro!$C$10="B",S143,S160)))*(1+Intro!$G$30)</f>
        <v>0</v>
      </c>
      <c r="T50" s="21">
        <f>(IF(Intro!$C$10="A",T126, IF(Intro!$C$10="B",T143,T160)))*(1+Intro!$G$30)</f>
        <v>0</v>
      </c>
      <c r="U50" s="21">
        <f>(IF(Intro!$C$10="A",U126, IF(Intro!$C$10="B",U143,U160)))*(1+Intro!$G$30)</f>
        <v>0</v>
      </c>
      <c r="V50" s="21">
        <f>(IF(Intro!$C$10="A",V126, IF(Intro!$C$10="B",V143,V160)))*(1+Intro!$G$30)</f>
        <v>0</v>
      </c>
      <c r="W50" s="21">
        <f>(IF(Intro!$C$10="A",W126, IF(Intro!$C$10="B",W143,W160)))*(1+Intro!$G$30)</f>
        <v>0</v>
      </c>
      <c r="X50" s="21">
        <f>(IF(Intro!$C$10="A",X126, IF(Intro!$C$10="B",X143,X160)))*(1+Intro!$G$30)</f>
        <v>0</v>
      </c>
      <c r="Y50" s="21">
        <f>(IF(Intro!$C$10="A",Y126, IF(Intro!$C$10="B",Y143,Y160)))*(1+Intro!$G$30)</f>
        <v>0</v>
      </c>
      <c r="Z50" s="21">
        <f>(IF(Intro!$C$10="A",Z126, IF(Intro!$C$10="B",Z143,Z160)))*(1+Intro!$G$30)</f>
        <v>0</v>
      </c>
      <c r="AA50" s="21">
        <f>(IF(Intro!$C$10="A",AA126, IF(Intro!$C$10="B",AA143,AA160)))*(1+Intro!$G$30)</f>
        <v>0</v>
      </c>
      <c r="AB50" s="21">
        <f>(IF(Intro!$C$10="A",AB126, IF(Intro!$C$10="B",AB143,AB160)))*(1+Intro!$G$30)</f>
        <v>0</v>
      </c>
      <c r="AC50" s="21">
        <f>(IF(Intro!$C$10="A",AC126, IF(Intro!$C$10="B",AC143,AC160)))*(1+Intro!$G$30)</f>
        <v>0</v>
      </c>
      <c r="AD50" s="21">
        <f>(IF(Intro!$C$10="A",AD126, IF(Intro!$C$10="B",AD143,AD160)))*(1+Intro!$G$30)</f>
        <v>0</v>
      </c>
      <c r="AE50" s="21">
        <f>(IF(Intro!$C$10="A",AE126, IF(Intro!$C$10="B",AE143,AE160)))*(1+Intro!$G$30)</f>
        <v>0</v>
      </c>
      <c r="AF50" s="21">
        <f>(IF(Intro!$C$10="A",AF126, IF(Intro!$C$10="B",AF143,AF160)))*(1+Intro!$G$30)</f>
        <v>0</v>
      </c>
      <c r="AG50" s="21">
        <f>(IF(Intro!$C$10="A",AG126, IF(Intro!$C$10="B",AG143,AG160)))*(1+Intro!$G$30)</f>
        <v>0</v>
      </c>
      <c r="AH50" s="21">
        <f>(IF(Intro!$C$10="A",AH126, IF(Intro!$C$10="B",AH143,AH160)))*(1+Intro!$G$30)</f>
        <v>0</v>
      </c>
      <c r="AI50" s="21">
        <f>(IF(Intro!$C$10="A",AI126, IF(Intro!$C$10="B",AI143,AI160)))*(1+Intro!$G$30)</f>
        <v>0</v>
      </c>
      <c r="AJ50" s="21">
        <f>(IF(Intro!$C$10="A",AJ126, IF(Intro!$C$10="B",AJ143,AJ160)))*(1+Intro!$G$30)</f>
        <v>0</v>
      </c>
      <c r="AK50" s="21">
        <f>(IF(Intro!$C$10="A",AK126, IF(Intro!$C$10="B",AK143,AK160)))*(1+Intro!$G$30)</f>
        <v>0</v>
      </c>
    </row>
    <row r="51" spans="2:37" outlineLevel="1" x14ac:dyDescent="0.3">
      <c r="B51" s="46" t="s">
        <v>32</v>
      </c>
      <c r="C51" s="19">
        <f t="shared" si="3"/>
        <v>0</v>
      </c>
      <c r="D51" s="49" t="s">
        <v>0</v>
      </c>
      <c r="E51" s="21">
        <f>(IF(Intro!$C$10="A",E127, IF(Intro!$C$10="B",E144,E161)))*(1+Intro!$G$30)</f>
        <v>0</v>
      </c>
      <c r="F51" s="21">
        <f>(IF(Intro!$C$10="A",F127, IF(Intro!$C$10="B",F144,F161)))*(1+Intro!$G$30)</f>
        <v>0</v>
      </c>
      <c r="G51" s="21">
        <f>(IF(Intro!$C$10="A",G127, IF(Intro!$C$10="B",G144,G161)))*(1+Intro!$G$30)</f>
        <v>0</v>
      </c>
      <c r="H51" s="21">
        <f>(IF(Intro!$C$10="A",H127, IF(Intro!$C$10="B",H144,H161)))*(1+Intro!$G$30)</f>
        <v>0</v>
      </c>
      <c r="I51" s="21">
        <f>(IF(Intro!$C$10="A",I127, IF(Intro!$C$10="B",I144,I161)))*(1+Intro!$G$30)</f>
        <v>0</v>
      </c>
      <c r="J51" s="21">
        <f>(IF(Intro!$C$10="A",J127, IF(Intro!$C$10="B",J144,J161)))*(1+Intro!$G$30)</f>
        <v>0</v>
      </c>
      <c r="K51" s="21">
        <f>(IF(Intro!$C$10="A",K127, IF(Intro!$C$10="B",K144,K161)))*(1+Intro!$G$30)</f>
        <v>0</v>
      </c>
      <c r="L51" s="21">
        <f>(IF(Intro!$C$10="A",L127, IF(Intro!$C$10="B",L144,L161)))*(1+Intro!$G$30)</f>
        <v>0</v>
      </c>
      <c r="M51" s="21">
        <f>(IF(Intro!$C$10="A",M127, IF(Intro!$C$10="B",M144,M161)))*(1+Intro!$G$30)</f>
        <v>0</v>
      </c>
      <c r="N51" s="21">
        <f>(IF(Intro!$C$10="A",N127, IF(Intro!$C$10="B",N144,N161)))*(1+Intro!$G$30)</f>
        <v>0</v>
      </c>
      <c r="O51" s="21">
        <f>(IF(Intro!$C$10="A",O127, IF(Intro!$C$10="B",O144,O161)))*(1+Intro!$G$30)</f>
        <v>0</v>
      </c>
      <c r="P51" s="21">
        <f>(IF(Intro!$C$10="A",P127, IF(Intro!$C$10="B",P144,P161)))*(1+Intro!$G$30)</f>
        <v>0</v>
      </c>
      <c r="Q51" s="21">
        <f>(IF(Intro!$C$10="A",Q127, IF(Intro!$C$10="B",Q144,Q161)))*(1+Intro!$G$30)</f>
        <v>0</v>
      </c>
      <c r="R51" s="21">
        <f>(IF(Intro!$C$10="A",R127, IF(Intro!$C$10="B",R144,R161)))*(1+Intro!$G$30)</f>
        <v>0</v>
      </c>
      <c r="S51" s="21">
        <f>(IF(Intro!$C$10="A",S127, IF(Intro!$C$10="B",S144,S161)))*(1+Intro!$G$30)</f>
        <v>0</v>
      </c>
      <c r="T51" s="21">
        <f>(IF(Intro!$C$10="A",T127, IF(Intro!$C$10="B",T144,T161)))*(1+Intro!$G$30)</f>
        <v>0</v>
      </c>
      <c r="U51" s="21">
        <f>(IF(Intro!$C$10="A",U127, IF(Intro!$C$10="B",U144,U161)))*(1+Intro!$G$30)</f>
        <v>0</v>
      </c>
      <c r="V51" s="21">
        <f>(IF(Intro!$C$10="A",V127, IF(Intro!$C$10="B",V144,V161)))*(1+Intro!$G$30)</f>
        <v>0</v>
      </c>
      <c r="W51" s="21">
        <f>(IF(Intro!$C$10="A",W127, IF(Intro!$C$10="B",W144,W161)))*(1+Intro!$G$30)</f>
        <v>0</v>
      </c>
      <c r="X51" s="21">
        <f>(IF(Intro!$C$10="A",X127, IF(Intro!$C$10="B",X144,X161)))*(1+Intro!$G$30)</f>
        <v>0</v>
      </c>
      <c r="Y51" s="21">
        <f>(IF(Intro!$C$10="A",Y127, IF(Intro!$C$10="B",Y144,Y161)))*(1+Intro!$G$30)</f>
        <v>0</v>
      </c>
      <c r="Z51" s="21">
        <f>(IF(Intro!$C$10="A",Z127, IF(Intro!$C$10="B",Z144,Z161)))*(1+Intro!$G$30)</f>
        <v>0</v>
      </c>
      <c r="AA51" s="21">
        <f>(IF(Intro!$C$10="A",AA127, IF(Intro!$C$10="B",AA144,AA161)))*(1+Intro!$G$30)</f>
        <v>0</v>
      </c>
      <c r="AB51" s="21">
        <f>(IF(Intro!$C$10="A",AB127, IF(Intro!$C$10="B",AB144,AB161)))*(1+Intro!$G$30)</f>
        <v>0</v>
      </c>
      <c r="AC51" s="21">
        <f>(IF(Intro!$C$10="A",AC127, IF(Intro!$C$10="B",AC144,AC161)))*(1+Intro!$G$30)</f>
        <v>0</v>
      </c>
      <c r="AD51" s="21">
        <f>(IF(Intro!$C$10="A",AD127, IF(Intro!$C$10="B",AD144,AD161)))*(1+Intro!$G$30)</f>
        <v>0</v>
      </c>
      <c r="AE51" s="21">
        <f>(IF(Intro!$C$10="A",AE127, IF(Intro!$C$10="B",AE144,AE161)))*(1+Intro!$G$30)</f>
        <v>0</v>
      </c>
      <c r="AF51" s="21">
        <f>(IF(Intro!$C$10="A",AF127, IF(Intro!$C$10="B",AF144,AF161)))*(1+Intro!$G$30)</f>
        <v>0</v>
      </c>
      <c r="AG51" s="21">
        <f>(IF(Intro!$C$10="A",AG127, IF(Intro!$C$10="B",AG144,AG161)))*(1+Intro!$G$30)</f>
        <v>0</v>
      </c>
      <c r="AH51" s="21">
        <f>(IF(Intro!$C$10="A",AH127, IF(Intro!$C$10="B",AH144,AH161)))*(1+Intro!$G$30)</f>
        <v>0</v>
      </c>
      <c r="AI51" s="21">
        <f>(IF(Intro!$C$10="A",AI127, IF(Intro!$C$10="B",AI144,AI161)))*(1+Intro!$G$30)</f>
        <v>0</v>
      </c>
      <c r="AJ51" s="21">
        <f>(IF(Intro!$C$10="A",AJ127, IF(Intro!$C$10="B",AJ144,AJ161)))*(1+Intro!$G$30)</f>
        <v>0</v>
      </c>
      <c r="AK51" s="21">
        <f>(IF(Intro!$C$10="A",AK127, IF(Intro!$C$10="B",AK144,AK161)))*(1+Intro!$G$30)</f>
        <v>0</v>
      </c>
    </row>
    <row r="52" spans="2:37" outlineLevel="1" x14ac:dyDescent="0.3">
      <c r="B52" s="46" t="s">
        <v>33</v>
      </c>
      <c r="C52" s="19">
        <f t="shared" si="3"/>
        <v>138.75270896016923</v>
      </c>
      <c r="D52" s="49" t="s">
        <v>0</v>
      </c>
      <c r="E52" s="21">
        <f>(IF(Intro!$C$10="A",E128, IF(Intro!$C$10="B",E145,E162)))*(1+Intro!$G$30)</f>
        <v>0</v>
      </c>
      <c r="F52" s="21">
        <f>(IF(Intro!$C$10="A",F128, IF(Intro!$C$10="B",F145,F162)))*(1+Intro!$G$30)</f>
        <v>0</v>
      </c>
      <c r="G52" s="21">
        <f>(IF(Intro!$C$10="A",G128, IF(Intro!$C$10="B",G145,G162)))*(1+Intro!$G$30)</f>
        <v>0</v>
      </c>
      <c r="H52" s="21">
        <f>(IF(Intro!$C$10="A",H128, IF(Intro!$C$10="B",H145,H162)))*(1+Intro!$G$30)</f>
        <v>1.05</v>
      </c>
      <c r="I52" s="21">
        <f>(IF(Intro!$C$10="A",I128, IF(Intro!$C$10="B",I145,I162)))*(1+Intro!$G$30)</f>
        <v>1.0762499999999999</v>
      </c>
      <c r="J52" s="21">
        <f>(IF(Intro!$C$10="A",J128, IF(Intro!$C$10="B",J145,J162)))*(1+Intro!$G$30)</f>
        <v>12.183993062499999</v>
      </c>
      <c r="K52" s="21">
        <f>(IF(Intro!$C$10="A",K128, IF(Intro!$C$10="B",K145,K162)))*(1+Intro!$G$30)</f>
        <v>25.856143906249997</v>
      </c>
      <c r="L52" s="21">
        <f>(IF(Intro!$C$10="A",L128, IF(Intro!$C$10="B",L145,L162)))*(1+Intro!$G$30)</f>
        <v>36.887219178906243</v>
      </c>
      <c r="M52" s="21">
        <f>(IF(Intro!$C$10="A",M128, IF(Intro!$C$10="B",M145,M162)))*(1+Intro!$G$30)</f>
        <v>39.718085313525386</v>
      </c>
      <c r="N52" s="21">
        <f>(IF(Intro!$C$10="A",N128, IF(Intro!$C$10="B",N145,N162)))*(1+Intro!$G$30)</f>
        <v>9.2543534773388636</v>
      </c>
      <c r="O52" s="21">
        <f>(IF(Intro!$C$10="A",O128, IF(Intro!$C$10="B",O145,O162)))*(1+Intro!$G$30)</f>
        <v>9.4857123142723356</v>
      </c>
      <c r="P52" s="21">
        <f>(IF(Intro!$C$10="A",P128, IF(Intro!$C$10="B",P145,P162)))*(1+Intro!$G$30)</f>
        <v>3.2409517073763814</v>
      </c>
      <c r="Q52" s="21">
        <f>(IF(Intro!$C$10="A",Q128, IF(Intro!$C$10="B",Q145,Q162)))*(1+Intro!$G$30)</f>
        <v>0</v>
      </c>
      <c r="R52" s="21">
        <f>(IF(Intro!$C$10="A",R128, IF(Intro!$C$10="B",R145,R162)))*(1+Intro!$G$30)</f>
        <v>0</v>
      </c>
      <c r="S52" s="21">
        <f>(IF(Intro!$C$10="A",S128, IF(Intro!$C$10="B",S145,S162)))*(1+Intro!$G$30)</f>
        <v>0</v>
      </c>
      <c r="T52" s="21">
        <f>(IF(Intro!$C$10="A",T128, IF(Intro!$C$10="B",T145,T162)))*(1+Intro!$G$30)</f>
        <v>0</v>
      </c>
      <c r="U52" s="21">
        <f>(IF(Intro!$C$10="A",U128, IF(Intro!$C$10="B",U145,U162)))*(1+Intro!$G$30)</f>
        <v>0</v>
      </c>
      <c r="V52" s="21">
        <f>(IF(Intro!$C$10="A",V128, IF(Intro!$C$10="B",V145,V162)))*(1+Intro!$G$30)</f>
        <v>0</v>
      </c>
      <c r="W52" s="21">
        <f>(IF(Intro!$C$10="A",W128, IF(Intro!$C$10="B",W145,W162)))*(1+Intro!$G$30)</f>
        <v>0</v>
      </c>
      <c r="X52" s="21">
        <f>(IF(Intro!$C$10="A",X128, IF(Intro!$C$10="B",X145,X162)))*(1+Intro!$G$30)</f>
        <v>0</v>
      </c>
      <c r="Y52" s="21">
        <f>(IF(Intro!$C$10="A",Y128, IF(Intro!$C$10="B",Y145,Y162)))*(1+Intro!$G$30)</f>
        <v>0</v>
      </c>
      <c r="Z52" s="21">
        <f>(IF(Intro!$C$10="A",Z128, IF(Intro!$C$10="B",Z145,Z162)))*(1+Intro!$G$30)</f>
        <v>0</v>
      </c>
      <c r="AA52" s="21">
        <f>(IF(Intro!$C$10="A",AA128, IF(Intro!$C$10="B",AA145,AA162)))*(1+Intro!$G$30)</f>
        <v>0</v>
      </c>
      <c r="AB52" s="21">
        <f>(IF(Intro!$C$10="A",AB128, IF(Intro!$C$10="B",AB145,AB162)))*(1+Intro!$G$30)</f>
        <v>0</v>
      </c>
      <c r="AC52" s="21">
        <f>(IF(Intro!$C$10="A",AC128, IF(Intro!$C$10="B",AC145,AC162)))*(1+Intro!$G$30)</f>
        <v>0</v>
      </c>
      <c r="AD52" s="21">
        <f>(IF(Intro!$C$10="A",AD128, IF(Intro!$C$10="B",AD145,AD162)))*(1+Intro!$G$30)</f>
        <v>0</v>
      </c>
      <c r="AE52" s="21">
        <f>(IF(Intro!$C$10="A",AE128, IF(Intro!$C$10="B",AE145,AE162)))*(1+Intro!$G$30)</f>
        <v>0</v>
      </c>
      <c r="AF52" s="21">
        <f>(IF(Intro!$C$10="A",AF128, IF(Intro!$C$10="B",AF145,AF162)))*(1+Intro!$G$30)</f>
        <v>0</v>
      </c>
      <c r="AG52" s="21">
        <f>(IF(Intro!$C$10="A",AG128, IF(Intro!$C$10="B",AG145,AG162)))*(1+Intro!$G$30)</f>
        <v>0</v>
      </c>
      <c r="AH52" s="21">
        <f>(IF(Intro!$C$10="A",AH128, IF(Intro!$C$10="B",AH145,AH162)))*(1+Intro!$G$30)</f>
        <v>0</v>
      </c>
      <c r="AI52" s="21">
        <f>(IF(Intro!$C$10="A",AI128, IF(Intro!$C$10="B",AI145,AI162)))*(1+Intro!$G$30)</f>
        <v>0</v>
      </c>
      <c r="AJ52" s="21">
        <f>(IF(Intro!$C$10="A",AJ128, IF(Intro!$C$10="B",AJ145,AJ162)))*(1+Intro!$G$30)</f>
        <v>0</v>
      </c>
      <c r="AK52" s="21">
        <f>(IF(Intro!$C$10="A",AK128, IF(Intro!$C$10="B",AK145,AK162)))*(1+Intro!$G$30)</f>
        <v>0</v>
      </c>
    </row>
    <row r="53" spans="2:37" outlineLevel="1" x14ac:dyDescent="0.3">
      <c r="B53" s="46" t="s">
        <v>34</v>
      </c>
      <c r="C53" s="19">
        <f t="shared" si="3"/>
        <v>396.43631131476911</v>
      </c>
      <c r="D53" s="49" t="s">
        <v>0</v>
      </c>
      <c r="E53" s="21">
        <f>(IF(Intro!$C$10="A",E129, IF(Intro!$C$10="B",E146,E163)))*(1+Intro!$G$30)</f>
        <v>0</v>
      </c>
      <c r="F53" s="21">
        <f>(IF(Intro!$C$10="A",F129, IF(Intro!$C$10="B",F146,F163)))*(1+Intro!$G$30)</f>
        <v>0</v>
      </c>
      <c r="G53" s="21">
        <f>(IF(Intro!$C$10="A",G129, IF(Intro!$C$10="B",G146,G163)))*(1+Intro!$G$30)</f>
        <v>0</v>
      </c>
      <c r="H53" s="21">
        <f>(IF(Intro!$C$10="A",H129, IF(Intro!$C$10="B",H146,H163)))*(1+Intro!$G$30)</f>
        <v>3</v>
      </c>
      <c r="I53" s="21">
        <f>(IF(Intro!$C$10="A",I129, IF(Intro!$C$10="B",I146,I163)))*(1+Intro!$G$30)</f>
        <v>3.0749999999999997</v>
      </c>
      <c r="J53" s="21">
        <f>(IF(Intro!$C$10="A",J129, IF(Intro!$C$10="B",J146,J163)))*(1+Intro!$G$30)</f>
        <v>34.811408749999998</v>
      </c>
      <c r="K53" s="21">
        <f>(IF(Intro!$C$10="A",K129, IF(Intro!$C$10="B",K146,K163)))*(1+Intro!$G$30)</f>
        <v>73.874696874999998</v>
      </c>
      <c r="L53" s="21">
        <f>(IF(Intro!$C$10="A",L129, IF(Intro!$C$10="B",L146,L163)))*(1+Intro!$G$30)</f>
        <v>105.39205479687499</v>
      </c>
      <c r="M53" s="21">
        <f>(IF(Intro!$C$10="A",M129, IF(Intro!$C$10="B",M146,M163)))*(1+Intro!$G$30)</f>
        <v>113.48024375292967</v>
      </c>
      <c r="N53" s="21">
        <f>(IF(Intro!$C$10="A",N129, IF(Intro!$C$10="B",N146,N163)))*(1+Intro!$G$30)</f>
        <v>26.441009935253899</v>
      </c>
      <c r="O53" s="21">
        <f>(IF(Intro!$C$10="A",O129, IF(Intro!$C$10="B",O146,O163)))*(1+Intro!$G$30)</f>
        <v>27.102035183635245</v>
      </c>
      <c r="P53" s="21">
        <f>(IF(Intro!$C$10="A",P129, IF(Intro!$C$10="B",P146,P163)))*(1+Intro!$G$30)</f>
        <v>9.2598620210753744</v>
      </c>
      <c r="Q53" s="21">
        <f>(IF(Intro!$C$10="A",Q129, IF(Intro!$C$10="B",Q146,Q163)))*(1+Intro!$G$30)</f>
        <v>0</v>
      </c>
      <c r="R53" s="21">
        <f>(IF(Intro!$C$10="A",R129, IF(Intro!$C$10="B",R146,R163)))*(1+Intro!$G$30)</f>
        <v>0</v>
      </c>
      <c r="S53" s="21">
        <f>(IF(Intro!$C$10="A",S129, IF(Intro!$C$10="B",S146,S163)))*(1+Intro!$G$30)</f>
        <v>0</v>
      </c>
      <c r="T53" s="21">
        <f>(IF(Intro!$C$10="A",T129, IF(Intro!$C$10="B",T146,T163)))*(1+Intro!$G$30)</f>
        <v>0</v>
      </c>
      <c r="U53" s="21">
        <f>(IF(Intro!$C$10="A",U129, IF(Intro!$C$10="B",U146,U163)))*(1+Intro!$G$30)</f>
        <v>0</v>
      </c>
      <c r="V53" s="21">
        <f>(IF(Intro!$C$10="A",V129, IF(Intro!$C$10="B",V146,V163)))*(1+Intro!$G$30)</f>
        <v>0</v>
      </c>
      <c r="W53" s="21">
        <f>(IF(Intro!$C$10="A",W129, IF(Intro!$C$10="B",W146,W163)))*(1+Intro!$G$30)</f>
        <v>0</v>
      </c>
      <c r="X53" s="21">
        <f>(IF(Intro!$C$10="A",X129, IF(Intro!$C$10="B",X146,X163)))*(1+Intro!$G$30)</f>
        <v>0</v>
      </c>
      <c r="Y53" s="21">
        <f>(IF(Intro!$C$10="A",Y129, IF(Intro!$C$10="B",Y146,Y163)))*(1+Intro!$G$30)</f>
        <v>0</v>
      </c>
      <c r="Z53" s="21">
        <f>(IF(Intro!$C$10="A",Z129, IF(Intro!$C$10="B",Z146,Z163)))*(1+Intro!$G$30)</f>
        <v>0</v>
      </c>
      <c r="AA53" s="21">
        <f>(IF(Intro!$C$10="A",AA129, IF(Intro!$C$10="B",AA146,AA163)))*(1+Intro!$G$30)</f>
        <v>0</v>
      </c>
      <c r="AB53" s="21">
        <f>(IF(Intro!$C$10="A",AB129, IF(Intro!$C$10="B",AB146,AB163)))*(1+Intro!$G$30)</f>
        <v>0</v>
      </c>
      <c r="AC53" s="21">
        <f>(IF(Intro!$C$10="A",AC129, IF(Intro!$C$10="B",AC146,AC163)))*(1+Intro!$G$30)</f>
        <v>0</v>
      </c>
      <c r="AD53" s="21">
        <f>(IF(Intro!$C$10="A",AD129, IF(Intro!$C$10="B",AD146,AD163)))*(1+Intro!$G$30)</f>
        <v>0</v>
      </c>
      <c r="AE53" s="21">
        <f>(IF(Intro!$C$10="A",AE129, IF(Intro!$C$10="B",AE146,AE163)))*(1+Intro!$G$30)</f>
        <v>0</v>
      </c>
      <c r="AF53" s="21">
        <f>(IF(Intro!$C$10="A",AF129, IF(Intro!$C$10="B",AF146,AF163)))*(1+Intro!$G$30)</f>
        <v>0</v>
      </c>
      <c r="AG53" s="21">
        <f>(IF(Intro!$C$10="A",AG129, IF(Intro!$C$10="B",AG146,AG163)))*(1+Intro!$G$30)</f>
        <v>0</v>
      </c>
      <c r="AH53" s="21">
        <f>(IF(Intro!$C$10="A",AH129, IF(Intro!$C$10="B",AH146,AH163)))*(1+Intro!$G$30)</f>
        <v>0</v>
      </c>
      <c r="AI53" s="21">
        <f>(IF(Intro!$C$10="A",AI129, IF(Intro!$C$10="B",AI146,AI163)))*(1+Intro!$G$30)</f>
        <v>0</v>
      </c>
      <c r="AJ53" s="21">
        <f>(IF(Intro!$C$10="A",AJ129, IF(Intro!$C$10="B",AJ146,AJ163)))*(1+Intro!$G$30)</f>
        <v>0</v>
      </c>
      <c r="AK53" s="21">
        <f>(IF(Intro!$C$10="A",AK129, IF(Intro!$C$10="B",AK146,AK163)))*(1+Intro!$G$30)</f>
        <v>0</v>
      </c>
    </row>
    <row r="55" spans="2:37" ht="15" x14ac:dyDescent="0.3">
      <c r="B55" s="12" t="s">
        <v>70</v>
      </c>
    </row>
    <row r="56" spans="2:37" ht="15" outlineLevel="1" x14ac:dyDescent="0.3">
      <c r="B56" s="14"/>
      <c r="C56" s="15" t="s">
        <v>3</v>
      </c>
      <c r="D56" s="15" t="s">
        <v>4</v>
      </c>
      <c r="E56" s="15">
        <f>E23</f>
        <v>2022</v>
      </c>
      <c r="F56" s="15">
        <f t="shared" ref="F56:AC56" si="27">F23</f>
        <v>2023</v>
      </c>
      <c r="G56" s="15">
        <f t="shared" si="27"/>
        <v>2024</v>
      </c>
      <c r="H56" s="15">
        <f t="shared" si="27"/>
        <v>2025</v>
      </c>
      <c r="I56" s="15">
        <f t="shared" si="27"/>
        <v>2026</v>
      </c>
      <c r="J56" s="15">
        <f t="shared" si="27"/>
        <v>2027</v>
      </c>
      <c r="K56" s="15">
        <f t="shared" si="27"/>
        <v>2028</v>
      </c>
      <c r="L56" s="15">
        <f t="shared" si="27"/>
        <v>2029</v>
      </c>
      <c r="M56" s="15">
        <f t="shared" si="27"/>
        <v>2030</v>
      </c>
      <c r="N56" s="15">
        <f t="shared" si="27"/>
        <v>2031</v>
      </c>
      <c r="O56" s="15">
        <f t="shared" si="27"/>
        <v>2032</v>
      </c>
      <c r="P56" s="15">
        <f t="shared" si="27"/>
        <v>2033</v>
      </c>
      <c r="Q56" s="15">
        <f t="shared" si="27"/>
        <v>2034</v>
      </c>
      <c r="R56" s="15">
        <f t="shared" si="27"/>
        <v>2035</v>
      </c>
      <c r="S56" s="15">
        <f t="shared" si="27"/>
        <v>2036</v>
      </c>
      <c r="T56" s="15">
        <f t="shared" si="27"/>
        <v>2037</v>
      </c>
      <c r="U56" s="15">
        <f t="shared" si="27"/>
        <v>2038</v>
      </c>
      <c r="V56" s="15">
        <f t="shared" si="27"/>
        <v>2039</v>
      </c>
      <c r="W56" s="15">
        <f t="shared" si="27"/>
        <v>2040</v>
      </c>
      <c r="X56" s="15">
        <f t="shared" si="27"/>
        <v>2041</v>
      </c>
      <c r="Y56" s="15">
        <f t="shared" si="27"/>
        <v>2042</v>
      </c>
      <c r="Z56" s="15">
        <f t="shared" si="27"/>
        <v>2043</v>
      </c>
      <c r="AA56" s="15">
        <f t="shared" si="27"/>
        <v>2044</v>
      </c>
      <c r="AB56" s="15">
        <f t="shared" si="27"/>
        <v>2045</v>
      </c>
      <c r="AC56" s="15">
        <f t="shared" si="27"/>
        <v>2046</v>
      </c>
      <c r="AD56" s="15">
        <f t="shared" ref="AD56:AK56" si="28">AD23</f>
        <v>2047</v>
      </c>
      <c r="AE56" s="15">
        <f t="shared" si="28"/>
        <v>2048</v>
      </c>
      <c r="AF56" s="15">
        <f t="shared" si="28"/>
        <v>2049</v>
      </c>
      <c r="AG56" s="15">
        <f t="shared" si="28"/>
        <v>2050</v>
      </c>
      <c r="AH56" s="15">
        <f t="shared" si="28"/>
        <v>2051</v>
      </c>
      <c r="AI56" s="15">
        <f t="shared" si="28"/>
        <v>2052</v>
      </c>
      <c r="AJ56" s="15">
        <f t="shared" si="28"/>
        <v>2053</v>
      </c>
      <c r="AK56" s="15">
        <f t="shared" si="28"/>
        <v>2054</v>
      </c>
    </row>
    <row r="57" spans="2:37" ht="14.4" outlineLevel="1" x14ac:dyDescent="0.3">
      <c r="B57" s="22" t="s">
        <v>70</v>
      </c>
      <c r="C57" s="23">
        <f>SUM(E57:BE57)</f>
        <v>1167.4201704244633</v>
      </c>
      <c r="D57" s="47" t="s">
        <v>0</v>
      </c>
      <c r="E57" s="55">
        <f>SUM(E58:E61)</f>
        <v>0</v>
      </c>
      <c r="F57" s="55">
        <f t="shared" ref="F57:AC57" si="29">SUM(F58:F61)</f>
        <v>0</v>
      </c>
      <c r="G57" s="55">
        <f t="shared" si="29"/>
        <v>0</v>
      </c>
      <c r="H57" s="55">
        <f t="shared" si="29"/>
        <v>0.53099999999999992</v>
      </c>
      <c r="I57" s="55">
        <f t="shared" si="29"/>
        <v>0.54052499999999992</v>
      </c>
      <c r="J57" s="55">
        <f t="shared" si="29"/>
        <v>2.6605244556250001</v>
      </c>
      <c r="K57" s="55">
        <f t="shared" si="29"/>
        <v>5.1410432515624995</v>
      </c>
      <c r="L57" s="55">
        <f t="shared" si="29"/>
        <v>7.1423954796015598</v>
      </c>
      <c r="M57" s="55">
        <f t="shared" si="29"/>
        <v>7.6559954783110342</v>
      </c>
      <c r="N57" s="55">
        <f t="shared" si="29"/>
        <v>2.1290041308886227</v>
      </c>
      <c r="O57" s="55">
        <f t="shared" si="29"/>
        <v>27.766395495793418</v>
      </c>
      <c r="P57" s="55">
        <f t="shared" si="29"/>
        <v>53.315541560774598</v>
      </c>
      <c r="Q57" s="55">
        <f t="shared" si="29"/>
        <v>56.759880666469869</v>
      </c>
      <c r="R57" s="55">
        <f t="shared" si="29"/>
        <v>58.178877683131617</v>
      </c>
      <c r="S57" s="55">
        <f t="shared" si="29"/>
        <v>59.796728665278962</v>
      </c>
      <c r="T57" s="55">
        <f t="shared" si="29"/>
        <v>61.124183365840139</v>
      </c>
      <c r="U57" s="55">
        <f t="shared" si="29"/>
        <v>62.652287949986146</v>
      </c>
      <c r="V57" s="55">
        <f t="shared" si="29"/>
        <v>64.218595148735787</v>
      </c>
      <c r="W57" s="55">
        <f t="shared" si="29"/>
        <v>66.004399917940361</v>
      </c>
      <c r="X57" s="55">
        <f t="shared" si="29"/>
        <v>66.213656630434855</v>
      </c>
      <c r="Y57" s="55">
        <f t="shared" si="29"/>
        <v>101.54946152694573</v>
      </c>
      <c r="Z57" s="55">
        <f t="shared" si="29"/>
        <v>82.73826768354553</v>
      </c>
      <c r="AA57" s="55">
        <f t="shared" si="29"/>
        <v>67.325278925601296</v>
      </c>
      <c r="AB57" s="55">
        <f t="shared" si="29"/>
        <v>58.573592630696844</v>
      </c>
      <c r="AC57" s="55">
        <f t="shared" si="29"/>
        <v>50.531978643940946</v>
      </c>
      <c r="AD57" s="55">
        <f t="shared" ref="AD57:AK57" si="30">SUM(AD58:AD61)</f>
        <v>42.000077897927582</v>
      </c>
      <c r="AE57" s="55">
        <f t="shared" si="30"/>
        <v>38.195541885710369</v>
      </c>
      <c r="AF57" s="55">
        <f t="shared" si="30"/>
        <v>35.04655983957224</v>
      </c>
      <c r="AG57" s="55">
        <f t="shared" si="30"/>
        <v>32.172002161117149</v>
      </c>
      <c r="AH57" s="55">
        <f t="shared" si="30"/>
        <v>29.745902771350654</v>
      </c>
      <c r="AI57" s="55">
        <f t="shared" si="30"/>
        <v>27.710471577680483</v>
      </c>
      <c r="AJ57" s="55">
        <f t="shared" si="30"/>
        <v>0</v>
      </c>
      <c r="AK57" s="55">
        <f t="shared" si="30"/>
        <v>0</v>
      </c>
    </row>
    <row r="58" spans="2:37" ht="14.4" outlineLevel="1" x14ac:dyDescent="0.3">
      <c r="B58" s="5" t="s">
        <v>71</v>
      </c>
      <c r="C58" s="23">
        <f>SUM(E58:BE58)</f>
        <v>42.113019664612423</v>
      </c>
      <c r="D58" s="47" t="s">
        <v>0</v>
      </c>
      <c r="E58" s="56">
        <f>(E59*0.015+IF(E65&lt;=15,E65*0.03,IF(E65&lt;=30,(15*0.03)+(E65-15)*0.02,IF(E65&gt;30,(15*0.03)+(15*0.02)+(E65-30)*0.01))))*(1+Intro!$G$31)</f>
        <v>0</v>
      </c>
      <c r="F58" s="56">
        <f>(F59*0.015+IF(F65&lt;=15,F65*0.03,IF(F65&lt;=30,(15*0.03)+(F65-15)*0.02,IF(F65&gt;30,(15*0.03)+(15*0.02)+(F65-30)*0.01))))*(1+Intro!$G$31)</f>
        <v>0</v>
      </c>
      <c r="G58" s="56">
        <f>(G59*0.015+IF(G65&lt;=15,G65*0.03,IF(G65&lt;=30,(15*0.03)+(G65-15)*0.02,IF(G65&gt;30,(15*0.03)+(15*0.02)+(G65-30)*0.01))))*(1+Intro!$G$31)</f>
        <v>0</v>
      </c>
      <c r="H58" s="56">
        <f>(H59*0.015+IF(H65&lt;=15,H65*0.03,IF(H65&lt;=30,(15*0.03)+(H65-15)*0.02,IF(H65&gt;30,(15*0.03)+(15*0.02)+(H65-30)*0.01))))*(1+Intro!$G$31)</f>
        <v>0.53099999999999992</v>
      </c>
      <c r="I58" s="56">
        <f>(I59*0.015+IF(I65&lt;=15,I65*0.03,IF(I65&lt;=30,(15*0.03)+(I65-15)*0.02,IF(I65&gt;30,(15*0.03)+(15*0.02)+(I65-30)*0.01))))*(1+Intro!$G$31)</f>
        <v>0.54052499999999992</v>
      </c>
      <c r="J58" s="56">
        <f>(J59*0.015+IF(J65&lt;=15,J65*0.03,IF(J65&lt;=30,(15*0.03)+(J65-15)*0.02,IF(J65&gt;30,(15*0.03)+(15*0.02)+(J65-30)*0.01))))*(1+Intro!$G$31)</f>
        <v>2.6605244556250001</v>
      </c>
      <c r="K58" s="56">
        <f>(K59*0.015+IF(K65&lt;=15,K65*0.03,IF(K65&lt;=30,(15*0.03)+(K65-15)*0.02,IF(K65&gt;30,(15*0.03)+(15*0.02)+(K65-30)*0.01))))*(1+Intro!$G$31)</f>
        <v>5.1410432515624995</v>
      </c>
      <c r="L58" s="56">
        <f>(L59*0.015+IF(L65&lt;=15,L65*0.03,IF(L65&lt;=30,(15*0.03)+(L65-15)*0.02,IF(L65&gt;30,(15*0.03)+(15*0.02)+(L65-30)*0.01))))*(1+Intro!$G$31)</f>
        <v>7.1423954796015598</v>
      </c>
      <c r="M58" s="56">
        <f>(M59*0.015+IF(M65&lt;=15,M65*0.03,IF(M65&lt;=30,(15*0.03)+(M65-15)*0.02,IF(M65&gt;30,(15*0.03)+(15*0.02)+(M65-30)*0.01))))*(1+Intro!$G$31)</f>
        <v>7.6559954783110342</v>
      </c>
      <c r="N58" s="56">
        <f>(N59*0.015+IF(N65&lt;=15,N65*0.03,IF(N65&lt;=30,(15*0.03)+(N65-15)*0.02,IF(N65&gt;30,(15*0.03)+(15*0.02)+(N65-30)*0.01))))*(1+Intro!$G$31)</f>
        <v>2.1290041308886227</v>
      </c>
      <c r="O58" s="56">
        <f>(O59*0.015+IF(O65&lt;=15,O65*0.03,IF(O65&lt;=30,(15*0.03)+(O65-15)*0.02,IF(O65&gt;30,(15*0.03)+(15*0.02)+(O65-30)*0.01))))*(1+Intro!$G$31)</f>
        <v>2.5492366173376744</v>
      </c>
      <c r="P58" s="56">
        <f>(P59*0.015+IF(P65&lt;=15,P65*0.03,IF(P65&lt;=30,(15*0.03)+(P65-15)*0.02,IF(P65&gt;30,(15*0.03)+(15*0.02)+(P65-30)*0.01))))*(1+Intro!$G$31)</f>
        <v>1.8105757258619757</v>
      </c>
      <c r="Q58" s="56">
        <f>(Q59*0.015+IF(Q65&lt;=15,Q65*0.03,IF(Q65&lt;=30,(15*0.03)+(Q65-15)*0.02,IF(Q65&gt;30,(15*0.03)+(15*0.02)+(Q65-30)*0.01))))*(1+Intro!$G$31)</f>
        <v>0.83881597044044132</v>
      </c>
      <c r="R58" s="56">
        <f>(R59*0.015+IF(R65&lt;=15,R65*0.03,IF(R65&lt;=30,(15*0.03)+(R65-15)*0.02,IF(R65&gt;30,(15*0.03)+(15*0.02)+(R65-30)*0.01))))*(1+Intro!$G$31)</f>
        <v>0.85978636970145239</v>
      </c>
      <c r="S58" s="56">
        <f>(S59*0.015+IF(S65&lt;=15,S65*0.03,IF(S65&lt;=30,(15*0.03)+(S65-15)*0.02,IF(S65&gt;30,(15*0.03)+(15*0.02)+(S65-30)*0.01))))*(1+Intro!$G$31)</f>
        <v>0.88369549751643783</v>
      </c>
      <c r="T58" s="56">
        <f>(T59*0.015+IF(T65&lt;=15,T65*0.03,IF(T65&lt;=30,(15*0.03)+(T65-15)*0.02,IF(T65&gt;30,(15*0.03)+(15*0.02)+(T65-30)*0.01))))*(1+Intro!$G$31)</f>
        <v>0.90331305466758827</v>
      </c>
      <c r="U58" s="56">
        <f>(U59*0.015+IF(U65&lt;=15,U65*0.03,IF(U65&lt;=30,(15*0.03)+(U65-15)*0.02,IF(U65&gt;30,(15*0.03)+(15*0.02)+(U65-30)*0.01))))*(1+Intro!$G$31)</f>
        <v>0.925895881034278</v>
      </c>
      <c r="V58" s="56">
        <f>(V59*0.015+IF(V65&lt;=15,V65*0.03,IF(V65&lt;=30,(15*0.03)+(V65-15)*0.02,IF(V65&gt;30,(15*0.03)+(15*0.02)+(V65-30)*0.01))))*(1+Intro!$G$31)</f>
        <v>0.94904327806013478</v>
      </c>
      <c r="W58" s="56">
        <f>(W59*0.015+IF(W65&lt;=15,W65*0.03,IF(W65&lt;=30,(15*0.03)+(W65-15)*0.02,IF(W65&gt;30,(15*0.03)+(15*0.02)+(W65-30)*0.01))))*(1+Intro!$G$31)</f>
        <v>0.97543448154591661</v>
      </c>
      <c r="X58" s="56">
        <f>(X59*0.015+IF(X65&lt;=15,X65*0.03,IF(X65&lt;=30,(15*0.03)+(X65-15)*0.02,IF(X65&gt;30,(15*0.03)+(15*0.02)+(X65-30)*0.01))))*(1+Intro!$G$31)</f>
        <v>0.97852694527736228</v>
      </c>
      <c r="Y58" s="56">
        <f>(Y59*0.015+IF(Y65&lt;=15,Y65*0.03,IF(Y65&lt;=30,(15*0.03)+(Y65-15)*0.02,IF(Y65&gt;30,(15*0.03)+(15*0.02)+(Y65-30)*0.01))))*(1+Intro!$G$31)</f>
        <v>0.79906399230148029</v>
      </c>
      <c r="Z58" s="56">
        <f>(Z59*0.015+IF(Z65&lt;=15,Z65*0.03,IF(Z65&lt;=30,(15*0.03)+(Z65-15)*0.02,IF(Z65&gt;30,(15*0.03)+(15*0.02)+(Z65-30)*0.01))))*(1+Intro!$G$31)</f>
        <v>0.65855395481267442</v>
      </c>
      <c r="AA58" s="56">
        <f>(AA59*0.015+IF(AA65&lt;=15,AA65*0.03,IF(AA65&lt;=30,(15*0.03)+(AA65-15)*0.02,IF(AA65&gt;30,(15*0.03)+(15*0.02)+(AA65-30)*0.01))))*(1+Intro!$G$31)</f>
        <v>0.54197380731972755</v>
      </c>
      <c r="AB58" s="56">
        <f>(AB59*0.015+IF(AB65&lt;=15,AB65*0.03,IF(AB65&lt;=30,(15*0.03)+(AB65-15)*0.02,IF(AB65&gt;30,(15*0.03)+(15*0.02)+(AB65-30)*0.01))))*(1+Intro!$G$31)</f>
        <v>0.4768167783951599</v>
      </c>
      <c r="AC58" s="56">
        <f>(AC59*0.015+IF(AC65&lt;=15,AC65*0.03,IF(AC65&lt;=30,(15*0.03)+(AC65-15)*0.02,IF(AC65&gt;30,(15*0.03)+(15*0.02)+(AC65-30)*0.01))))*(1+Intro!$G$31)</f>
        <v>0.41591059730310553</v>
      </c>
      <c r="AD58" s="56">
        <f>(AD59*0.015+IF(AD65&lt;=15,AD65*0.03,IF(AD65&lt;=30,(15*0.03)+(AD65-15)*0.02,IF(AD65&gt;30,(15*0.03)+(15*0.02)+(AD65-30)*0.01))))*(1+Intro!$G$31)</f>
        <v>0.34946400829097657</v>
      </c>
      <c r="AE58" s="56">
        <f>(AE59*0.015+IF(AE65&lt;=15,AE65*0.03,IF(AE65&lt;=30,(15*0.03)+(AE65-15)*0.02,IF(AE65&gt;30,(15*0.03)+(15*0.02)+(AE65-30)*0.01))))*(1+Intro!$G$31)</f>
        <v>0.3212318233439716</v>
      </c>
      <c r="AF58" s="56">
        <f>(AF59*0.015+IF(AF65&lt;=15,AF65*0.03,IF(AF65&lt;=30,(15*0.03)+(AF65-15)*0.02,IF(AF65&gt;30,(15*0.03)+(15*0.02)+(AF65-30)*0.01))))*(1+Intro!$G$31)</f>
        <v>0.29787899208217672</v>
      </c>
      <c r="AG58" s="56">
        <f>(AG59*0.015+IF(AG65&lt;=15,AG65*0.03,IF(AG65&lt;=30,(15*0.03)+(AG65-15)*0.02,IF(AG65&gt;30,(15*0.03)+(15*0.02)+(AG65-30)*0.01))))*(1+Intro!$G$31)</f>
        <v>0.27630991007323824</v>
      </c>
      <c r="AH58" s="56">
        <f>(AH59*0.015+IF(AH65&lt;=15,AH65*0.03,IF(AH65&lt;=30,(15*0.03)+(AH65-15)*0.02,IF(AH65&gt;30,(15*0.03)+(15*0.02)+(AH65-30)*0.01))))*(1+Intro!$G$31)</f>
        <v>0.25811007837354788</v>
      </c>
      <c r="AI58" s="56">
        <f>(AI59*0.015+IF(AI65&lt;=15,AI65*0.03,IF(AI65&lt;=30,(15*0.03)+(AI65-15)*0.02,IF(AI65&gt;30,(15*0.03)+(15*0.02)+(AI65-30)*0.01))))*(1+Intro!$G$31)</f>
        <v>0.24289410488439037</v>
      </c>
      <c r="AJ58" s="56">
        <f>(AJ59*0.015+IF(AJ65&lt;=15,AJ65*0.03,IF(AJ65&lt;=30,(15*0.03)+(AJ65-15)*0.02,IF(AJ65&gt;30,(15*0.03)+(15*0.02)+(AJ65-30)*0.01))))*(1+Intro!$G$31)</f>
        <v>0</v>
      </c>
      <c r="AK58" s="56">
        <f>(AK59*0.015+IF(AK65&lt;=15,AK65*0.03,IF(AK65&lt;=30,(15*0.03)+(AK65-15)*0.02,IF(AK65&gt;30,(15*0.03)+(15*0.02)+(AK65-30)*0.01))))*(1+Intro!$G$31)</f>
        <v>0</v>
      </c>
    </row>
    <row r="59" spans="2:37" ht="14.4" outlineLevel="1" x14ac:dyDescent="0.3">
      <c r="B59" s="5" t="s">
        <v>72</v>
      </c>
      <c r="C59" s="23">
        <f>SUM(E59:BE59)</f>
        <v>873.57009307497231</v>
      </c>
      <c r="D59" s="47" t="s">
        <v>0</v>
      </c>
      <c r="E59" s="57">
        <f>(IF(Intro!$C$20="real",(E24*Intro!$B$20+E27*(35.315*1000/5800)*Intro!$B$21),(E24*Intro!$B$20*D8+E27*(35.315*1000/5800)*Intro!$B$21*D8)))*(1+Intro!$G$31)</f>
        <v>0</v>
      </c>
      <c r="F59" s="57">
        <f>(IF(Intro!$C$20="real",(F24*Intro!$B$20+F27*(35.315*1000/5800)*Intro!$B$21),(F24*Intro!$B$20*E8+F27*(35.315*1000/5800)*Intro!$B$21*E8)))*(1+Intro!$G$31)</f>
        <v>0</v>
      </c>
      <c r="G59" s="57">
        <f>(IF(Intro!$C$20="real",(G24*Intro!$B$20+G27*(35.315*1000/5800)*Intro!$B$21),(G24*Intro!$B$20*F8+G27*(35.315*1000/5800)*Intro!$B$21*F8)))*(1+Intro!$G$31)</f>
        <v>0</v>
      </c>
      <c r="H59" s="57">
        <f>(IF(Intro!$C$20="real",(H24*Intro!$B$20+H27*(35.315*1000/5800)*Intro!$B$21),(H24*Intro!$B$20*G8+H27*(35.315*1000/5800)*Intro!$B$21*G8)))*(1+Intro!$G$31)</f>
        <v>0</v>
      </c>
      <c r="I59" s="57">
        <f>(IF(Intro!$C$20="real",(I24*Intro!$B$20+I27*(35.315*1000/5800)*Intro!$B$21),(I24*Intro!$B$20*H8+I27*(35.315*1000/5800)*Intro!$B$21*H8)))*(1+Intro!$G$31)</f>
        <v>0</v>
      </c>
      <c r="J59" s="57">
        <f>(IF(Intro!$C$20="real",(J24*Intro!$B$20+J27*(35.315*1000/5800)*Intro!$B$21),(J24*Intro!$B$20*I8+J27*(35.315*1000/5800)*Intro!$B$21*I8)))*(1+Intro!$G$31)</f>
        <v>0</v>
      </c>
      <c r="K59" s="57">
        <f>(IF(Intro!$C$20="real",(K24*Intro!$B$20+K27*(35.315*1000/5800)*Intro!$B$21),(K24*Intro!$B$20*J8+K27*(35.315*1000/5800)*Intro!$B$21*J8)))*(1+Intro!$G$31)</f>
        <v>0</v>
      </c>
      <c r="L59" s="57">
        <f>(IF(Intro!$C$20="real",(L24*Intro!$B$20+L27*(35.315*1000/5800)*Intro!$B$21),(L24*Intro!$B$20*K8+L27*(35.315*1000/5800)*Intro!$B$21*K8)))*(1+Intro!$G$31)</f>
        <v>0</v>
      </c>
      <c r="M59" s="57">
        <f>(IF(Intro!$C$20="real",(M24*Intro!$B$20+M27*(35.315*1000/5800)*Intro!$B$21),(M24*Intro!$B$20*L8+M27*(35.315*1000/5800)*Intro!$B$21*L8)))*(1+Intro!$G$31)</f>
        <v>0</v>
      </c>
      <c r="N59" s="57">
        <f>(IF(Intro!$C$20="real",(N24*Intro!$B$20+N27*(35.315*1000/5800)*Intro!$B$21),(N24*Intro!$B$20*M8+N27*(35.315*1000/5800)*Intro!$B$21*M8)))*(1+Intro!$G$31)</f>
        <v>0</v>
      </c>
      <c r="O59" s="57">
        <f>(IF(Intro!$C$20="real",(O24*Intro!$B$20+O27*(35.315*1000/5800)*Intro!$B$21),(O24*Intro!$B$20*N8+O27*(35.315*1000/5800)*Intro!$B$21*N8)))*(1+Intro!$G$31)</f>
        <v>25.217158878455745</v>
      </c>
      <c r="P59" s="57">
        <f>(IF(Intro!$C$20="real",(P24*Intro!$B$20+P27*(35.315*1000/5800)*Intro!$B$21),(P24*Intro!$B$20*O8+P27*(35.315*1000/5800)*Intro!$B$21*O8)))*(1+Intro!$G$31)</f>
        <v>51.504965834912625</v>
      </c>
      <c r="Q59" s="57">
        <f>(IF(Intro!$C$20="real",(Q24*Intro!$B$20+Q27*(35.315*1000/5800)*Intro!$B$21),(Q24*Intro!$B$20*P8+Q27*(35.315*1000/5800)*Intro!$B$21*P8)))*(1+Intro!$G$31)</f>
        <v>55.921064696029426</v>
      </c>
      <c r="R59" s="57">
        <f>(IF(Intro!$C$20="real",(R24*Intro!$B$20+R27*(35.315*1000/5800)*Intro!$B$21),(R24*Intro!$B$20*Q8+R27*(35.315*1000/5800)*Intro!$B$21*Q8)))*(1+Intro!$G$31)</f>
        <v>57.319091313430164</v>
      </c>
      <c r="S59" s="57">
        <f>(IF(Intro!$C$20="real",(S24*Intro!$B$20+S27*(35.315*1000/5800)*Intro!$B$21),(S24*Intro!$B$20*R8+S27*(35.315*1000/5800)*Intro!$B$21*R8)))*(1+Intro!$G$31)</f>
        <v>58.913033167762528</v>
      </c>
      <c r="T59" s="57">
        <f>(IF(Intro!$C$20="real",(T24*Intro!$B$20+T27*(35.315*1000/5800)*Intro!$B$21),(T24*Intro!$B$20*S8+T27*(35.315*1000/5800)*Intro!$B$21*S8)))*(1+Intro!$G$31)</f>
        <v>60.220870311172554</v>
      </c>
      <c r="U59" s="57">
        <f>(IF(Intro!$C$20="real",(U24*Intro!$B$20+U27*(35.315*1000/5800)*Intro!$B$21),(U24*Intro!$B$20*T8+U27*(35.315*1000/5800)*Intro!$B$21*T8)))*(1+Intro!$G$31)</f>
        <v>61.726392068951867</v>
      </c>
      <c r="V59" s="57">
        <f>(IF(Intro!$C$20="real",(V24*Intro!$B$20+V27*(35.315*1000/5800)*Intro!$B$21),(V24*Intro!$B$20*U8+V27*(35.315*1000/5800)*Intro!$B$21*U8)))*(1+Intro!$G$31)</f>
        <v>63.269551870675656</v>
      </c>
      <c r="W59" s="57">
        <f>(IF(Intro!$C$20="real",(W24*Intro!$B$20+W27*(35.315*1000/5800)*Intro!$B$21),(W24*Intro!$B$20*V8+W27*(35.315*1000/5800)*Intro!$B$21*V8)))*(1+Intro!$G$31)</f>
        <v>65.028965436394444</v>
      </c>
      <c r="X59" s="57">
        <f>(IF(Intro!$C$20="real",(X24*Intro!$B$20+X27*(35.315*1000/5800)*Intro!$B$21),(X24*Intro!$B$20*W8+X27*(35.315*1000/5800)*Intro!$B$21*W8)))*(1+Intro!$G$31)</f>
        <v>65.235129685157489</v>
      </c>
      <c r="Y59" s="57">
        <f>(IF(Intro!$C$20="real",(Y24*Intro!$B$20+Y27*(35.315*1000/5800)*Intro!$B$21),(Y24*Intro!$B$20*X8+Y27*(35.315*1000/5800)*Intro!$B$21*X8)))*(1+Intro!$G$31)</f>
        <v>53.270932820098686</v>
      </c>
      <c r="Z59" s="57">
        <f>(IF(Intro!$C$20="real",(Z24*Intro!$B$20+Z27*(35.315*1000/5800)*Intro!$B$21),(Z24*Intro!$B$20*Y8+Z27*(35.315*1000/5800)*Intro!$B$21*Y8)))*(1+Intro!$G$31)</f>
        <v>43.903596987511627</v>
      </c>
      <c r="AA59" s="57">
        <f>(IF(Intro!$C$20="real",(AA24*Intro!$B$20+AA27*(35.315*1000/5800)*Intro!$B$21),(AA24*Intro!$B$20*Z8+AA27*(35.315*1000/5800)*Intro!$B$21*Z8)))*(1+Intro!$G$31)</f>
        <v>36.131587154648507</v>
      </c>
      <c r="AB59" s="57">
        <f>(IF(Intro!$C$20="real",(AB24*Intro!$B$20+AB27*(35.315*1000/5800)*Intro!$B$21),(AB24*Intro!$B$20*AA8+AB27*(35.315*1000/5800)*Intro!$B$21*AA8)))*(1+Intro!$G$31)</f>
        <v>31.787785226343996</v>
      </c>
      <c r="AC59" s="57">
        <f>(IF(Intro!$C$20="real",(AC24*Intro!$B$20+AC27*(35.315*1000/5800)*Intro!$B$21),(AC24*Intro!$B$20*AB8+AC27*(35.315*1000/5800)*Intro!$B$21*AB8)))*(1+Intro!$G$31)</f>
        <v>27.72737315354037</v>
      </c>
      <c r="AD59" s="57">
        <f>(IF(Intro!$C$20="real",(AD24*Intro!$B$20+AD27*(35.315*1000/5800)*Intro!$B$21),(AD24*Intro!$B$20*AC8+AD27*(35.315*1000/5800)*Intro!$B$21*AC8)))*(1+Intro!$G$31)</f>
        <v>23.297600552731772</v>
      </c>
      <c r="AE59" s="57">
        <f>(IF(Intro!$C$20="real",(AE24*Intro!$B$20+AE27*(35.315*1000/5800)*Intro!$B$21),(AE24*Intro!$B$20*AD8+AE27*(35.315*1000/5800)*Intro!$B$21*AD8)))*(1+Intro!$G$31)</f>
        <v>21.415454889598106</v>
      </c>
      <c r="AF59" s="57">
        <f>(IF(Intro!$C$20="real",(AF24*Intro!$B$20+AF27*(35.315*1000/5800)*Intro!$B$21),(AF24*Intro!$B$20*AE8+AF27*(35.315*1000/5800)*Intro!$B$21*AE8)))*(1+Intro!$G$31)</f>
        <v>19.858599472145116</v>
      </c>
      <c r="AG59" s="57">
        <f>(IF(Intro!$C$20="real",(AG24*Intro!$B$20+AG27*(35.315*1000/5800)*Intro!$B$21),(AG24*Intro!$B$20*AF8+AG27*(35.315*1000/5800)*Intro!$B$21*AF8)))*(1+Intro!$G$31)</f>
        <v>18.420660671549218</v>
      </c>
      <c r="AH59" s="57">
        <f>(IF(Intro!$C$20="real",(AH24*Intro!$B$20+AH27*(35.315*1000/5800)*Intro!$B$21),(AH24*Intro!$B$20*AG8+AH27*(35.315*1000/5800)*Intro!$B$21*AG8)))*(1+Intro!$G$31)</f>
        <v>17.207338558236525</v>
      </c>
      <c r="AI59" s="57">
        <f>(IF(Intro!$C$20="real",(AI24*Intro!$B$20+AI27*(35.315*1000/5800)*Intro!$B$21),(AI24*Intro!$B$20*AH8+AI27*(35.315*1000/5800)*Intro!$B$21*AH8)))*(1+Intro!$G$31)</f>
        <v>16.192940325626026</v>
      </c>
      <c r="AJ59" s="57">
        <f>(IF(Intro!$C$20="real",(AJ24*Intro!$B$20+AJ27*(35.315*1000/5800)*Intro!$B$21),(AJ24*Intro!$B$20*AI8+AJ27*(35.315*1000/5800)*Intro!$B$21*AI8)))*(1+Intro!$G$31)</f>
        <v>0</v>
      </c>
      <c r="AK59" s="57">
        <f>(IF(Intro!$C$20="real",(AK24*Intro!$B$20+AK27*(35.315*1000/5800)*Intro!$B$21),(AK24*Intro!$B$20*AJ8+AK27*(35.315*1000/5800)*Intro!$B$21*AJ8)))*(1+Intro!$G$31)</f>
        <v>0</v>
      </c>
    </row>
    <row r="60" spans="2:37" ht="14.4" outlineLevel="1" x14ac:dyDescent="0.3">
      <c r="B60" s="5" t="s">
        <v>73</v>
      </c>
      <c r="C60" s="23">
        <f>SUM(E60:BE60)</f>
        <v>0</v>
      </c>
      <c r="D60" s="47" t="s">
        <v>0</v>
      </c>
      <c r="E60" s="55">
        <f>0*(1+Intro!$G$31)</f>
        <v>0</v>
      </c>
      <c r="F60" s="55">
        <f>0*(1+Intro!$G$31)</f>
        <v>0</v>
      </c>
      <c r="G60" s="55">
        <f>0*(1+Intro!$G$31)</f>
        <v>0</v>
      </c>
      <c r="H60" s="55">
        <f>0*(1+Intro!$G$31)</f>
        <v>0</v>
      </c>
      <c r="I60" s="55">
        <f>0*(1+Intro!$G$31)</f>
        <v>0</v>
      </c>
      <c r="J60" s="55">
        <f>0*(1+Intro!$G$31)</f>
        <v>0</v>
      </c>
      <c r="K60" s="55">
        <f>0*(1+Intro!$G$31)</f>
        <v>0</v>
      </c>
      <c r="L60" s="55">
        <f>0*(1+Intro!$G$31)</f>
        <v>0</v>
      </c>
      <c r="M60" s="55">
        <f>0*(1+Intro!$G$31)</f>
        <v>0</v>
      </c>
      <c r="N60" s="55">
        <f>0*(1+Intro!$G$31)</f>
        <v>0</v>
      </c>
      <c r="O60" s="55">
        <f>0*(1+Intro!$G$31)</f>
        <v>0</v>
      </c>
      <c r="P60" s="55">
        <f>0*(1+Intro!$G$31)</f>
        <v>0</v>
      </c>
      <c r="Q60" s="55">
        <f>0*(1+Intro!$G$31)</f>
        <v>0</v>
      </c>
      <c r="R60" s="55">
        <f>0*(1+Intro!$G$31)</f>
        <v>0</v>
      </c>
      <c r="S60" s="55">
        <f>0*(1+Intro!$G$31)</f>
        <v>0</v>
      </c>
      <c r="T60" s="55">
        <f>0*(1+Intro!$G$31)</f>
        <v>0</v>
      </c>
      <c r="U60" s="55">
        <f>0*(1+Intro!$G$31)</f>
        <v>0</v>
      </c>
      <c r="V60" s="55">
        <f>0*(1+Intro!$G$31)</f>
        <v>0</v>
      </c>
      <c r="W60" s="55">
        <f>0*(1+Intro!$G$31)</f>
        <v>0</v>
      </c>
      <c r="X60" s="55">
        <f>0*(1+Intro!$G$31)</f>
        <v>0</v>
      </c>
      <c r="Y60" s="55">
        <f>0*(1+Intro!$G$31)</f>
        <v>0</v>
      </c>
      <c r="Z60" s="55">
        <f>0*(1+Intro!$G$31)</f>
        <v>0</v>
      </c>
      <c r="AA60" s="55">
        <f>0*(1+Intro!$G$31)</f>
        <v>0</v>
      </c>
      <c r="AB60" s="55">
        <f>0*(1+Intro!$G$31)</f>
        <v>0</v>
      </c>
      <c r="AC60" s="55">
        <f>0*(1+Intro!$G$31)</f>
        <v>0</v>
      </c>
      <c r="AD60" s="55">
        <f>0*(1+Intro!$G$31)</f>
        <v>0</v>
      </c>
      <c r="AE60" s="55">
        <f>0*(1+Intro!$G$31)</f>
        <v>0</v>
      </c>
      <c r="AF60" s="55">
        <f>0*(1+Intro!$G$31)</f>
        <v>0</v>
      </c>
      <c r="AG60" s="55">
        <f>0*(1+Intro!$G$31)</f>
        <v>0</v>
      </c>
      <c r="AH60" s="55">
        <f>0*(1+Intro!$G$31)</f>
        <v>0</v>
      </c>
      <c r="AI60" s="55">
        <f>0*(1+Intro!$G$31)</f>
        <v>0</v>
      </c>
      <c r="AJ60" s="55">
        <f>0*(1+Intro!$G$31)</f>
        <v>0</v>
      </c>
      <c r="AK60" s="55">
        <f>0*(1+Intro!$G$31)</f>
        <v>0</v>
      </c>
    </row>
    <row r="61" spans="2:37" ht="14.4" outlineLevel="1" x14ac:dyDescent="0.3">
      <c r="B61" s="5" t="s">
        <v>74</v>
      </c>
      <c r="C61" s="23">
        <f>SUM(E61:BE61)</f>
        <v>251.73705768487844</v>
      </c>
      <c r="D61" s="47" t="s">
        <v>0</v>
      </c>
      <c r="E61" s="55">
        <f>0*(1+Intro!$G$31)</f>
        <v>0</v>
      </c>
      <c r="F61" s="55">
        <f>(Intro!$G$16*F85*F86-SUM($E$61:E61))*(1+Intro!$G$31)</f>
        <v>0</v>
      </c>
      <c r="G61" s="55">
        <f>(Intro!$G$16*G85*G86-SUM($E$61:F61))*(1+Intro!$G$31)</f>
        <v>0</v>
      </c>
      <c r="H61" s="55">
        <f>(Intro!$G$16*H85*H86-SUM($E$61:G61))*(1+Intro!$G$31)</f>
        <v>0</v>
      </c>
      <c r="I61" s="55">
        <f>(Intro!$G$16*I85*I86-SUM($E$61:H61))*(1+Intro!$G$31)</f>
        <v>0</v>
      </c>
      <c r="J61" s="55">
        <f>(Intro!$G$16*J85*J86-SUM($E$61:I61))*(1+Intro!$G$31)</f>
        <v>0</v>
      </c>
      <c r="K61" s="55">
        <f>(Intro!$G$16*K85*K86-SUM($E$61:J61))*(1+Intro!$G$31)</f>
        <v>0</v>
      </c>
      <c r="L61" s="55">
        <f>(Intro!$G$16*L85*L86-SUM($E$61:K61))*(1+Intro!$G$31)</f>
        <v>0</v>
      </c>
      <c r="M61" s="55">
        <f>(Intro!$G$16*M85*M86-SUM($E$61:L61))*(1+Intro!$G$31)</f>
        <v>0</v>
      </c>
      <c r="N61" s="55">
        <f>(Intro!$G$16*N85*N86-SUM($E$61:M61))*(1+Intro!$G$31)</f>
        <v>0</v>
      </c>
      <c r="O61" s="55">
        <f>(Intro!$G$16*O85*O86-SUM($E$61:N61))*(1+Intro!$G$31)</f>
        <v>0</v>
      </c>
      <c r="P61" s="55">
        <f>(Intro!$G$16*P85*P86-SUM($E$61:O61))*(1+Intro!$G$31)</f>
        <v>0</v>
      </c>
      <c r="Q61" s="55">
        <f>(Intro!$G$16*Q85*Q86-SUM($E$61:P61))*(1+Intro!$G$31)</f>
        <v>0</v>
      </c>
      <c r="R61" s="55">
        <f>(Intro!$G$16*R85*R86-SUM($E$61:Q61))*(1+Intro!$G$31)</f>
        <v>0</v>
      </c>
      <c r="S61" s="55">
        <f>(Intro!$G$16*S85*S86-SUM($E$61:R61))*(1+Intro!$G$31)</f>
        <v>0</v>
      </c>
      <c r="T61" s="55">
        <f>(Intro!$G$16*T85*T86-SUM($E$61:S61))*(1+Intro!$G$31)</f>
        <v>0</v>
      </c>
      <c r="U61" s="55">
        <f>(Intro!$G$16*U85*U86-SUM($E$61:T61))*(1+Intro!$G$31)</f>
        <v>0</v>
      </c>
      <c r="V61" s="55">
        <f>(Intro!$G$16*V85*V86-SUM($E$61:U61))*(1+Intro!$G$31)</f>
        <v>0</v>
      </c>
      <c r="W61" s="55">
        <f>(Intro!$G$16*W85*W86-SUM($E$61:V61))*(1+Intro!$G$31)</f>
        <v>0</v>
      </c>
      <c r="X61" s="55">
        <f>(Intro!$G$16*X85*X86-SUM($E$61:W61))*(1+Intro!$G$31)</f>
        <v>0</v>
      </c>
      <c r="Y61" s="55">
        <f>(Intro!$G$16*Y85*Y86-SUM($E$61:X61))*(1+Intro!$G$31)</f>
        <v>47.479464714545571</v>
      </c>
      <c r="Z61" s="55">
        <f>(Intro!$G$16*Z85*Z86-SUM($E$61:Y61))*(1+Intro!$G$31)</f>
        <v>38.176116741221222</v>
      </c>
      <c r="AA61" s="55">
        <f>(Intro!$G$16*AA85*AA86-SUM($E$61:Z61))*(1+Intro!$G$31)</f>
        <v>30.651717963633061</v>
      </c>
      <c r="AB61" s="55">
        <f>(Intro!$G$16*AB85*AB86-SUM($E$61:AA61))*(1+Intro!$G$31)</f>
        <v>26.308990625957691</v>
      </c>
      <c r="AC61" s="55">
        <f>(Intro!$G$16*AC85*AC86-SUM($E$61:AB61))*(1+Intro!$G$31)</f>
        <v>22.388694893097465</v>
      </c>
      <c r="AD61" s="55">
        <f>(Intro!$G$16*AD85*AD86-SUM($E$61:AC61))*(1+Intro!$G$31)</f>
        <v>18.353013336904837</v>
      </c>
      <c r="AE61" s="55">
        <f>(Intro!$G$16*AE85*AE86-SUM($E$61:AD61))*(1+Intro!$G$31)</f>
        <v>16.458855172768295</v>
      </c>
      <c r="AF61" s="55">
        <f>(Intro!$G$16*AF85*AF86-SUM($E$61:AE61))*(1+Intro!$G$31)</f>
        <v>14.890081375344948</v>
      </c>
      <c r="AG61" s="55">
        <f>(Intro!$G$16*AG85*AG86-SUM($E$61:AF61))*(1+Intro!$G$31)</f>
        <v>13.475031579494697</v>
      </c>
      <c r="AH61" s="55">
        <f>(Intro!$G$16*AH85*AH86-SUM($E$61:AG61))*(1+Intro!$G$31)</f>
        <v>12.28045413474058</v>
      </c>
      <c r="AI61" s="55">
        <f>(Intro!$G$16*AI85*AI86-SUM($E$61:AH61))*(1+Intro!$G$31)</f>
        <v>11.274637147170068</v>
      </c>
      <c r="AJ61" s="55">
        <f>(Intro!$G$16*AJ85*AJ86-SUM($E$61:AI61))*(1+Intro!$G$31)</f>
        <v>0</v>
      </c>
      <c r="AK61" s="55">
        <f>(Intro!$G$16*AK85*AK86-SUM($E$61:AJ61))*(1+Intro!$G$31)</f>
        <v>0</v>
      </c>
    </row>
    <row r="62" spans="2:37" ht="14.4" x14ac:dyDescent="0.3">
      <c r="B62" s="5"/>
      <c r="C62" s="24"/>
      <c r="D62" s="25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</row>
    <row r="63" spans="2:37" ht="15" x14ac:dyDescent="0.3">
      <c r="B63" s="12" t="s">
        <v>192</v>
      </c>
      <c r="C63" s="24"/>
      <c r="D63" s="25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</row>
    <row r="64" spans="2:37" ht="15" outlineLevel="1" x14ac:dyDescent="0.3">
      <c r="B64" s="14"/>
      <c r="C64" s="15" t="s">
        <v>3</v>
      </c>
      <c r="D64" s="15" t="s">
        <v>4</v>
      </c>
      <c r="E64" s="15">
        <f>E23</f>
        <v>2022</v>
      </c>
      <c r="F64" s="15">
        <f t="shared" ref="F64:AC64" si="31">F23</f>
        <v>2023</v>
      </c>
      <c r="G64" s="15">
        <f t="shared" si="31"/>
        <v>2024</v>
      </c>
      <c r="H64" s="15">
        <f t="shared" si="31"/>
        <v>2025</v>
      </c>
      <c r="I64" s="15">
        <f t="shared" si="31"/>
        <v>2026</v>
      </c>
      <c r="J64" s="15">
        <f t="shared" si="31"/>
        <v>2027</v>
      </c>
      <c r="K64" s="15">
        <f t="shared" si="31"/>
        <v>2028</v>
      </c>
      <c r="L64" s="15">
        <f t="shared" si="31"/>
        <v>2029</v>
      </c>
      <c r="M64" s="15">
        <f t="shared" si="31"/>
        <v>2030</v>
      </c>
      <c r="N64" s="15">
        <f t="shared" si="31"/>
        <v>2031</v>
      </c>
      <c r="O64" s="15">
        <f t="shared" si="31"/>
        <v>2032</v>
      </c>
      <c r="P64" s="15">
        <f t="shared" si="31"/>
        <v>2033</v>
      </c>
      <c r="Q64" s="15">
        <f t="shared" si="31"/>
        <v>2034</v>
      </c>
      <c r="R64" s="15">
        <f t="shared" si="31"/>
        <v>2035</v>
      </c>
      <c r="S64" s="15">
        <f t="shared" si="31"/>
        <v>2036</v>
      </c>
      <c r="T64" s="15">
        <f t="shared" si="31"/>
        <v>2037</v>
      </c>
      <c r="U64" s="15">
        <f t="shared" si="31"/>
        <v>2038</v>
      </c>
      <c r="V64" s="15">
        <f t="shared" si="31"/>
        <v>2039</v>
      </c>
      <c r="W64" s="15">
        <f t="shared" si="31"/>
        <v>2040</v>
      </c>
      <c r="X64" s="15">
        <f t="shared" si="31"/>
        <v>2041</v>
      </c>
      <c r="Y64" s="15">
        <f t="shared" si="31"/>
        <v>2042</v>
      </c>
      <c r="Z64" s="15">
        <f t="shared" si="31"/>
        <v>2043</v>
      </c>
      <c r="AA64" s="15">
        <f t="shared" si="31"/>
        <v>2044</v>
      </c>
      <c r="AB64" s="15">
        <f t="shared" si="31"/>
        <v>2045</v>
      </c>
      <c r="AC64" s="15">
        <f t="shared" si="31"/>
        <v>2046</v>
      </c>
      <c r="AD64" s="15">
        <f t="shared" ref="AD64:AK64" si="32">AD23</f>
        <v>2047</v>
      </c>
      <c r="AE64" s="15">
        <f t="shared" si="32"/>
        <v>2048</v>
      </c>
      <c r="AF64" s="15">
        <f t="shared" si="32"/>
        <v>2049</v>
      </c>
      <c r="AG64" s="15">
        <f t="shared" si="32"/>
        <v>2050</v>
      </c>
      <c r="AH64" s="15">
        <f t="shared" si="32"/>
        <v>2051</v>
      </c>
      <c r="AI64" s="15">
        <f t="shared" si="32"/>
        <v>2052</v>
      </c>
      <c r="AJ64" s="15">
        <f t="shared" si="32"/>
        <v>2053</v>
      </c>
      <c r="AK64" s="15">
        <f t="shared" si="32"/>
        <v>2054</v>
      </c>
    </row>
    <row r="65" spans="2:37" s="29" customFormat="1" ht="14.4" outlineLevel="1" x14ac:dyDescent="0.3">
      <c r="B65" s="22" t="s">
        <v>192</v>
      </c>
      <c r="C65" s="24">
        <f>SUM(E65:AK65)</f>
        <v>2517.3705768487844</v>
      </c>
      <c r="D65" s="76" t="s">
        <v>0</v>
      </c>
      <c r="E65" s="138">
        <f>SUM(E66:E78)</f>
        <v>0</v>
      </c>
      <c r="F65" s="138">
        <f t="shared" ref="F65:AC65" si="33">SUM(F66:F78)</f>
        <v>0</v>
      </c>
      <c r="G65" s="138">
        <f t="shared" si="33"/>
        <v>0</v>
      </c>
      <c r="H65" s="138">
        <f t="shared" si="33"/>
        <v>19.05</v>
      </c>
      <c r="I65" s="138">
        <f t="shared" si="33"/>
        <v>19.526249999999997</v>
      </c>
      <c r="J65" s="138">
        <f t="shared" si="33"/>
        <v>221.0524455625</v>
      </c>
      <c r="K65" s="138">
        <f t="shared" si="33"/>
        <v>469.10432515624996</v>
      </c>
      <c r="L65" s="138">
        <f t="shared" si="33"/>
        <v>669.23954796015596</v>
      </c>
      <c r="M65" s="138">
        <f t="shared" si="33"/>
        <v>720.59954783110345</v>
      </c>
      <c r="N65" s="138">
        <f t="shared" si="33"/>
        <v>167.90041308886225</v>
      </c>
      <c r="O65" s="138">
        <f t="shared" si="33"/>
        <v>172.09792341608383</v>
      </c>
      <c r="P65" s="138">
        <f t="shared" si="33"/>
        <v>58.800123833828636</v>
      </c>
      <c r="Q65" s="138">
        <f t="shared" si="33"/>
        <v>0</v>
      </c>
      <c r="R65" s="138">
        <f t="shared" si="33"/>
        <v>0</v>
      </c>
      <c r="S65" s="138">
        <f t="shared" si="33"/>
        <v>0</v>
      </c>
      <c r="T65" s="138">
        <f t="shared" si="33"/>
        <v>0</v>
      </c>
      <c r="U65" s="138">
        <f t="shared" si="33"/>
        <v>0</v>
      </c>
      <c r="V65" s="138">
        <f t="shared" si="33"/>
        <v>0</v>
      </c>
      <c r="W65" s="138">
        <f t="shared" si="33"/>
        <v>0</v>
      </c>
      <c r="X65" s="138">
        <f t="shared" si="33"/>
        <v>0</v>
      </c>
      <c r="Y65" s="138">
        <f t="shared" si="33"/>
        <v>0</v>
      </c>
      <c r="Z65" s="138">
        <f t="shared" si="33"/>
        <v>0</v>
      </c>
      <c r="AA65" s="138">
        <f t="shared" si="33"/>
        <v>0</v>
      </c>
      <c r="AB65" s="138">
        <f t="shared" si="33"/>
        <v>0</v>
      </c>
      <c r="AC65" s="138">
        <f t="shared" si="33"/>
        <v>0</v>
      </c>
      <c r="AD65" s="138">
        <f t="shared" ref="AD65:AK65" si="34">SUM(AD66:AD78)</f>
        <v>0</v>
      </c>
      <c r="AE65" s="138">
        <f t="shared" si="34"/>
        <v>0</v>
      </c>
      <c r="AF65" s="138">
        <f t="shared" si="34"/>
        <v>0</v>
      </c>
      <c r="AG65" s="138">
        <f t="shared" si="34"/>
        <v>0</v>
      </c>
      <c r="AH65" s="138">
        <f t="shared" si="34"/>
        <v>0</v>
      </c>
      <c r="AI65" s="138">
        <f t="shared" si="34"/>
        <v>0</v>
      </c>
      <c r="AJ65" s="138">
        <f t="shared" si="34"/>
        <v>0</v>
      </c>
      <c r="AK65" s="138">
        <f t="shared" si="34"/>
        <v>0</v>
      </c>
    </row>
    <row r="66" spans="2:37" ht="14.4" outlineLevel="1" x14ac:dyDescent="0.3">
      <c r="B66" s="5" t="s">
        <v>22</v>
      </c>
      <c r="C66" s="23">
        <f t="shared" ref="C66:C78" si="35">SUM(E66:AK66)</f>
        <v>404.32013482812494</v>
      </c>
      <c r="D66" s="47" t="s">
        <v>0</v>
      </c>
      <c r="E66" s="55">
        <f t="shared" ref="E66:AC66" si="36">E40</f>
        <v>0</v>
      </c>
      <c r="F66" s="55">
        <f t="shared" si="36"/>
        <v>0</v>
      </c>
      <c r="G66" s="55">
        <f t="shared" si="36"/>
        <v>0</v>
      </c>
      <c r="H66" s="55">
        <f t="shared" si="36"/>
        <v>0</v>
      </c>
      <c r="I66" s="55">
        <f t="shared" si="36"/>
        <v>0</v>
      </c>
      <c r="J66" s="55">
        <f t="shared" si="36"/>
        <v>38.662999999999997</v>
      </c>
      <c r="K66" s="55">
        <f t="shared" si="36"/>
        <v>118.88872499999999</v>
      </c>
      <c r="L66" s="55">
        <f t="shared" si="36"/>
        <v>121.86094312499998</v>
      </c>
      <c r="M66" s="55">
        <f t="shared" si="36"/>
        <v>124.90746670312497</v>
      </c>
      <c r="N66" s="55">
        <f t="shared" si="36"/>
        <v>0</v>
      </c>
      <c r="O66" s="55">
        <f t="shared" si="36"/>
        <v>0</v>
      </c>
      <c r="P66" s="55">
        <f t="shared" si="36"/>
        <v>0</v>
      </c>
      <c r="Q66" s="55">
        <f t="shared" si="36"/>
        <v>0</v>
      </c>
      <c r="R66" s="55">
        <f t="shared" si="36"/>
        <v>0</v>
      </c>
      <c r="S66" s="55">
        <f t="shared" si="36"/>
        <v>0</v>
      </c>
      <c r="T66" s="55">
        <f t="shared" si="36"/>
        <v>0</v>
      </c>
      <c r="U66" s="55">
        <f t="shared" si="36"/>
        <v>0</v>
      </c>
      <c r="V66" s="55">
        <f t="shared" si="36"/>
        <v>0</v>
      </c>
      <c r="W66" s="55">
        <f t="shared" si="36"/>
        <v>0</v>
      </c>
      <c r="X66" s="55">
        <f t="shared" si="36"/>
        <v>0</v>
      </c>
      <c r="Y66" s="55">
        <f t="shared" si="36"/>
        <v>0</v>
      </c>
      <c r="Z66" s="55">
        <f t="shared" si="36"/>
        <v>0</v>
      </c>
      <c r="AA66" s="55">
        <f t="shared" si="36"/>
        <v>0</v>
      </c>
      <c r="AB66" s="55">
        <f t="shared" si="36"/>
        <v>0</v>
      </c>
      <c r="AC66" s="55">
        <f t="shared" si="36"/>
        <v>0</v>
      </c>
      <c r="AD66" s="55">
        <f t="shared" ref="AD66:AK73" si="37">AD40</f>
        <v>0</v>
      </c>
      <c r="AE66" s="55">
        <f t="shared" si="37"/>
        <v>0</v>
      </c>
      <c r="AF66" s="55">
        <f t="shared" si="37"/>
        <v>0</v>
      </c>
      <c r="AG66" s="55">
        <f t="shared" si="37"/>
        <v>0</v>
      </c>
      <c r="AH66" s="55">
        <f t="shared" si="37"/>
        <v>0</v>
      </c>
      <c r="AI66" s="55">
        <f t="shared" si="37"/>
        <v>0</v>
      </c>
      <c r="AJ66" s="55">
        <f t="shared" si="37"/>
        <v>0</v>
      </c>
      <c r="AK66" s="55">
        <f t="shared" si="37"/>
        <v>0</v>
      </c>
    </row>
    <row r="67" spans="2:37" ht="14.4" outlineLevel="1" x14ac:dyDescent="0.3">
      <c r="B67" s="5" t="s">
        <v>23</v>
      </c>
      <c r="C67" s="23">
        <f t="shared" si="35"/>
        <v>1017.7034686328122</v>
      </c>
      <c r="D67" s="47" t="s">
        <v>0</v>
      </c>
      <c r="E67" s="55">
        <f t="shared" ref="E67:AC67" si="38">E41</f>
        <v>0</v>
      </c>
      <c r="F67" s="55">
        <f t="shared" si="38"/>
        <v>0</v>
      </c>
      <c r="G67" s="55">
        <f t="shared" si="38"/>
        <v>0</v>
      </c>
      <c r="H67" s="55">
        <f t="shared" si="38"/>
        <v>0</v>
      </c>
      <c r="I67" s="55">
        <f t="shared" si="38"/>
        <v>0</v>
      </c>
      <c r="J67" s="55">
        <f t="shared" si="38"/>
        <v>97.077749999999995</v>
      </c>
      <c r="K67" s="55">
        <f t="shared" si="38"/>
        <v>232.17761874999997</v>
      </c>
      <c r="L67" s="55">
        <f t="shared" si="38"/>
        <v>339.9743703124999</v>
      </c>
      <c r="M67" s="55">
        <f t="shared" si="38"/>
        <v>348.4737295703124</v>
      </c>
      <c r="N67" s="55">
        <f t="shared" si="38"/>
        <v>0</v>
      </c>
      <c r="O67" s="55">
        <f t="shared" si="38"/>
        <v>0</v>
      </c>
      <c r="P67" s="55">
        <f t="shared" si="38"/>
        <v>0</v>
      </c>
      <c r="Q67" s="55">
        <f t="shared" si="38"/>
        <v>0</v>
      </c>
      <c r="R67" s="55">
        <f t="shared" si="38"/>
        <v>0</v>
      </c>
      <c r="S67" s="55">
        <f t="shared" si="38"/>
        <v>0</v>
      </c>
      <c r="T67" s="55">
        <f t="shared" si="38"/>
        <v>0</v>
      </c>
      <c r="U67" s="55">
        <f t="shared" si="38"/>
        <v>0</v>
      </c>
      <c r="V67" s="55">
        <f t="shared" si="38"/>
        <v>0</v>
      </c>
      <c r="W67" s="55">
        <f t="shared" si="38"/>
        <v>0</v>
      </c>
      <c r="X67" s="55">
        <f t="shared" si="38"/>
        <v>0</v>
      </c>
      <c r="Y67" s="55">
        <f t="shared" si="38"/>
        <v>0</v>
      </c>
      <c r="Z67" s="55">
        <f t="shared" si="38"/>
        <v>0</v>
      </c>
      <c r="AA67" s="55">
        <f t="shared" si="38"/>
        <v>0</v>
      </c>
      <c r="AB67" s="55">
        <f t="shared" si="38"/>
        <v>0</v>
      </c>
      <c r="AC67" s="55">
        <f t="shared" si="38"/>
        <v>0</v>
      </c>
      <c r="AD67" s="55">
        <f t="shared" si="37"/>
        <v>0</v>
      </c>
      <c r="AE67" s="55">
        <f t="shared" si="37"/>
        <v>0</v>
      </c>
      <c r="AF67" s="55">
        <f t="shared" si="37"/>
        <v>0</v>
      </c>
      <c r="AG67" s="55">
        <f t="shared" si="37"/>
        <v>0</v>
      </c>
      <c r="AH67" s="55">
        <f t="shared" si="37"/>
        <v>0</v>
      </c>
      <c r="AI67" s="55">
        <f t="shared" si="37"/>
        <v>0</v>
      </c>
      <c r="AJ67" s="55">
        <f t="shared" si="37"/>
        <v>0</v>
      </c>
      <c r="AK67" s="55">
        <f t="shared" si="37"/>
        <v>0</v>
      </c>
    </row>
    <row r="68" spans="2:37" ht="14.4" outlineLevel="1" x14ac:dyDescent="0.3">
      <c r="B68" s="5" t="s">
        <v>24</v>
      </c>
      <c r="C68" s="23">
        <f t="shared" si="35"/>
        <v>96.282838916992176</v>
      </c>
      <c r="D68" s="47" t="s">
        <v>0</v>
      </c>
      <c r="E68" s="55">
        <f t="shared" ref="E68:AC68" si="39">E42</f>
        <v>0</v>
      </c>
      <c r="F68" s="55">
        <f t="shared" si="39"/>
        <v>0</v>
      </c>
      <c r="G68" s="55">
        <f t="shared" si="39"/>
        <v>0</v>
      </c>
      <c r="H68" s="55">
        <f t="shared" si="39"/>
        <v>0</v>
      </c>
      <c r="I68" s="55">
        <f t="shared" si="39"/>
        <v>0</v>
      </c>
      <c r="J68" s="55">
        <f t="shared" si="39"/>
        <v>0</v>
      </c>
      <c r="K68" s="55">
        <f t="shared" si="39"/>
        <v>0</v>
      </c>
      <c r="L68" s="55">
        <f t="shared" si="39"/>
        <v>45.256328515625</v>
      </c>
      <c r="M68" s="55">
        <f t="shared" si="39"/>
        <v>51.026510401367176</v>
      </c>
      <c r="N68" s="55">
        <f t="shared" si="39"/>
        <v>0</v>
      </c>
      <c r="O68" s="55">
        <f t="shared" si="39"/>
        <v>0</v>
      </c>
      <c r="P68" s="55">
        <f t="shared" si="39"/>
        <v>0</v>
      </c>
      <c r="Q68" s="55">
        <f t="shared" si="39"/>
        <v>0</v>
      </c>
      <c r="R68" s="55">
        <f t="shared" si="39"/>
        <v>0</v>
      </c>
      <c r="S68" s="55">
        <f t="shared" si="39"/>
        <v>0</v>
      </c>
      <c r="T68" s="55">
        <f t="shared" si="39"/>
        <v>0</v>
      </c>
      <c r="U68" s="55">
        <f t="shared" si="39"/>
        <v>0</v>
      </c>
      <c r="V68" s="55">
        <f t="shared" si="39"/>
        <v>0</v>
      </c>
      <c r="W68" s="55">
        <f t="shared" si="39"/>
        <v>0</v>
      </c>
      <c r="X68" s="55">
        <f t="shared" si="39"/>
        <v>0</v>
      </c>
      <c r="Y68" s="55">
        <f t="shared" si="39"/>
        <v>0</v>
      </c>
      <c r="Z68" s="55">
        <f t="shared" si="39"/>
        <v>0</v>
      </c>
      <c r="AA68" s="55">
        <f t="shared" si="39"/>
        <v>0</v>
      </c>
      <c r="AB68" s="55">
        <f t="shared" si="39"/>
        <v>0</v>
      </c>
      <c r="AC68" s="55">
        <f t="shared" si="39"/>
        <v>0</v>
      </c>
      <c r="AD68" s="55">
        <f t="shared" si="37"/>
        <v>0</v>
      </c>
      <c r="AE68" s="55">
        <f t="shared" si="37"/>
        <v>0</v>
      </c>
      <c r="AF68" s="55">
        <f t="shared" si="37"/>
        <v>0</v>
      </c>
      <c r="AG68" s="55">
        <f t="shared" si="37"/>
        <v>0</v>
      </c>
      <c r="AH68" s="55">
        <f t="shared" si="37"/>
        <v>0</v>
      </c>
      <c r="AI68" s="55">
        <f t="shared" si="37"/>
        <v>0</v>
      </c>
      <c r="AJ68" s="55">
        <f t="shared" si="37"/>
        <v>0</v>
      </c>
      <c r="AK68" s="55">
        <f t="shared" si="37"/>
        <v>0</v>
      </c>
    </row>
    <row r="69" spans="2:37" ht="14.4" outlineLevel="1" x14ac:dyDescent="0.3">
      <c r="B69" s="5" t="s">
        <v>25</v>
      </c>
      <c r="C69" s="23">
        <f t="shared" si="35"/>
        <v>6.7975437499999991</v>
      </c>
      <c r="D69" s="47" t="s">
        <v>0</v>
      </c>
      <c r="E69" s="55">
        <f t="shared" ref="E69:AC69" si="40">E43</f>
        <v>0</v>
      </c>
      <c r="F69" s="55">
        <f t="shared" si="40"/>
        <v>0</v>
      </c>
      <c r="G69" s="55">
        <f t="shared" si="40"/>
        <v>0</v>
      </c>
      <c r="H69" s="55">
        <f t="shared" si="40"/>
        <v>0</v>
      </c>
      <c r="I69" s="55">
        <f t="shared" si="40"/>
        <v>0</v>
      </c>
      <c r="J69" s="55">
        <f t="shared" si="40"/>
        <v>6.7975437499999991</v>
      </c>
      <c r="K69" s="55">
        <f t="shared" si="40"/>
        <v>0</v>
      </c>
      <c r="L69" s="55">
        <f t="shared" si="40"/>
        <v>0</v>
      </c>
      <c r="M69" s="55">
        <f t="shared" si="40"/>
        <v>0</v>
      </c>
      <c r="N69" s="55">
        <f t="shared" si="40"/>
        <v>0</v>
      </c>
      <c r="O69" s="55">
        <f t="shared" si="40"/>
        <v>0</v>
      </c>
      <c r="P69" s="55">
        <f t="shared" si="40"/>
        <v>0</v>
      </c>
      <c r="Q69" s="55">
        <f t="shared" si="40"/>
        <v>0</v>
      </c>
      <c r="R69" s="55">
        <f t="shared" si="40"/>
        <v>0</v>
      </c>
      <c r="S69" s="55">
        <f t="shared" si="40"/>
        <v>0</v>
      </c>
      <c r="T69" s="55">
        <f t="shared" si="40"/>
        <v>0</v>
      </c>
      <c r="U69" s="55">
        <f t="shared" si="40"/>
        <v>0</v>
      </c>
      <c r="V69" s="55">
        <f t="shared" si="40"/>
        <v>0</v>
      </c>
      <c r="W69" s="55">
        <f t="shared" si="40"/>
        <v>0</v>
      </c>
      <c r="X69" s="55">
        <f t="shared" si="40"/>
        <v>0</v>
      </c>
      <c r="Y69" s="55">
        <f t="shared" si="40"/>
        <v>0</v>
      </c>
      <c r="Z69" s="55">
        <f t="shared" si="40"/>
        <v>0</v>
      </c>
      <c r="AA69" s="55">
        <f t="shared" si="40"/>
        <v>0</v>
      </c>
      <c r="AB69" s="55">
        <f t="shared" si="40"/>
        <v>0</v>
      </c>
      <c r="AC69" s="55">
        <f t="shared" si="40"/>
        <v>0</v>
      </c>
      <c r="AD69" s="55">
        <f t="shared" si="37"/>
        <v>0</v>
      </c>
      <c r="AE69" s="55">
        <f t="shared" si="37"/>
        <v>0</v>
      </c>
      <c r="AF69" s="55">
        <f t="shared" si="37"/>
        <v>0</v>
      </c>
      <c r="AG69" s="55">
        <f t="shared" si="37"/>
        <v>0</v>
      </c>
      <c r="AH69" s="55">
        <f t="shared" si="37"/>
        <v>0</v>
      </c>
      <c r="AI69" s="55">
        <f t="shared" si="37"/>
        <v>0</v>
      </c>
      <c r="AJ69" s="55">
        <f t="shared" si="37"/>
        <v>0</v>
      </c>
      <c r="AK69" s="55">
        <f t="shared" si="37"/>
        <v>0</v>
      </c>
    </row>
    <row r="70" spans="2:37" ht="14.4" outlineLevel="1" x14ac:dyDescent="0.3">
      <c r="B70" s="5" t="s">
        <v>26</v>
      </c>
      <c r="C70" s="23">
        <f t="shared" si="35"/>
        <v>46.134374999999999</v>
      </c>
      <c r="D70" s="47" t="s">
        <v>0</v>
      </c>
      <c r="E70" s="55">
        <f t="shared" ref="E70:AC70" si="41">E44</f>
        <v>0</v>
      </c>
      <c r="F70" s="55">
        <f t="shared" si="41"/>
        <v>0</v>
      </c>
      <c r="G70" s="55">
        <f t="shared" si="41"/>
        <v>0</v>
      </c>
      <c r="H70" s="55">
        <f t="shared" si="41"/>
        <v>15</v>
      </c>
      <c r="I70" s="55">
        <f t="shared" si="41"/>
        <v>15.374999999999998</v>
      </c>
      <c r="J70" s="55">
        <f t="shared" si="41"/>
        <v>15.759374999999999</v>
      </c>
      <c r="K70" s="55">
        <f t="shared" si="41"/>
        <v>0</v>
      </c>
      <c r="L70" s="55">
        <f t="shared" si="41"/>
        <v>0</v>
      </c>
      <c r="M70" s="55">
        <f t="shared" si="41"/>
        <v>0</v>
      </c>
      <c r="N70" s="55">
        <f t="shared" si="41"/>
        <v>0</v>
      </c>
      <c r="O70" s="55">
        <f t="shared" si="41"/>
        <v>0</v>
      </c>
      <c r="P70" s="55">
        <f t="shared" si="41"/>
        <v>0</v>
      </c>
      <c r="Q70" s="55">
        <f t="shared" si="41"/>
        <v>0</v>
      </c>
      <c r="R70" s="55">
        <f t="shared" si="41"/>
        <v>0</v>
      </c>
      <c r="S70" s="55">
        <f t="shared" si="41"/>
        <v>0</v>
      </c>
      <c r="T70" s="55">
        <f t="shared" si="41"/>
        <v>0</v>
      </c>
      <c r="U70" s="55">
        <f t="shared" si="41"/>
        <v>0</v>
      </c>
      <c r="V70" s="55">
        <f t="shared" si="41"/>
        <v>0</v>
      </c>
      <c r="W70" s="55">
        <f t="shared" si="41"/>
        <v>0</v>
      </c>
      <c r="X70" s="55">
        <f t="shared" si="41"/>
        <v>0</v>
      </c>
      <c r="Y70" s="55">
        <f t="shared" si="41"/>
        <v>0</v>
      </c>
      <c r="Z70" s="55">
        <f t="shared" si="41"/>
        <v>0</v>
      </c>
      <c r="AA70" s="55">
        <f t="shared" si="41"/>
        <v>0</v>
      </c>
      <c r="AB70" s="55">
        <f t="shared" si="41"/>
        <v>0</v>
      </c>
      <c r="AC70" s="55">
        <f t="shared" si="41"/>
        <v>0</v>
      </c>
      <c r="AD70" s="55">
        <f t="shared" si="37"/>
        <v>0</v>
      </c>
      <c r="AE70" s="55">
        <f t="shared" si="37"/>
        <v>0</v>
      </c>
      <c r="AF70" s="55">
        <f t="shared" si="37"/>
        <v>0</v>
      </c>
      <c r="AG70" s="55">
        <f t="shared" si="37"/>
        <v>0</v>
      </c>
      <c r="AH70" s="55">
        <f t="shared" si="37"/>
        <v>0</v>
      </c>
      <c r="AI70" s="55">
        <f t="shared" si="37"/>
        <v>0</v>
      </c>
      <c r="AJ70" s="55">
        <f t="shared" si="37"/>
        <v>0</v>
      </c>
      <c r="AK70" s="55">
        <f t="shared" si="37"/>
        <v>0</v>
      </c>
    </row>
    <row r="71" spans="2:37" ht="14.4" outlineLevel="1" x14ac:dyDescent="0.3">
      <c r="B71" s="5" t="s">
        <v>27</v>
      </c>
      <c r="C71" s="23">
        <f t="shared" si="35"/>
        <v>53.935147656249988</v>
      </c>
      <c r="D71" s="47" t="s">
        <v>0</v>
      </c>
      <c r="E71" s="55">
        <f t="shared" ref="E71:AC71" si="42">E45</f>
        <v>0</v>
      </c>
      <c r="F71" s="55">
        <f t="shared" si="42"/>
        <v>0</v>
      </c>
      <c r="G71" s="55">
        <f t="shared" si="42"/>
        <v>0</v>
      </c>
      <c r="H71" s="55">
        <f t="shared" si="42"/>
        <v>0</v>
      </c>
      <c r="I71" s="55">
        <f t="shared" si="42"/>
        <v>0</v>
      </c>
      <c r="J71" s="55">
        <f t="shared" si="42"/>
        <v>15.759374999999999</v>
      </c>
      <c r="K71" s="55">
        <f t="shared" si="42"/>
        <v>18.307140624999999</v>
      </c>
      <c r="L71" s="55">
        <f t="shared" si="42"/>
        <v>19.868632031249994</v>
      </c>
      <c r="M71" s="55">
        <f t="shared" si="42"/>
        <v>0</v>
      </c>
      <c r="N71" s="55">
        <f t="shared" si="42"/>
        <v>0</v>
      </c>
      <c r="O71" s="55">
        <f t="shared" si="42"/>
        <v>0</v>
      </c>
      <c r="P71" s="55">
        <f t="shared" si="42"/>
        <v>0</v>
      </c>
      <c r="Q71" s="55">
        <f t="shared" si="42"/>
        <v>0</v>
      </c>
      <c r="R71" s="55">
        <f t="shared" si="42"/>
        <v>0</v>
      </c>
      <c r="S71" s="55">
        <f t="shared" si="42"/>
        <v>0</v>
      </c>
      <c r="T71" s="55">
        <f t="shared" si="42"/>
        <v>0</v>
      </c>
      <c r="U71" s="55">
        <f t="shared" si="42"/>
        <v>0</v>
      </c>
      <c r="V71" s="55">
        <f t="shared" si="42"/>
        <v>0</v>
      </c>
      <c r="W71" s="55">
        <f t="shared" si="42"/>
        <v>0</v>
      </c>
      <c r="X71" s="55">
        <f t="shared" si="42"/>
        <v>0</v>
      </c>
      <c r="Y71" s="55">
        <f t="shared" si="42"/>
        <v>0</v>
      </c>
      <c r="Z71" s="55">
        <f t="shared" si="42"/>
        <v>0</v>
      </c>
      <c r="AA71" s="55">
        <f t="shared" si="42"/>
        <v>0</v>
      </c>
      <c r="AB71" s="55">
        <f t="shared" si="42"/>
        <v>0</v>
      </c>
      <c r="AC71" s="55">
        <f t="shared" si="42"/>
        <v>0</v>
      </c>
      <c r="AD71" s="55">
        <f t="shared" si="37"/>
        <v>0</v>
      </c>
      <c r="AE71" s="55">
        <f t="shared" si="37"/>
        <v>0</v>
      </c>
      <c r="AF71" s="55">
        <f t="shared" si="37"/>
        <v>0</v>
      </c>
      <c r="AG71" s="55">
        <f t="shared" si="37"/>
        <v>0</v>
      </c>
      <c r="AH71" s="55">
        <f t="shared" si="37"/>
        <v>0</v>
      </c>
      <c r="AI71" s="55">
        <f t="shared" si="37"/>
        <v>0</v>
      </c>
      <c r="AJ71" s="55">
        <f t="shared" si="37"/>
        <v>0</v>
      </c>
      <c r="AK71" s="55">
        <f t="shared" si="37"/>
        <v>0</v>
      </c>
    </row>
    <row r="72" spans="2:37" ht="14.4" outlineLevel="1" x14ac:dyDescent="0.3">
      <c r="B72" s="5" t="s">
        <v>28</v>
      </c>
      <c r="C72" s="23">
        <f t="shared" si="35"/>
        <v>357.00804778966631</v>
      </c>
      <c r="D72" s="47" t="s">
        <v>0</v>
      </c>
      <c r="E72" s="55">
        <f t="shared" ref="E72:AC72" si="43">E46</f>
        <v>0</v>
      </c>
      <c r="F72" s="55">
        <f t="shared" si="43"/>
        <v>0</v>
      </c>
      <c r="G72" s="55">
        <f t="shared" si="43"/>
        <v>0</v>
      </c>
      <c r="H72" s="55">
        <f t="shared" si="43"/>
        <v>0</v>
      </c>
      <c r="I72" s="55">
        <f t="shared" si="43"/>
        <v>0</v>
      </c>
      <c r="J72" s="55">
        <f t="shared" si="43"/>
        <v>0</v>
      </c>
      <c r="K72" s="55">
        <f t="shared" si="43"/>
        <v>0</v>
      </c>
      <c r="L72" s="55">
        <f t="shared" si="43"/>
        <v>0</v>
      </c>
      <c r="M72" s="55">
        <f t="shared" si="43"/>
        <v>42.993512089843733</v>
      </c>
      <c r="N72" s="55">
        <f t="shared" si="43"/>
        <v>132.20504967626948</v>
      </c>
      <c r="O72" s="55">
        <f t="shared" si="43"/>
        <v>135.51017591817623</v>
      </c>
      <c r="P72" s="55">
        <f t="shared" si="43"/>
        <v>46.299310105376875</v>
      </c>
      <c r="Q72" s="55">
        <f t="shared" si="43"/>
        <v>0</v>
      </c>
      <c r="R72" s="55">
        <f t="shared" si="43"/>
        <v>0</v>
      </c>
      <c r="S72" s="55">
        <f t="shared" si="43"/>
        <v>0</v>
      </c>
      <c r="T72" s="55">
        <f t="shared" si="43"/>
        <v>0</v>
      </c>
      <c r="U72" s="55">
        <f t="shared" si="43"/>
        <v>0</v>
      </c>
      <c r="V72" s="55">
        <f t="shared" si="43"/>
        <v>0</v>
      </c>
      <c r="W72" s="55">
        <f t="shared" si="43"/>
        <v>0</v>
      </c>
      <c r="X72" s="55">
        <f t="shared" si="43"/>
        <v>0</v>
      </c>
      <c r="Y72" s="55">
        <f t="shared" si="43"/>
        <v>0</v>
      </c>
      <c r="Z72" s="55">
        <f t="shared" si="43"/>
        <v>0</v>
      </c>
      <c r="AA72" s="55">
        <f t="shared" si="43"/>
        <v>0</v>
      </c>
      <c r="AB72" s="55">
        <f t="shared" si="43"/>
        <v>0</v>
      </c>
      <c r="AC72" s="55">
        <f t="shared" si="43"/>
        <v>0</v>
      </c>
      <c r="AD72" s="55">
        <f t="shared" si="37"/>
        <v>0</v>
      </c>
      <c r="AE72" s="55">
        <f t="shared" si="37"/>
        <v>0</v>
      </c>
      <c r="AF72" s="55">
        <f t="shared" si="37"/>
        <v>0</v>
      </c>
      <c r="AG72" s="55">
        <f t="shared" si="37"/>
        <v>0</v>
      </c>
      <c r="AH72" s="55">
        <f t="shared" si="37"/>
        <v>0</v>
      </c>
      <c r="AI72" s="55">
        <f t="shared" si="37"/>
        <v>0</v>
      </c>
      <c r="AJ72" s="55">
        <f t="shared" si="37"/>
        <v>0</v>
      </c>
      <c r="AK72" s="55">
        <f t="shared" si="37"/>
        <v>0</v>
      </c>
    </row>
    <row r="73" spans="2:37" ht="14.4" outlineLevel="1" x14ac:dyDescent="0.3">
      <c r="B73" s="5" t="s">
        <v>29</v>
      </c>
      <c r="C73" s="23">
        <f t="shared" si="35"/>
        <v>0</v>
      </c>
      <c r="D73" s="47" t="s">
        <v>0</v>
      </c>
      <c r="E73" s="55">
        <f t="shared" ref="E73:AC73" si="44">E47</f>
        <v>0</v>
      </c>
      <c r="F73" s="55">
        <f t="shared" si="44"/>
        <v>0</v>
      </c>
      <c r="G73" s="55">
        <f t="shared" si="44"/>
        <v>0</v>
      </c>
      <c r="H73" s="55">
        <f t="shared" si="44"/>
        <v>0</v>
      </c>
      <c r="I73" s="55">
        <f t="shared" si="44"/>
        <v>0</v>
      </c>
      <c r="J73" s="55">
        <f t="shared" si="44"/>
        <v>0</v>
      </c>
      <c r="K73" s="55">
        <f t="shared" si="44"/>
        <v>0</v>
      </c>
      <c r="L73" s="55">
        <f t="shared" si="44"/>
        <v>0</v>
      </c>
      <c r="M73" s="55">
        <f t="shared" si="44"/>
        <v>0</v>
      </c>
      <c r="N73" s="55">
        <f t="shared" si="44"/>
        <v>0</v>
      </c>
      <c r="O73" s="55">
        <f t="shared" si="44"/>
        <v>0</v>
      </c>
      <c r="P73" s="55">
        <f t="shared" si="44"/>
        <v>0</v>
      </c>
      <c r="Q73" s="55">
        <f t="shared" si="44"/>
        <v>0</v>
      </c>
      <c r="R73" s="55">
        <f t="shared" si="44"/>
        <v>0</v>
      </c>
      <c r="S73" s="55">
        <f t="shared" si="44"/>
        <v>0</v>
      </c>
      <c r="T73" s="55">
        <f t="shared" si="44"/>
        <v>0</v>
      </c>
      <c r="U73" s="55">
        <f t="shared" si="44"/>
        <v>0</v>
      </c>
      <c r="V73" s="55">
        <f t="shared" si="44"/>
        <v>0</v>
      </c>
      <c r="W73" s="55">
        <f t="shared" si="44"/>
        <v>0</v>
      </c>
      <c r="X73" s="55">
        <f t="shared" si="44"/>
        <v>0</v>
      </c>
      <c r="Y73" s="55">
        <f t="shared" si="44"/>
        <v>0</v>
      </c>
      <c r="Z73" s="55">
        <f t="shared" si="44"/>
        <v>0</v>
      </c>
      <c r="AA73" s="55">
        <f t="shared" si="44"/>
        <v>0</v>
      </c>
      <c r="AB73" s="55">
        <f t="shared" si="44"/>
        <v>0</v>
      </c>
      <c r="AC73" s="55">
        <f t="shared" si="44"/>
        <v>0</v>
      </c>
      <c r="AD73" s="55">
        <f t="shared" si="37"/>
        <v>0</v>
      </c>
      <c r="AE73" s="55">
        <f t="shared" si="37"/>
        <v>0</v>
      </c>
      <c r="AF73" s="55">
        <f t="shared" si="37"/>
        <v>0</v>
      </c>
      <c r="AG73" s="55">
        <f t="shared" si="37"/>
        <v>0</v>
      </c>
      <c r="AH73" s="55">
        <f t="shared" si="37"/>
        <v>0</v>
      </c>
      <c r="AI73" s="55">
        <f t="shared" si="37"/>
        <v>0</v>
      </c>
      <c r="AJ73" s="55">
        <f t="shared" si="37"/>
        <v>0</v>
      </c>
      <c r="AK73" s="55">
        <f t="shared" si="37"/>
        <v>0</v>
      </c>
    </row>
    <row r="74" spans="2:37" ht="14.4" outlineLevel="1" x14ac:dyDescent="0.3">
      <c r="B74" s="5" t="s">
        <v>30</v>
      </c>
      <c r="C74" s="23">
        <f t="shared" si="35"/>
        <v>0</v>
      </c>
      <c r="D74" s="47" t="s">
        <v>0</v>
      </c>
      <c r="E74" s="55">
        <f>E49</f>
        <v>0</v>
      </c>
      <c r="F74" s="55">
        <f t="shared" ref="F74:AC75" si="45">F49</f>
        <v>0</v>
      </c>
      <c r="G74" s="55">
        <f t="shared" si="45"/>
        <v>0</v>
      </c>
      <c r="H74" s="55">
        <f t="shared" si="45"/>
        <v>0</v>
      </c>
      <c r="I74" s="55">
        <f t="shared" si="45"/>
        <v>0</v>
      </c>
      <c r="J74" s="55">
        <f t="shared" si="45"/>
        <v>0</v>
      </c>
      <c r="K74" s="55">
        <f t="shared" si="45"/>
        <v>0</v>
      </c>
      <c r="L74" s="55">
        <f t="shared" si="45"/>
        <v>0</v>
      </c>
      <c r="M74" s="55">
        <f t="shared" si="45"/>
        <v>0</v>
      </c>
      <c r="N74" s="55">
        <f t="shared" si="45"/>
        <v>0</v>
      </c>
      <c r="O74" s="55">
        <f t="shared" si="45"/>
        <v>0</v>
      </c>
      <c r="P74" s="55">
        <f t="shared" si="45"/>
        <v>0</v>
      </c>
      <c r="Q74" s="55">
        <f t="shared" si="45"/>
        <v>0</v>
      </c>
      <c r="R74" s="55">
        <f t="shared" si="45"/>
        <v>0</v>
      </c>
      <c r="S74" s="55">
        <f t="shared" si="45"/>
        <v>0</v>
      </c>
      <c r="T74" s="55">
        <f t="shared" si="45"/>
        <v>0</v>
      </c>
      <c r="U74" s="55">
        <f t="shared" si="45"/>
        <v>0</v>
      </c>
      <c r="V74" s="55">
        <f t="shared" si="45"/>
        <v>0</v>
      </c>
      <c r="W74" s="55">
        <f t="shared" si="45"/>
        <v>0</v>
      </c>
      <c r="X74" s="55">
        <f t="shared" si="45"/>
        <v>0</v>
      </c>
      <c r="Y74" s="55">
        <f t="shared" si="45"/>
        <v>0</v>
      </c>
      <c r="Z74" s="55">
        <f t="shared" si="45"/>
        <v>0</v>
      </c>
      <c r="AA74" s="55">
        <f t="shared" si="45"/>
        <v>0</v>
      </c>
      <c r="AB74" s="55">
        <f t="shared" si="45"/>
        <v>0</v>
      </c>
      <c r="AC74" s="55">
        <f t="shared" si="45"/>
        <v>0</v>
      </c>
      <c r="AD74" s="55">
        <f t="shared" ref="AD74:AK76" si="46">AD49</f>
        <v>0</v>
      </c>
      <c r="AE74" s="55">
        <f t="shared" si="46"/>
        <v>0</v>
      </c>
      <c r="AF74" s="55">
        <f t="shared" si="46"/>
        <v>0</v>
      </c>
      <c r="AG74" s="55">
        <f t="shared" si="46"/>
        <v>0</v>
      </c>
      <c r="AH74" s="55">
        <f t="shared" si="46"/>
        <v>0</v>
      </c>
      <c r="AI74" s="55">
        <f t="shared" si="46"/>
        <v>0</v>
      </c>
      <c r="AJ74" s="55">
        <f t="shared" si="46"/>
        <v>0</v>
      </c>
      <c r="AK74" s="55">
        <f t="shared" si="46"/>
        <v>0</v>
      </c>
    </row>
    <row r="75" spans="2:37" ht="14.4" outlineLevel="1" x14ac:dyDescent="0.3">
      <c r="B75" s="5" t="s">
        <v>31</v>
      </c>
      <c r="C75" s="23">
        <f t="shared" si="35"/>
        <v>0</v>
      </c>
      <c r="D75" s="47" t="s">
        <v>0</v>
      </c>
      <c r="E75" s="55">
        <f>E50</f>
        <v>0</v>
      </c>
      <c r="F75" s="55">
        <f t="shared" si="45"/>
        <v>0</v>
      </c>
      <c r="G75" s="55">
        <f t="shared" si="45"/>
        <v>0</v>
      </c>
      <c r="H75" s="55">
        <f t="shared" si="45"/>
        <v>0</v>
      </c>
      <c r="I75" s="55">
        <f t="shared" si="45"/>
        <v>0</v>
      </c>
      <c r="J75" s="55">
        <f t="shared" si="45"/>
        <v>0</v>
      </c>
      <c r="K75" s="55">
        <f t="shared" si="45"/>
        <v>0</v>
      </c>
      <c r="L75" s="55">
        <f t="shared" si="45"/>
        <v>0</v>
      </c>
      <c r="M75" s="55">
        <f t="shared" si="45"/>
        <v>0</v>
      </c>
      <c r="N75" s="55">
        <f t="shared" si="45"/>
        <v>0</v>
      </c>
      <c r="O75" s="55">
        <f t="shared" si="45"/>
        <v>0</v>
      </c>
      <c r="P75" s="55">
        <f t="shared" si="45"/>
        <v>0</v>
      </c>
      <c r="Q75" s="55">
        <f t="shared" si="45"/>
        <v>0</v>
      </c>
      <c r="R75" s="55">
        <f t="shared" si="45"/>
        <v>0</v>
      </c>
      <c r="S75" s="55">
        <f t="shared" si="45"/>
        <v>0</v>
      </c>
      <c r="T75" s="55">
        <f t="shared" si="45"/>
        <v>0</v>
      </c>
      <c r="U75" s="55">
        <f t="shared" si="45"/>
        <v>0</v>
      </c>
      <c r="V75" s="55">
        <f t="shared" si="45"/>
        <v>0</v>
      </c>
      <c r="W75" s="55">
        <f t="shared" si="45"/>
        <v>0</v>
      </c>
      <c r="X75" s="55">
        <f t="shared" si="45"/>
        <v>0</v>
      </c>
      <c r="Y75" s="55">
        <f t="shared" si="45"/>
        <v>0</v>
      </c>
      <c r="Z75" s="55">
        <f t="shared" si="45"/>
        <v>0</v>
      </c>
      <c r="AA75" s="55">
        <f t="shared" si="45"/>
        <v>0</v>
      </c>
      <c r="AB75" s="55">
        <f t="shared" si="45"/>
        <v>0</v>
      </c>
      <c r="AC75" s="55">
        <f t="shared" si="45"/>
        <v>0</v>
      </c>
      <c r="AD75" s="55">
        <f t="shared" si="46"/>
        <v>0</v>
      </c>
      <c r="AE75" s="55">
        <f t="shared" si="46"/>
        <v>0</v>
      </c>
      <c r="AF75" s="55">
        <f t="shared" si="46"/>
        <v>0</v>
      </c>
      <c r="AG75" s="55">
        <f t="shared" si="46"/>
        <v>0</v>
      </c>
      <c r="AH75" s="55">
        <f t="shared" si="46"/>
        <v>0</v>
      </c>
      <c r="AI75" s="55">
        <f t="shared" si="46"/>
        <v>0</v>
      </c>
      <c r="AJ75" s="55">
        <f t="shared" si="46"/>
        <v>0</v>
      </c>
      <c r="AK75" s="55">
        <f t="shared" si="46"/>
        <v>0</v>
      </c>
    </row>
    <row r="76" spans="2:37" ht="14.4" outlineLevel="1" x14ac:dyDescent="0.3">
      <c r="B76" s="5" t="s">
        <v>32</v>
      </c>
      <c r="C76" s="23">
        <f t="shared" si="35"/>
        <v>0</v>
      </c>
      <c r="D76" s="47" t="s">
        <v>0</v>
      </c>
      <c r="E76" s="55">
        <f>E51</f>
        <v>0</v>
      </c>
      <c r="F76" s="55">
        <f t="shared" ref="F76:AC76" si="47">F51</f>
        <v>0</v>
      </c>
      <c r="G76" s="55">
        <f t="shared" si="47"/>
        <v>0</v>
      </c>
      <c r="H76" s="55">
        <f t="shared" si="47"/>
        <v>0</v>
      </c>
      <c r="I76" s="55">
        <f t="shared" si="47"/>
        <v>0</v>
      </c>
      <c r="J76" s="55">
        <f t="shared" si="47"/>
        <v>0</v>
      </c>
      <c r="K76" s="55">
        <f t="shared" si="47"/>
        <v>0</v>
      </c>
      <c r="L76" s="55">
        <f t="shared" si="47"/>
        <v>0</v>
      </c>
      <c r="M76" s="55">
        <f t="shared" si="47"/>
        <v>0</v>
      </c>
      <c r="N76" s="55">
        <f t="shared" si="47"/>
        <v>0</v>
      </c>
      <c r="O76" s="55">
        <f t="shared" si="47"/>
        <v>0</v>
      </c>
      <c r="P76" s="55">
        <f t="shared" si="47"/>
        <v>0</v>
      </c>
      <c r="Q76" s="55">
        <f t="shared" si="47"/>
        <v>0</v>
      </c>
      <c r="R76" s="55">
        <f t="shared" si="47"/>
        <v>0</v>
      </c>
      <c r="S76" s="55">
        <f t="shared" si="47"/>
        <v>0</v>
      </c>
      <c r="T76" s="55">
        <f t="shared" si="47"/>
        <v>0</v>
      </c>
      <c r="U76" s="55">
        <f t="shared" si="47"/>
        <v>0</v>
      </c>
      <c r="V76" s="55">
        <f t="shared" si="47"/>
        <v>0</v>
      </c>
      <c r="W76" s="55">
        <f t="shared" si="47"/>
        <v>0</v>
      </c>
      <c r="X76" s="55">
        <f t="shared" si="47"/>
        <v>0</v>
      </c>
      <c r="Y76" s="55">
        <f t="shared" si="47"/>
        <v>0</v>
      </c>
      <c r="Z76" s="55">
        <f t="shared" si="47"/>
        <v>0</v>
      </c>
      <c r="AA76" s="55">
        <f t="shared" si="47"/>
        <v>0</v>
      </c>
      <c r="AB76" s="55">
        <f t="shared" si="47"/>
        <v>0</v>
      </c>
      <c r="AC76" s="55">
        <f t="shared" si="47"/>
        <v>0</v>
      </c>
      <c r="AD76" s="55">
        <f t="shared" si="46"/>
        <v>0</v>
      </c>
      <c r="AE76" s="55">
        <f t="shared" si="46"/>
        <v>0</v>
      </c>
      <c r="AF76" s="55">
        <f t="shared" si="46"/>
        <v>0</v>
      </c>
      <c r="AG76" s="55">
        <f t="shared" si="46"/>
        <v>0</v>
      </c>
      <c r="AH76" s="55">
        <f t="shared" si="46"/>
        <v>0</v>
      </c>
      <c r="AI76" s="55">
        <f t="shared" si="46"/>
        <v>0</v>
      </c>
      <c r="AJ76" s="55">
        <f t="shared" si="46"/>
        <v>0</v>
      </c>
      <c r="AK76" s="55">
        <f t="shared" si="46"/>
        <v>0</v>
      </c>
    </row>
    <row r="77" spans="2:37" ht="14.4" outlineLevel="1" x14ac:dyDescent="0.3">
      <c r="B77" s="5" t="s">
        <v>244</v>
      </c>
      <c r="C77" s="23">
        <f t="shared" si="35"/>
        <v>138.75270896016923</v>
      </c>
      <c r="D77" s="47" t="s">
        <v>0</v>
      </c>
      <c r="E77" s="55">
        <f>IF(Intro!$G$32="yes",E52,'Model Inputs'!E168)</f>
        <v>0</v>
      </c>
      <c r="F77" s="55">
        <f>IF(Intro!$G$32="yes",F52,'Model Inputs'!F168)</f>
        <v>0</v>
      </c>
      <c r="G77" s="55">
        <f>IF(Intro!$G$32="yes",G52,'Model Inputs'!G168)</f>
        <v>0</v>
      </c>
      <c r="H77" s="55">
        <f>IF(Intro!$G$32="yes",H52,'Model Inputs'!H168)</f>
        <v>1.05</v>
      </c>
      <c r="I77" s="55">
        <f>IF(Intro!$G$32="yes",I52,'Model Inputs'!I168)</f>
        <v>1.0762499999999999</v>
      </c>
      <c r="J77" s="55">
        <f>IF(Intro!$G$32="yes",J52,'Model Inputs'!J168)</f>
        <v>12.183993062499999</v>
      </c>
      <c r="K77" s="55">
        <f>IF(Intro!$G$32="yes",K52,'Model Inputs'!K168)</f>
        <v>25.856143906249997</v>
      </c>
      <c r="L77" s="55">
        <f>IF(Intro!$G$32="yes",L52,'Model Inputs'!L168)</f>
        <v>36.887219178906243</v>
      </c>
      <c r="M77" s="55">
        <f>IF(Intro!$G$32="yes",M52,'Model Inputs'!M168)</f>
        <v>39.718085313525386</v>
      </c>
      <c r="N77" s="55">
        <f>IF(Intro!$G$32="yes",N52,'Model Inputs'!N168)</f>
        <v>9.2543534773388636</v>
      </c>
      <c r="O77" s="55">
        <f>IF(Intro!$G$32="yes",O52,'Model Inputs'!O168)</f>
        <v>9.4857123142723356</v>
      </c>
      <c r="P77" s="55">
        <f>IF(Intro!$G$32="yes",P52,'Model Inputs'!P168)</f>
        <v>3.2409517073763814</v>
      </c>
      <c r="Q77" s="55">
        <f>IF(Intro!$G$32="yes",Q52,'Model Inputs'!Q168)</f>
        <v>0</v>
      </c>
      <c r="R77" s="55">
        <f>IF(Intro!$G$32="yes",R52,'Model Inputs'!R168)</f>
        <v>0</v>
      </c>
      <c r="S77" s="55">
        <f>IF(Intro!$G$32="yes",S52,'Model Inputs'!S168)</f>
        <v>0</v>
      </c>
      <c r="T77" s="55">
        <f>IF(Intro!$G$32="yes",T52,'Model Inputs'!T168)</f>
        <v>0</v>
      </c>
      <c r="U77" s="55">
        <f>IF(Intro!$G$32="yes",U52,'Model Inputs'!U168)</f>
        <v>0</v>
      </c>
      <c r="V77" s="55">
        <f>IF(Intro!$G$32="yes",V52,'Model Inputs'!V168)</f>
        <v>0</v>
      </c>
      <c r="W77" s="55">
        <f>IF(Intro!$G$32="yes",W52,'Model Inputs'!W168)</f>
        <v>0</v>
      </c>
      <c r="X77" s="55">
        <f>IF(Intro!$G$32="yes",X52,'Model Inputs'!X168)</f>
        <v>0</v>
      </c>
      <c r="Y77" s="55">
        <f>IF(Intro!$G$32="yes",Y52,'Model Inputs'!Y168)</f>
        <v>0</v>
      </c>
      <c r="Z77" s="55">
        <f>IF(Intro!$G$32="yes",Z52,'Model Inputs'!Z168)</f>
        <v>0</v>
      </c>
      <c r="AA77" s="55">
        <f>IF(Intro!$G$32="yes",AA52,'Model Inputs'!AA168)</f>
        <v>0</v>
      </c>
      <c r="AB77" s="55">
        <f>IF(Intro!$G$32="yes",AB52,'Model Inputs'!AB168)</f>
        <v>0</v>
      </c>
      <c r="AC77" s="55">
        <f>IF(Intro!$G$32="yes",AC52,'Model Inputs'!AC168)</f>
        <v>0</v>
      </c>
      <c r="AD77" s="55">
        <f>IF(Intro!$G$32="yes",AD52,'Model Inputs'!AD168)</f>
        <v>0</v>
      </c>
      <c r="AE77" s="55">
        <f>IF(Intro!$G$32="yes",AE52,'Model Inputs'!AE168)</f>
        <v>0</v>
      </c>
      <c r="AF77" s="55">
        <f>IF(Intro!$G$32="yes",AF52,'Model Inputs'!AF168)</f>
        <v>0</v>
      </c>
      <c r="AG77" s="55">
        <f>IF(Intro!$G$32="yes",AG52,'Model Inputs'!AG168)</f>
        <v>0</v>
      </c>
      <c r="AH77" s="55">
        <f>IF(Intro!$G$32="yes",AH52,'Model Inputs'!AH168)</f>
        <v>0</v>
      </c>
      <c r="AI77" s="55">
        <f>IF(Intro!$G$32="yes",AI52,'Model Inputs'!AI168)</f>
        <v>0</v>
      </c>
      <c r="AJ77" s="55">
        <f>IF(Intro!$G$32="yes",AJ52,'Model Inputs'!AJ168)</f>
        <v>0</v>
      </c>
      <c r="AK77" s="55">
        <f>IF(Intro!$G$32="yes",AK52,'Model Inputs'!AK168)</f>
        <v>0</v>
      </c>
    </row>
    <row r="78" spans="2:37" ht="14.4" outlineLevel="1" x14ac:dyDescent="0.3">
      <c r="B78" s="5" t="s">
        <v>34</v>
      </c>
      <c r="C78" s="23">
        <f t="shared" si="35"/>
        <v>396.43631131476911</v>
      </c>
      <c r="D78" s="47" t="s">
        <v>0</v>
      </c>
      <c r="E78" s="55">
        <f>IF(Intro!$G$33="yes",E53,0)</f>
        <v>0</v>
      </c>
      <c r="F78" s="55">
        <f>IF(Intro!$G$33="yes",F53,0)</f>
        <v>0</v>
      </c>
      <c r="G78" s="55">
        <f>IF(Intro!$G$33="yes",G53,0)</f>
        <v>0</v>
      </c>
      <c r="H78" s="55">
        <f>IF(Intro!$G$33="yes",H53,0)</f>
        <v>3</v>
      </c>
      <c r="I78" s="55">
        <f>IF(Intro!$G$33="yes",I53,0)</f>
        <v>3.0749999999999997</v>
      </c>
      <c r="J78" s="55">
        <f>IF(Intro!$G$33="yes",J53,0)</f>
        <v>34.811408749999998</v>
      </c>
      <c r="K78" s="55">
        <f>IF(Intro!$G$33="yes",K53,0)</f>
        <v>73.874696874999998</v>
      </c>
      <c r="L78" s="55">
        <f>IF(Intro!$G$33="yes",L53,0)</f>
        <v>105.39205479687499</v>
      </c>
      <c r="M78" s="55">
        <f>IF(Intro!$G$33="yes",M53,0)</f>
        <v>113.48024375292967</v>
      </c>
      <c r="N78" s="55">
        <f>IF(Intro!$G$33="yes",N53,0)</f>
        <v>26.441009935253899</v>
      </c>
      <c r="O78" s="55">
        <f>IF(Intro!$G$33="yes",O53,0)</f>
        <v>27.102035183635245</v>
      </c>
      <c r="P78" s="55">
        <f>IF(Intro!$G$33="yes",P53,0)</f>
        <v>9.2598620210753744</v>
      </c>
      <c r="Q78" s="55">
        <f>IF(Intro!$G$33="yes",Q53,0)</f>
        <v>0</v>
      </c>
      <c r="R78" s="55">
        <f>IF(Intro!$G$33="yes",R53,0)</f>
        <v>0</v>
      </c>
      <c r="S78" s="55">
        <f>IF(Intro!$G$33="yes",S53,0)</f>
        <v>0</v>
      </c>
      <c r="T78" s="55">
        <f>IF(Intro!$G$33="yes",T53,0)</f>
        <v>0</v>
      </c>
      <c r="U78" s="55">
        <f>IF(Intro!$G$33="yes",U53,0)</f>
        <v>0</v>
      </c>
      <c r="V78" s="55">
        <f>IF(Intro!$G$33="yes",V53,0)</f>
        <v>0</v>
      </c>
      <c r="W78" s="55">
        <f>IF(Intro!$G$33="yes",W53,0)</f>
        <v>0</v>
      </c>
      <c r="X78" s="55">
        <f>IF(Intro!$G$33="yes",X53,0)</f>
        <v>0</v>
      </c>
      <c r="Y78" s="55">
        <f>IF(Intro!$G$33="yes",Y53,0)</f>
        <v>0</v>
      </c>
      <c r="Z78" s="55">
        <f>IF(Intro!$G$33="yes",Z53,0)</f>
        <v>0</v>
      </c>
      <c r="AA78" s="55">
        <f>IF(Intro!$G$33="yes",AA53,0)</f>
        <v>0</v>
      </c>
      <c r="AB78" s="55">
        <f>IF(Intro!$G$33="yes",AB53,0)</f>
        <v>0</v>
      </c>
      <c r="AC78" s="55">
        <f>IF(Intro!$G$33="yes",AC53,0)</f>
        <v>0</v>
      </c>
      <c r="AD78" s="55">
        <f>IF(Intro!$G$33="yes",AD53,0)</f>
        <v>0</v>
      </c>
      <c r="AE78" s="55">
        <f>IF(Intro!$G$33="yes",AE53,0)</f>
        <v>0</v>
      </c>
      <c r="AF78" s="55">
        <f>IF(Intro!$G$33="yes",AF53,0)</f>
        <v>0</v>
      </c>
      <c r="AG78" s="55">
        <f>IF(Intro!$G$33="yes",AG53,0)</f>
        <v>0</v>
      </c>
      <c r="AH78" s="55">
        <f>IF(Intro!$G$33="yes",AH53,0)</f>
        <v>0</v>
      </c>
      <c r="AI78" s="55">
        <f>IF(Intro!$G$33="yes",AI53,0)</f>
        <v>0</v>
      </c>
      <c r="AJ78" s="55">
        <f>IF(Intro!$G$33="yes",AJ53,0)</f>
        <v>0</v>
      </c>
      <c r="AK78" s="55">
        <f>IF(Intro!$G$33="yes",AK53,0)</f>
        <v>0</v>
      </c>
    </row>
    <row r="79" spans="2:37" ht="14.4" x14ac:dyDescent="0.3">
      <c r="B79" s="5"/>
      <c r="C79" s="24"/>
      <c r="D79" s="25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</row>
    <row r="80" spans="2:37" ht="15" x14ac:dyDescent="0.3">
      <c r="B80" s="12" t="s">
        <v>205</v>
      </c>
      <c r="C80" s="24"/>
      <c r="D80" s="25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</row>
    <row r="81" spans="2:38" ht="15" outlineLevel="1" x14ac:dyDescent="0.3">
      <c r="B81" s="14"/>
      <c r="C81" s="15" t="s">
        <v>3</v>
      </c>
      <c r="D81" s="15" t="s">
        <v>4</v>
      </c>
      <c r="E81" s="15">
        <f>E23</f>
        <v>2022</v>
      </c>
      <c r="F81" s="15">
        <f t="shared" ref="F81:AC81" si="48">F23</f>
        <v>2023</v>
      </c>
      <c r="G81" s="15">
        <f t="shared" si="48"/>
        <v>2024</v>
      </c>
      <c r="H81" s="15">
        <f t="shared" si="48"/>
        <v>2025</v>
      </c>
      <c r="I81" s="15">
        <f t="shared" si="48"/>
        <v>2026</v>
      </c>
      <c r="J81" s="15">
        <f t="shared" si="48"/>
        <v>2027</v>
      </c>
      <c r="K81" s="15">
        <f t="shared" si="48"/>
        <v>2028</v>
      </c>
      <c r="L81" s="15">
        <f t="shared" si="48"/>
        <v>2029</v>
      </c>
      <c r="M81" s="15">
        <f t="shared" si="48"/>
        <v>2030</v>
      </c>
      <c r="N81" s="15">
        <f t="shared" si="48"/>
        <v>2031</v>
      </c>
      <c r="O81" s="15">
        <f t="shared" si="48"/>
        <v>2032</v>
      </c>
      <c r="P81" s="15">
        <f t="shared" si="48"/>
        <v>2033</v>
      </c>
      <c r="Q81" s="15">
        <f t="shared" si="48"/>
        <v>2034</v>
      </c>
      <c r="R81" s="15">
        <f t="shared" si="48"/>
        <v>2035</v>
      </c>
      <c r="S81" s="15">
        <f t="shared" si="48"/>
        <v>2036</v>
      </c>
      <c r="T81" s="15">
        <f t="shared" si="48"/>
        <v>2037</v>
      </c>
      <c r="U81" s="15">
        <f t="shared" si="48"/>
        <v>2038</v>
      </c>
      <c r="V81" s="15">
        <f t="shared" si="48"/>
        <v>2039</v>
      </c>
      <c r="W81" s="15">
        <f t="shared" si="48"/>
        <v>2040</v>
      </c>
      <c r="X81" s="15">
        <f t="shared" si="48"/>
        <v>2041</v>
      </c>
      <c r="Y81" s="15">
        <f t="shared" si="48"/>
        <v>2042</v>
      </c>
      <c r="Z81" s="15">
        <f t="shared" si="48"/>
        <v>2043</v>
      </c>
      <c r="AA81" s="15">
        <f t="shared" si="48"/>
        <v>2044</v>
      </c>
      <c r="AB81" s="15">
        <f t="shared" si="48"/>
        <v>2045</v>
      </c>
      <c r="AC81" s="15">
        <f t="shared" si="48"/>
        <v>2046</v>
      </c>
      <c r="AD81" s="15">
        <f t="shared" ref="AD81:AK81" si="49">AD23</f>
        <v>2047</v>
      </c>
      <c r="AE81" s="15">
        <f t="shared" si="49"/>
        <v>2048</v>
      </c>
      <c r="AF81" s="15">
        <f t="shared" si="49"/>
        <v>2049</v>
      </c>
      <c r="AG81" s="15">
        <f t="shared" si="49"/>
        <v>2050</v>
      </c>
      <c r="AH81" s="15">
        <f t="shared" si="49"/>
        <v>2051</v>
      </c>
      <c r="AI81" s="15">
        <f t="shared" si="49"/>
        <v>2052</v>
      </c>
      <c r="AJ81" s="15">
        <f t="shared" si="49"/>
        <v>2053</v>
      </c>
      <c r="AK81" s="15">
        <f t="shared" si="49"/>
        <v>2054</v>
      </c>
    </row>
    <row r="82" spans="2:38" ht="14.4" outlineLevel="1" x14ac:dyDescent="0.3">
      <c r="B82" s="5" t="s">
        <v>193</v>
      </c>
      <c r="C82" s="26"/>
      <c r="D82" s="47" t="s">
        <v>146</v>
      </c>
      <c r="E82" s="86">
        <f>SUM($E$28:E28)/SUM($E$28:$AK$28)</f>
        <v>0</v>
      </c>
      <c r="F82" s="86">
        <f>SUM($E$28:F28)/SUM($E$28:$AK$28)</f>
        <v>0</v>
      </c>
      <c r="G82" s="86">
        <f>SUM($E$28:G28)/SUM($E$28:$AK$28)</f>
        <v>0</v>
      </c>
      <c r="H82" s="86">
        <f>SUM($E$28:H28)/SUM($E$28:$AK$28)</f>
        <v>0</v>
      </c>
      <c r="I82" s="86">
        <f>SUM($E$28:I28)/SUM($E$28:$AK$28)</f>
        <v>0</v>
      </c>
      <c r="J82" s="86">
        <f>SUM($E$28:J28)/SUM($E$28:$AK$28)</f>
        <v>0</v>
      </c>
      <c r="K82" s="86">
        <f>SUM($E$28:K28)/SUM($E$28:$AK$28)</f>
        <v>0</v>
      </c>
      <c r="L82" s="86">
        <f>SUM($E$28:L28)/SUM($E$28:$AK$28)</f>
        <v>0</v>
      </c>
      <c r="M82" s="86">
        <f>SUM($E$28:M28)/SUM($E$28:$AK$28)</f>
        <v>0</v>
      </c>
      <c r="N82" s="86">
        <f>SUM($E$28:N28)/SUM($E$28:$AK$28)</f>
        <v>0</v>
      </c>
      <c r="O82" s="86">
        <f>SUM($E$28:O28)/SUM($E$28:$AK$28)</f>
        <v>3.4964443883239014E-2</v>
      </c>
      <c r="P82" s="86">
        <f>SUM($E$28:P28)/SUM($E$28:$AK$28)</f>
        <v>0.10463603173370387</v>
      </c>
      <c r="Q82" s="86">
        <f>SUM($E$28:Q28)/SUM($E$28:$AK$28)</f>
        <v>0.17843633918365059</v>
      </c>
      <c r="R82" s="86">
        <f>SUM($E$28:R28)/SUM($E$28:$AK$28)</f>
        <v>0.25223664663359735</v>
      </c>
      <c r="S82" s="86">
        <f>SUM($E$28:S28)/SUM($E$28:$AK$28)</f>
        <v>0.32623914670669463</v>
      </c>
      <c r="T82" s="86">
        <f>SUM($E$28:T28)/SUM($E$28:$AK$28)</f>
        <v>0.40003945415664133</v>
      </c>
      <c r="U82" s="86">
        <f>SUM($E$28:U28)/SUM($E$28:$AK$28)</f>
        <v>0.47383976160658803</v>
      </c>
      <c r="V82" s="86">
        <f>SUM($E$28:V28)/SUM($E$28:$AK$28)</f>
        <v>0.54764006905653473</v>
      </c>
      <c r="W82" s="86">
        <f>SUM($E$28:W28)/SUM($E$28:$AK$28)</f>
        <v>0.62164256912963201</v>
      </c>
      <c r="X82" s="86">
        <f>SUM($E$28:X28)/SUM($E$28:$AK$28)</f>
        <v>0.69406902134583559</v>
      </c>
      <c r="Y82" s="86">
        <f>SUM($E$28:Y28)/SUM($E$28:$AK$28)</f>
        <v>0.75176985903608762</v>
      </c>
      <c r="Z82" s="86">
        <f>SUM($E$28:Z28)/SUM($E$28:$AK$28)</f>
        <v>0.79816452521383174</v>
      </c>
      <c r="AA82" s="86">
        <f>SUM($E$28:AA28)/SUM($E$28:$AK$28)</f>
        <v>0.83541494102581004</v>
      </c>
      <c r="AB82" s="86">
        <f>SUM($E$28:AB28)/SUM($E$28:$AK$28)</f>
        <v>0.86738772772484973</v>
      </c>
      <c r="AC82" s="86">
        <f>SUM($E$28:AC28)/SUM($E$28:$AK$28)</f>
        <v>0.8945962579365947</v>
      </c>
      <c r="AD82" s="86">
        <f>SUM($E$28:AD28)/SUM($E$28:$AK$28)</f>
        <v>0.91690030559270386</v>
      </c>
      <c r="AE82" s="86">
        <f>SUM($E$28:AE28)/SUM($E$28:$AK$28)</f>
        <v>0.93690242096196841</v>
      </c>
      <c r="AF82" s="86">
        <f>SUM($E$28:AF28)/SUM($E$28:$AK$28)</f>
        <v>0.95499803711516018</v>
      </c>
      <c r="AG82" s="86">
        <f>SUM($E$28:AG28)/SUM($E$28:$AK$28)</f>
        <v>0.97137397173687567</v>
      </c>
      <c r="AH82" s="86">
        <f>SUM($E$28:AH28)/SUM($E$28:$AK$28)</f>
        <v>0.98629816043722063</v>
      </c>
      <c r="AI82" s="86">
        <f>SUM($E$28:AI28)/SUM($E$28:$AK$28)</f>
        <v>1</v>
      </c>
      <c r="AJ82" s="86">
        <f>SUM($E$28:AJ28)/SUM($E$28:$AK$28)</f>
        <v>1</v>
      </c>
      <c r="AK82" s="86">
        <f>SUM($E$28:AK28)/SUM($E$28:$AK$28)</f>
        <v>1</v>
      </c>
    </row>
    <row r="83" spans="2:38" ht="14.4" outlineLevel="1" x14ac:dyDescent="0.3">
      <c r="B83" s="5" t="s">
        <v>194</v>
      </c>
      <c r="C83" s="26"/>
      <c r="D83" s="47" t="s">
        <v>195</v>
      </c>
      <c r="E83" s="55">
        <f>IF(E82&lt;Intro!$G$15,0,1)</f>
        <v>0</v>
      </c>
      <c r="F83" s="55">
        <f>IF(F82&lt;Intro!$G$15,0,1)</f>
        <v>0</v>
      </c>
      <c r="G83" s="55">
        <f>IF(G82&lt;Intro!$G$15,0,1)</f>
        <v>0</v>
      </c>
      <c r="H83" s="55">
        <f>IF(H82&lt;Intro!$G$15,0,1)</f>
        <v>0</v>
      </c>
      <c r="I83" s="55">
        <f>IF(I82&lt;Intro!$G$15,0,1)</f>
        <v>0</v>
      </c>
      <c r="J83" s="55">
        <f>IF(J82&lt;Intro!$G$15,0,1)</f>
        <v>0</v>
      </c>
      <c r="K83" s="55">
        <f>IF(K82&lt;Intro!$G$15,0,1)</f>
        <v>0</v>
      </c>
      <c r="L83" s="55">
        <f>IF(L82&lt;Intro!$G$15,0,1)</f>
        <v>0</v>
      </c>
      <c r="M83" s="55">
        <f>IF(M82&lt;Intro!$G$15,0,1)</f>
        <v>0</v>
      </c>
      <c r="N83" s="55">
        <f>IF(N82&lt;Intro!$G$15,0,1)</f>
        <v>0</v>
      </c>
      <c r="O83" s="55">
        <f>IF(O82&lt;Intro!$G$15,0,1)</f>
        <v>0</v>
      </c>
      <c r="P83" s="55">
        <f>IF(P82&lt;Intro!$G$15,0,1)</f>
        <v>0</v>
      </c>
      <c r="Q83" s="55">
        <f>IF(Q82&lt;Intro!$G$15,0,1)</f>
        <v>0</v>
      </c>
      <c r="R83" s="55">
        <f>IF(R82&lt;Intro!$G$15,0,1)</f>
        <v>0</v>
      </c>
      <c r="S83" s="55">
        <f>IF(S82&lt;Intro!$G$15,0,1)</f>
        <v>0</v>
      </c>
      <c r="T83" s="55">
        <f>IF(T82&lt;Intro!$G$15,0,1)</f>
        <v>0</v>
      </c>
      <c r="U83" s="55">
        <f>IF(U82&lt;Intro!$G$15,0,1)</f>
        <v>0</v>
      </c>
      <c r="V83" s="55">
        <f>IF(V82&lt;Intro!$G$15,0,1)</f>
        <v>0</v>
      </c>
      <c r="W83" s="55">
        <f>IF(W82&lt;Intro!$G$15,0,1)</f>
        <v>0</v>
      </c>
      <c r="X83" s="55">
        <f>IF(X82&lt;Intro!$G$15,0,1)</f>
        <v>0</v>
      </c>
      <c r="Y83" s="55">
        <f>IF(Y82&lt;Intro!$G$15,0,1)</f>
        <v>1</v>
      </c>
      <c r="Z83" s="55">
        <f>IF(Z82&lt;Intro!$G$15,0,1)</f>
        <v>1</v>
      </c>
      <c r="AA83" s="55">
        <f>IF(AA82&lt;Intro!$G$15,0,1)</f>
        <v>1</v>
      </c>
      <c r="AB83" s="55">
        <f>IF(AB82&lt;Intro!$G$15,0,1)</f>
        <v>1</v>
      </c>
      <c r="AC83" s="55">
        <f>IF(AC82&lt;Intro!$G$15,0,1)</f>
        <v>1</v>
      </c>
      <c r="AD83" s="55">
        <f>IF(AD82&lt;Intro!$G$15,0,1)</f>
        <v>1</v>
      </c>
      <c r="AE83" s="55">
        <f>IF(AE82&lt;Intro!$G$15,0,1)</f>
        <v>1</v>
      </c>
      <c r="AF83" s="55">
        <f>IF(AF82&lt;Intro!$G$15,0,1)</f>
        <v>1</v>
      </c>
      <c r="AG83" s="55">
        <f>IF(AG82&lt;Intro!$G$15,0,1)</f>
        <v>1</v>
      </c>
      <c r="AH83" s="55">
        <f>IF(AH82&lt;Intro!$G$15,0,1)</f>
        <v>1</v>
      </c>
      <c r="AI83" s="55">
        <f>IF(AI82&lt;Intro!$G$15,0,1)</f>
        <v>1</v>
      </c>
      <c r="AJ83" s="55">
        <f>IF(AJ82&lt;Intro!$G$15,0,1)</f>
        <v>1</v>
      </c>
      <c r="AK83" s="55">
        <f>IF(AK82&lt;Intro!$G$15,0,1)</f>
        <v>1</v>
      </c>
    </row>
    <row r="84" spans="2:38" ht="14.4" outlineLevel="1" x14ac:dyDescent="0.3">
      <c r="B84" s="5" t="s">
        <v>196</v>
      </c>
      <c r="C84" s="26">
        <f>SUM(E84:AK84)</f>
        <v>61.873498526833352</v>
      </c>
      <c r="D84" s="47" t="s">
        <v>197</v>
      </c>
      <c r="E84" s="55">
        <f>E83*E87*E28</f>
        <v>0</v>
      </c>
      <c r="F84" s="55">
        <f t="shared" ref="F84:AC84" si="50">F83*F87*F28</f>
        <v>0</v>
      </c>
      <c r="G84" s="55">
        <f t="shared" si="50"/>
        <v>0</v>
      </c>
      <c r="H84" s="55">
        <f t="shared" si="50"/>
        <v>0</v>
      </c>
      <c r="I84" s="55">
        <f t="shared" si="50"/>
        <v>0</v>
      </c>
      <c r="J84" s="55">
        <f t="shared" si="50"/>
        <v>0</v>
      </c>
      <c r="K84" s="55">
        <f t="shared" si="50"/>
        <v>0</v>
      </c>
      <c r="L84" s="55">
        <f t="shared" si="50"/>
        <v>0</v>
      </c>
      <c r="M84" s="55">
        <f t="shared" si="50"/>
        <v>0</v>
      </c>
      <c r="N84" s="55">
        <f t="shared" si="50"/>
        <v>0</v>
      </c>
      <c r="O84" s="55">
        <f t="shared" si="50"/>
        <v>0</v>
      </c>
      <c r="P84" s="55">
        <f t="shared" si="50"/>
        <v>0</v>
      </c>
      <c r="Q84" s="55">
        <f t="shared" si="50"/>
        <v>0</v>
      </c>
      <c r="R84" s="55">
        <f t="shared" si="50"/>
        <v>0</v>
      </c>
      <c r="S84" s="55">
        <f t="shared" si="50"/>
        <v>0</v>
      </c>
      <c r="T84" s="55">
        <f t="shared" si="50"/>
        <v>0</v>
      </c>
      <c r="U84" s="55">
        <f t="shared" si="50"/>
        <v>0</v>
      </c>
      <c r="V84" s="55">
        <f t="shared" si="50"/>
        <v>0</v>
      </c>
      <c r="W84" s="55">
        <f t="shared" si="50"/>
        <v>0</v>
      </c>
      <c r="X84" s="55">
        <f t="shared" si="50"/>
        <v>0</v>
      </c>
      <c r="Y84" s="55">
        <f t="shared" si="50"/>
        <v>11.669797911707048</v>
      </c>
      <c r="Z84" s="55">
        <f t="shared" si="50"/>
        <v>9.3831632286137499</v>
      </c>
      <c r="AA84" s="55">
        <f t="shared" si="50"/>
        <v>7.5337697346165609</v>
      </c>
      <c r="AB84" s="55">
        <f t="shared" si="50"/>
        <v>6.466387220491649</v>
      </c>
      <c r="AC84" s="55">
        <f t="shared" si="50"/>
        <v>5.5028325715153503</v>
      </c>
      <c r="AD84" s="55">
        <f t="shared" ref="AD84:AK84" si="51">AD83*AD87*AD28</f>
        <v>4.5109176777835502</v>
      </c>
      <c r="AE84" s="55">
        <f t="shared" si="51"/>
        <v>4.0453597124362206</v>
      </c>
      <c r="AF84" s="55">
        <f t="shared" si="51"/>
        <v>3.6597767389301494</v>
      </c>
      <c r="AG84" s="55">
        <f t="shared" si="51"/>
        <v>3.3119770058907001</v>
      </c>
      <c r="AH84" s="55">
        <f t="shared" si="51"/>
        <v>3.0183663374896001</v>
      </c>
      <c r="AI84" s="55">
        <f t="shared" si="51"/>
        <v>2.7711503873587744</v>
      </c>
      <c r="AJ84" s="55">
        <f t="shared" si="51"/>
        <v>0</v>
      </c>
      <c r="AK84" s="55">
        <f t="shared" si="51"/>
        <v>0</v>
      </c>
    </row>
    <row r="85" spans="2:38" ht="14.4" outlineLevel="1" x14ac:dyDescent="0.3">
      <c r="B85" s="5" t="s">
        <v>198</v>
      </c>
      <c r="C85" s="26"/>
      <c r="D85" s="47" t="s">
        <v>146</v>
      </c>
      <c r="E85" s="55">
        <f>IFERROR(SUM($E$84:E84)/$C$84,0)</f>
        <v>0</v>
      </c>
      <c r="F85" s="55">
        <f>IFERROR(SUM($E$84:F84)/$C$84,0)</f>
        <v>0</v>
      </c>
      <c r="G85" s="55">
        <f>IFERROR(SUM($E$84:G84)/$C$84,0)</f>
        <v>0</v>
      </c>
      <c r="H85" s="55">
        <f>IFERROR(SUM($E$84:H84)/$C$84,0)</f>
        <v>0</v>
      </c>
      <c r="I85" s="55">
        <f>IFERROR(SUM($E$84:I84)/$C$84,0)</f>
        <v>0</v>
      </c>
      <c r="J85" s="55">
        <f>IFERROR(SUM($E$84:J84)/$C$84,0)</f>
        <v>0</v>
      </c>
      <c r="K85" s="55">
        <f>IFERROR(SUM($E$84:K84)/$C$84,0)</f>
        <v>0</v>
      </c>
      <c r="L85" s="55">
        <f>IFERROR(SUM($E$84:L84)/$C$84,0)</f>
        <v>0</v>
      </c>
      <c r="M85" s="55">
        <f>IFERROR(SUM($E$84:M84)/$C$84,0)</f>
        <v>0</v>
      </c>
      <c r="N85" s="55">
        <f>IFERROR(SUM($E$84:N84)/$C$84,0)</f>
        <v>0</v>
      </c>
      <c r="O85" s="55">
        <f>IFERROR(SUM($E$84:O84)/$C$84,0)</f>
        <v>0</v>
      </c>
      <c r="P85" s="55">
        <f>IFERROR(SUM($E$84:P84)/$C$84,0)</f>
        <v>0</v>
      </c>
      <c r="Q85" s="55">
        <f>IFERROR(SUM($E$84:Q84)/$C$84,0)</f>
        <v>0</v>
      </c>
      <c r="R85" s="55">
        <f>IFERROR(SUM($E$84:R84)/$C$84,0)</f>
        <v>0</v>
      </c>
      <c r="S85" s="55">
        <f>IFERROR(SUM($E$84:S84)/$C$84,0)</f>
        <v>0</v>
      </c>
      <c r="T85" s="55">
        <f>IFERROR(SUM($E$84:T84)/$C$84,0)</f>
        <v>0</v>
      </c>
      <c r="U85" s="55">
        <f>IFERROR(SUM($E$84:U84)/$C$84,0)</f>
        <v>0</v>
      </c>
      <c r="V85" s="55">
        <f>IFERROR(SUM($E$84:V84)/$C$84,0)</f>
        <v>0</v>
      </c>
      <c r="W85" s="55">
        <f>IFERROR(SUM($E$84:W84)/$C$84,0)</f>
        <v>0</v>
      </c>
      <c r="X85" s="55">
        <f>IFERROR(SUM($E$84:X84)/$C$84,0)</f>
        <v>0</v>
      </c>
      <c r="Y85" s="55">
        <f>IFERROR(SUM($E$84:Y84)/$C$84,0)</f>
        <v>0.18860737132305652</v>
      </c>
      <c r="Z85" s="55">
        <f>IFERROR(SUM($E$84:Z84)/$C$84,0)</f>
        <v>0.34025813379843928</v>
      </c>
      <c r="AA85" s="55">
        <f>IFERROR(SUM($E$84:AA84)/$C$84,0)</f>
        <v>0.46201898317645385</v>
      </c>
      <c r="AB85" s="55">
        <f>IFERROR(SUM($E$84:AB84)/$C$84,0)</f>
        <v>0.56652878744568069</v>
      </c>
      <c r="AC85" s="55">
        <f>IFERROR(SUM($E$84:AC84)/$C$84,0)</f>
        <v>0.65546561342989218</v>
      </c>
      <c r="AD85" s="55">
        <f>IFERROR(SUM($E$84:AD84)/$C$84,0)</f>
        <v>0.7283711026164662</v>
      </c>
      <c r="AE85" s="55">
        <f>IFERROR(SUM($E$84:AE84)/$C$84,0)</f>
        <v>0.79375224007844158</v>
      </c>
      <c r="AF85" s="55">
        <f>IFERROR(SUM($E$84:AF84)/$C$84,0)</f>
        <v>0.852901582301962</v>
      </c>
      <c r="AG85" s="55">
        <f>IFERROR(SUM($E$84:AG84)/$C$84,0)</f>
        <v>0.90642978233504001</v>
      </c>
      <c r="AH85" s="55">
        <f>IFERROR(SUM($E$84:AH84)/$C$84,0)</f>
        <v>0.95521264429298469</v>
      </c>
      <c r="AI85" s="55">
        <f>IFERROR(SUM($E$84:AI84)/$C$84,0)</f>
        <v>1</v>
      </c>
      <c r="AJ85" s="55">
        <f>IFERROR(SUM($E$84:AJ84)/$C$84,0)</f>
        <v>1</v>
      </c>
      <c r="AK85" s="55">
        <f>IFERROR(SUM($E$84:AK84)/$C$84,0)</f>
        <v>1</v>
      </c>
    </row>
    <row r="86" spans="2:38" ht="14.4" outlineLevel="1" x14ac:dyDescent="0.3">
      <c r="B86" s="5" t="s">
        <v>199</v>
      </c>
      <c r="C86" s="26">
        <f>AK86</f>
        <v>2517.3705768487844</v>
      </c>
      <c r="D86" s="47" t="s">
        <v>0</v>
      </c>
      <c r="E86" s="55">
        <f>SUM($E$65:E65)</f>
        <v>0</v>
      </c>
      <c r="F86" s="55">
        <f>SUM($E$65:F65)</f>
        <v>0</v>
      </c>
      <c r="G86" s="55">
        <f>SUM($E$65:G65)</f>
        <v>0</v>
      </c>
      <c r="H86" s="55">
        <f>SUM($E$65:H65)</f>
        <v>19.05</v>
      </c>
      <c r="I86" s="55">
        <f>SUM($E$65:I65)</f>
        <v>38.576250000000002</v>
      </c>
      <c r="J86" s="55">
        <f>SUM($E$65:J65)</f>
        <v>259.62869556250001</v>
      </c>
      <c r="K86" s="55">
        <f>SUM($E$65:K65)</f>
        <v>728.73302071874991</v>
      </c>
      <c r="L86" s="55">
        <f>SUM($E$65:L65)</f>
        <v>1397.9725686789059</v>
      </c>
      <c r="M86" s="55">
        <f>SUM($E$65:M65)</f>
        <v>2118.5721165100094</v>
      </c>
      <c r="N86" s="55">
        <f>SUM($E$65:N65)</f>
        <v>2286.4725295988719</v>
      </c>
      <c r="O86" s="55">
        <f>SUM($E$65:O65)</f>
        <v>2458.5704530149555</v>
      </c>
      <c r="P86" s="55">
        <f>SUM($E$65:P65)</f>
        <v>2517.3705768487844</v>
      </c>
      <c r="Q86" s="55">
        <f>SUM($E$65:Q65)</f>
        <v>2517.3705768487844</v>
      </c>
      <c r="R86" s="55">
        <f>SUM($E$65:R65)</f>
        <v>2517.3705768487844</v>
      </c>
      <c r="S86" s="55">
        <f>SUM($E$65:S65)</f>
        <v>2517.3705768487844</v>
      </c>
      <c r="T86" s="55">
        <f>SUM($E$65:T65)</f>
        <v>2517.3705768487844</v>
      </c>
      <c r="U86" s="55">
        <f>SUM($E$65:U65)</f>
        <v>2517.3705768487844</v>
      </c>
      <c r="V86" s="55">
        <f>SUM($E$65:V65)</f>
        <v>2517.3705768487844</v>
      </c>
      <c r="W86" s="55">
        <f>SUM($E$65:W65)</f>
        <v>2517.3705768487844</v>
      </c>
      <c r="X86" s="55">
        <f>SUM($E$65:X65)</f>
        <v>2517.3705768487844</v>
      </c>
      <c r="Y86" s="55">
        <f>SUM($E$65:Y65)</f>
        <v>2517.3705768487844</v>
      </c>
      <c r="Z86" s="55">
        <f>SUM($E$65:Z65)</f>
        <v>2517.3705768487844</v>
      </c>
      <c r="AA86" s="55">
        <f>SUM($E$65:AA65)</f>
        <v>2517.3705768487844</v>
      </c>
      <c r="AB86" s="55">
        <f>SUM($E$65:AB65)</f>
        <v>2517.3705768487844</v>
      </c>
      <c r="AC86" s="55">
        <f>SUM($E$65:AC65)</f>
        <v>2517.3705768487844</v>
      </c>
      <c r="AD86" s="55">
        <f>SUM($E$65:AD65)</f>
        <v>2517.3705768487844</v>
      </c>
      <c r="AE86" s="55">
        <f>SUM($E$65:AE65)</f>
        <v>2517.3705768487844</v>
      </c>
      <c r="AF86" s="55">
        <f>SUM($E$65:AF65)</f>
        <v>2517.3705768487844</v>
      </c>
      <c r="AG86" s="55">
        <f>SUM($E$65:AG65)</f>
        <v>2517.3705768487844</v>
      </c>
      <c r="AH86" s="55">
        <f>SUM($E$65:AH65)</f>
        <v>2517.3705768487844</v>
      </c>
      <c r="AI86" s="55">
        <f>SUM($E$65:AI65)</f>
        <v>2517.3705768487844</v>
      </c>
      <c r="AJ86" s="55">
        <f>SUM($E$65:AJ65)</f>
        <v>2517.3705768487844</v>
      </c>
      <c r="AK86" s="55">
        <f>SUM($E$65:AK65)</f>
        <v>2517.3705768487844</v>
      </c>
    </row>
    <row r="87" spans="2:38" ht="14.4" outlineLevel="1" x14ac:dyDescent="0.3">
      <c r="B87" s="5" t="s">
        <v>200</v>
      </c>
      <c r="C87" s="83">
        <f>E23+SUM(E87:AK87)</f>
        <v>2055</v>
      </c>
      <c r="D87" s="47" t="s">
        <v>113</v>
      </c>
      <c r="E87" s="55">
        <f>IF(Intro!$B$19="YES",IF(E23&lt;2030,1,IF(E23&lt;=Intro!$G$17,IF('RSA Model'!D6&lt;=E49,0,1),0)),1)</f>
        <v>1</v>
      </c>
      <c r="F87" s="55">
        <f>IF(Intro!$B$19="YES",IF(F23&lt;2030,1,IF(F23&lt;=Intro!$G$17,IF('RSA Model'!E6&lt;=F49,0,1),0)),1)</f>
        <v>1</v>
      </c>
      <c r="G87" s="55">
        <f>IF(Intro!$B$19="YES",IF(G23&lt;2030,1,IF(G23&lt;=Intro!$G$17,IF('RSA Model'!F6&lt;=G49,0,1),0)),1)</f>
        <v>1</v>
      </c>
      <c r="H87" s="55">
        <f>IF(Intro!$B$19="YES",IF(H23&lt;2030,1,IF(H23&lt;=Intro!$G$17,IF('RSA Model'!G6&lt;=H49,0,1),0)),1)</f>
        <v>1</v>
      </c>
      <c r="I87" s="55">
        <f>IF(Intro!$B$19="YES",IF(I23&lt;2030,1,IF(I23&lt;=Intro!$G$17,IF('RSA Model'!H6&lt;=I49,0,1),0)),1)</f>
        <v>1</v>
      </c>
      <c r="J87" s="55">
        <f>IF(Intro!$B$19="YES",IF(J23&lt;2030,1,IF(J23&lt;=Intro!$G$17,IF('RSA Model'!I6&lt;=J49,0,1),0)),1)</f>
        <v>1</v>
      </c>
      <c r="K87" s="55">
        <f>IF(Intro!$B$19="YES",IF(K23&lt;2030,1,IF(K23&lt;=Intro!$G$17,IF('RSA Model'!J6&lt;=K49,0,1),0)),1)</f>
        <v>1</v>
      </c>
      <c r="L87" s="55">
        <f>IF(Intro!$B$19="YES",IF(L23&lt;2030,1,IF(L23&lt;=Intro!$G$17,IF('RSA Model'!K6&lt;=L49,0,1),0)),1)</f>
        <v>1</v>
      </c>
      <c r="M87" s="55">
        <f>IF(Intro!$B$19="YES",IF(M23&lt;2030,1,IF(M23&lt;=Intro!$G$17,IF('RSA Model'!L6&lt;=M49,0,1),0)),1)</f>
        <v>1</v>
      </c>
      <c r="N87" s="55">
        <f>IF(Intro!$B$19="YES",IF(N23&lt;2030,1,IF(N23&lt;=Intro!$G$17,IF('RSA Model'!M6&lt;=N49,0,1),0)),1)</f>
        <v>1</v>
      </c>
      <c r="O87" s="55">
        <f>IF(Intro!$B$19="YES",IF(O23&lt;2030,1,IF(O23&lt;=Intro!$G$17,IF('RSA Model'!N6&lt;=O49,0,1),0)),1)</f>
        <v>1</v>
      </c>
      <c r="P87" s="55">
        <f>IF(Intro!$B$19="YES",IF(P23&lt;2030,1,IF(P23&lt;=Intro!$G$17,IF('RSA Model'!O6&lt;=P49,0,1),0)),1)</f>
        <v>1</v>
      </c>
      <c r="Q87" s="55">
        <f>IF(Intro!$B$19="YES",IF(Q23&lt;2030,1,IF(Q23&lt;=Intro!$G$17,IF('RSA Model'!P6&lt;=Q49,0,1),0)),1)</f>
        <v>1</v>
      </c>
      <c r="R87" s="55">
        <f>IF(Intro!$B$19="YES",IF(R23&lt;2030,1,IF(R23&lt;=Intro!$G$17,IF('RSA Model'!Q6&lt;=R49,0,1),0)),1)</f>
        <v>1</v>
      </c>
      <c r="S87" s="55">
        <f>IF(Intro!$B$19="YES",IF(S23&lt;2030,1,IF(S23&lt;=Intro!$G$17,IF('RSA Model'!R6&lt;=S49,0,1),0)),1)</f>
        <v>1</v>
      </c>
      <c r="T87" s="55">
        <f>IF(Intro!$B$19="YES",IF(T23&lt;2030,1,IF(T23&lt;=Intro!$G$17,IF('RSA Model'!S6&lt;=T49,0,1),0)),1)</f>
        <v>1</v>
      </c>
      <c r="U87" s="55">
        <f>IF(Intro!$B$19="YES",IF(U23&lt;2030,1,IF(U23&lt;=Intro!$G$17,IF('RSA Model'!T6&lt;=U49,0,1),0)),1)</f>
        <v>1</v>
      </c>
      <c r="V87" s="55">
        <f>IF(Intro!$B$19="YES",IF(V23&lt;2030,1,IF(V23&lt;=Intro!$G$17,IF('RSA Model'!U6&lt;=V49,0,1),0)),1)</f>
        <v>1</v>
      </c>
      <c r="W87" s="55">
        <f>IF(Intro!$B$19="YES",IF(W23&lt;2030,1,IF(W23&lt;=Intro!$G$17,IF('RSA Model'!V6&lt;=W49,0,1),0)),1)</f>
        <v>1</v>
      </c>
      <c r="X87" s="55">
        <f>IF(Intro!$B$19="YES",IF(X23&lt;2030,1,IF(X23&lt;=Intro!$G$17,IF('RSA Model'!W6&lt;=X49,0,1),0)),1)</f>
        <v>1</v>
      </c>
      <c r="Y87" s="55">
        <f>IF(Intro!$B$19="YES",IF(Y23&lt;2030,1,IF(Y23&lt;=Intro!$G$17,IF('RSA Model'!X6&lt;=Y49,0,1),0)),1)</f>
        <v>1</v>
      </c>
      <c r="Z87" s="55">
        <f>IF(Intro!$B$19="YES",IF(Z23&lt;2030,1,IF(Z23&lt;=Intro!$G$17,IF('RSA Model'!Y6&lt;=Z49,0,1),0)),1)</f>
        <v>1</v>
      </c>
      <c r="AA87" s="55">
        <f>IF(Intro!$B$19="YES",IF(AA23&lt;2030,1,IF(AA23&lt;=Intro!$G$17,IF('RSA Model'!Z6&lt;=AA49,0,1),0)),1)</f>
        <v>1</v>
      </c>
      <c r="AB87" s="55">
        <f>IF(Intro!$B$19="YES",IF(AB23&lt;2030,1,IF(AB23&lt;=Intro!$G$17,IF('RSA Model'!AA6&lt;=AB49,0,1),0)),1)</f>
        <v>1</v>
      </c>
      <c r="AC87" s="55">
        <f>IF(Intro!$B$19="YES",IF(AC23&lt;2030,1,IF(AC23&lt;=Intro!$G$17,IF('RSA Model'!AB6&lt;=AC49,0,1),0)),1)</f>
        <v>1</v>
      </c>
      <c r="AD87" s="55">
        <f>IF(Intro!$B$19="YES",IF(AD23&lt;2030,1,IF(AD23&lt;=Intro!$G$17,IF('RSA Model'!AC6&lt;=AD49,0,1),0)),1)</f>
        <v>1</v>
      </c>
      <c r="AE87" s="55">
        <f>IF(Intro!$B$19="YES",IF(AE23&lt;2030,1,IF(AE23&lt;=Intro!$G$17,IF('RSA Model'!AD6&lt;=AE49,0,1),0)),1)</f>
        <v>1</v>
      </c>
      <c r="AF87" s="55">
        <f>IF(Intro!$B$19="YES",IF(AF23&lt;2030,1,IF(AF23&lt;=Intro!$G$17,IF('RSA Model'!AE6&lt;=AF49,0,1),0)),1)</f>
        <v>1</v>
      </c>
      <c r="AG87" s="55">
        <f>IF(Intro!$B$19="YES",IF(AG23&lt;2030,1,IF(AG23&lt;=Intro!$G$17,IF('RSA Model'!AF6&lt;=AG49,0,1),0)),1)</f>
        <v>1</v>
      </c>
      <c r="AH87" s="55">
        <f>IF(Intro!$B$19="YES",IF(AH23&lt;2030,1,IF(AH23&lt;=Intro!$G$17,IF('RSA Model'!AG6&lt;=AH49,0,1),0)),1)</f>
        <v>1</v>
      </c>
      <c r="AI87" s="55">
        <f>IF(Intro!$B$19="YES",IF(AI23&lt;2030,1,IF(AI23&lt;=Intro!$G$17,IF('RSA Model'!AH6&lt;=AI49,0,1),0)),1)</f>
        <v>1</v>
      </c>
      <c r="AJ87" s="55">
        <f>IF(Intro!$B$19="YES",IF(AJ23&lt;2030,1,IF(AJ23&lt;=Intro!$G$17,IF('RSA Model'!AI6&lt;=AJ49,0,1),0)),1)</f>
        <v>1</v>
      </c>
      <c r="AK87" s="55">
        <f>IF(Intro!$B$19="YES",IF(AK23&lt;2030,1,IF(AK23&lt;=Intro!$G$17,IF('RSA Model'!AJ6&lt;=AK49,0,1),0)),1)</f>
        <v>1</v>
      </c>
    </row>
    <row r="88" spans="2:38" ht="14.4" outlineLevel="1" x14ac:dyDescent="0.3">
      <c r="B88" s="5" t="s">
        <v>201</v>
      </c>
      <c r="C88" s="26">
        <f>SUM(E88:AK88)</f>
        <v>15824.941331401136</v>
      </c>
      <c r="D88" s="47" t="s">
        <v>0</v>
      </c>
      <c r="E88" s="55">
        <f>('RSA Model'!D6-E57-E65)*E87</f>
        <v>0</v>
      </c>
      <c r="F88" s="55">
        <f>('RSA Model'!E6-F57-F65)*F87</f>
        <v>0</v>
      </c>
      <c r="G88" s="55">
        <f>('RSA Model'!F6-G57-G65)*G87</f>
        <v>0</v>
      </c>
      <c r="H88" s="55">
        <f>('RSA Model'!G6-H57-H65)*H87</f>
        <v>-19.581</v>
      </c>
      <c r="I88" s="55">
        <f>('RSA Model'!H6-I57-I65)*I87</f>
        <v>-20.066774999999996</v>
      </c>
      <c r="J88" s="55">
        <f>('RSA Model'!I6-J57-J65)*J87</f>
        <v>-223.71297001812499</v>
      </c>
      <c r="K88" s="55">
        <f>('RSA Model'!J6-K57-K65)*K87</f>
        <v>-474.24536840781246</v>
      </c>
      <c r="L88" s="55">
        <f>('RSA Model'!K6-L57-L65)*L87</f>
        <v>-676.38194343975749</v>
      </c>
      <c r="M88" s="55">
        <f>('RSA Model'!L6-M57-M65)*M87</f>
        <v>-728.25554330941452</v>
      </c>
      <c r="N88" s="55">
        <f>('RSA Model'!M6-N57-N65)*N87</f>
        <v>-170.02941721975088</v>
      </c>
      <c r="O88" s="55">
        <f>('RSA Model'!N6-O57-O65)*O87</f>
        <v>363.31889604030107</v>
      </c>
      <c r="P88" s="55">
        <f>('RSA Model'!O6-P57-P65)*P87</f>
        <v>1038.1619049184455</v>
      </c>
      <c r="Q88" s="55">
        <f>('RSA Model'!P6-Q57-Q65)*Q87</f>
        <v>1192.1438975448541</v>
      </c>
      <c r="R88" s="55">
        <f>('RSA Model'!Q6-R57-R65)*R87</f>
        <v>1221.9474949834755</v>
      </c>
      <c r="S88" s="55">
        <f>('RSA Model'!R6-S57-S65)*S87</f>
        <v>1255.9276787480842</v>
      </c>
      <c r="T88" s="55">
        <f>('RSA Model'!S6-T57-T65)*T87</f>
        <v>1283.8085869170138</v>
      </c>
      <c r="U88" s="55">
        <f>('RSA Model'!T6-U57-U65)*U87</f>
        <v>1315.9038015899389</v>
      </c>
      <c r="V88" s="55">
        <f>('RSA Model'!U6-V57-V65)*V87</f>
        <v>1348.8013966296871</v>
      </c>
      <c r="W88" s="55">
        <f>('RSA Model'!V6-W57-W65)*W87</f>
        <v>1386.3091614948689</v>
      </c>
      <c r="X88" s="55">
        <f>('RSA Model'!W6-X57-X65)*X87</f>
        <v>1390.704239671416</v>
      </c>
      <c r="Y88" s="55">
        <f>('RSA Model'!X6-Y57-Y65)*Y87</f>
        <v>1088.1680381219248</v>
      </c>
      <c r="Z88" s="55">
        <f>('RSA Model'!Y6-Z57-Z65)*Z87</f>
        <v>897.77539837088079</v>
      </c>
      <c r="AA88" s="55">
        <f>('RSA Model'!Z6-AA57-AA65)*AA87</f>
        <v>739.6135008615488</v>
      </c>
      <c r="AB88" s="55">
        <f>('RSA Model'!AA6-AB57-AB65)*AB87</f>
        <v>651.3536107576524</v>
      </c>
      <c r="AC88" s="55">
        <f>('RSA Model'!AB6-AC57-AC65)*AC87</f>
        <v>568.71268845179384</v>
      </c>
      <c r="AD88" s="55">
        <f>('RSA Model'!AC6-AD57-AD65)*AD87</f>
        <v>478.31300111308201</v>
      </c>
      <c r="AE88" s="55">
        <f>('RSA Model'!AD6-AE57-AE65)*AE87</f>
        <v>440.08295064864728</v>
      </c>
      <c r="AF88" s="55">
        <f>('RSA Model'!AE6-AF57-AF65)*AF87</f>
        <v>408.46216170500202</v>
      </c>
      <c r="AG88" s="55">
        <f>('RSA Model'!AF6-AG57-AG65)*AG87</f>
        <v>379.2227528368154</v>
      </c>
      <c r="AH88" s="55">
        <f>('RSA Model'!AG6-AH57-AH65)*AH87</f>
        <v>354.55132502926506</v>
      </c>
      <c r="AI88" s="55">
        <f>('RSA Model'!AH6-AI57-AI65)*AI87</f>
        <v>333.93186236130072</v>
      </c>
      <c r="AJ88" s="55">
        <f>('RSA Model'!AI6-AJ57-AJ65)*AJ87</f>
        <v>0</v>
      </c>
      <c r="AK88" s="55">
        <f>('RSA Model'!AJ6-AK57-AK65)*AK87</f>
        <v>0</v>
      </c>
    </row>
    <row r="89" spans="2:38" ht="14.4" outlineLevel="1" x14ac:dyDescent="0.3">
      <c r="B89" s="5" t="s">
        <v>176</v>
      </c>
      <c r="C89" s="26">
        <f>AK89</f>
        <v>15824.941331401136</v>
      </c>
      <c r="D89" s="47" t="s">
        <v>0</v>
      </c>
      <c r="E89" s="55">
        <f>E88</f>
        <v>0</v>
      </c>
      <c r="F89" s="55">
        <f>F88+E89</f>
        <v>0</v>
      </c>
      <c r="G89" s="55">
        <f t="shared" ref="G89:AC89" si="52">G88+F89</f>
        <v>0</v>
      </c>
      <c r="H89" s="55">
        <f t="shared" si="52"/>
        <v>-19.581</v>
      </c>
      <c r="I89" s="55">
        <f t="shared" si="52"/>
        <v>-39.647774999999996</v>
      </c>
      <c r="J89" s="55">
        <f t="shared" si="52"/>
        <v>-263.36074501812499</v>
      </c>
      <c r="K89" s="55">
        <f t="shared" si="52"/>
        <v>-737.60611342593745</v>
      </c>
      <c r="L89" s="55">
        <f t="shared" si="52"/>
        <v>-1413.9880568656949</v>
      </c>
      <c r="M89" s="55">
        <f t="shared" si="52"/>
        <v>-2142.2436001751093</v>
      </c>
      <c r="N89" s="55">
        <f t="shared" si="52"/>
        <v>-2312.2730173948603</v>
      </c>
      <c r="O89" s="55">
        <f t="shared" si="52"/>
        <v>-1948.9541213545592</v>
      </c>
      <c r="P89" s="55">
        <f t="shared" si="52"/>
        <v>-910.79221643611368</v>
      </c>
      <c r="Q89" s="55">
        <f t="shared" si="52"/>
        <v>281.35168110874042</v>
      </c>
      <c r="R89" s="55">
        <f t="shared" si="52"/>
        <v>1503.2991760922159</v>
      </c>
      <c r="S89" s="55">
        <f t="shared" si="52"/>
        <v>2759.2268548402999</v>
      </c>
      <c r="T89" s="55">
        <f t="shared" si="52"/>
        <v>4043.0354417573135</v>
      </c>
      <c r="U89" s="55">
        <f t="shared" si="52"/>
        <v>5358.9392433472522</v>
      </c>
      <c r="V89" s="55">
        <f t="shared" si="52"/>
        <v>6707.7406399769388</v>
      </c>
      <c r="W89" s="55">
        <f t="shared" si="52"/>
        <v>8094.0498014718078</v>
      </c>
      <c r="X89" s="55">
        <f t="shared" si="52"/>
        <v>9484.7540411432237</v>
      </c>
      <c r="Y89" s="55">
        <f t="shared" si="52"/>
        <v>10572.922079265149</v>
      </c>
      <c r="Z89" s="55">
        <f t="shared" si="52"/>
        <v>11470.697477636029</v>
      </c>
      <c r="AA89" s="55">
        <f t="shared" si="52"/>
        <v>12210.310978497579</v>
      </c>
      <c r="AB89" s="55">
        <f t="shared" si="52"/>
        <v>12861.664589255231</v>
      </c>
      <c r="AC89" s="55">
        <f t="shared" si="52"/>
        <v>13430.377277707026</v>
      </c>
      <c r="AD89" s="55">
        <f t="shared" ref="AD89:AK89" si="53">AD88+AC89</f>
        <v>13908.690278820108</v>
      </c>
      <c r="AE89" s="55">
        <f t="shared" si="53"/>
        <v>14348.773229468756</v>
      </c>
      <c r="AF89" s="55">
        <f t="shared" si="53"/>
        <v>14757.235391173757</v>
      </c>
      <c r="AG89" s="55">
        <f t="shared" si="53"/>
        <v>15136.458144010572</v>
      </c>
      <c r="AH89" s="55">
        <f t="shared" si="53"/>
        <v>15491.009469039836</v>
      </c>
      <c r="AI89" s="55">
        <f t="shared" si="53"/>
        <v>15824.941331401136</v>
      </c>
      <c r="AJ89" s="55">
        <f t="shared" si="53"/>
        <v>15824.941331401136</v>
      </c>
      <c r="AK89" s="55">
        <f t="shared" si="53"/>
        <v>15824.941331401136</v>
      </c>
    </row>
    <row r="90" spans="2:38" ht="14.4" outlineLevel="1" x14ac:dyDescent="0.3">
      <c r="B90" s="5" t="s">
        <v>202</v>
      </c>
      <c r="C90" s="26">
        <f>SUM(E90:AK90)</f>
        <v>3189.3847635020416</v>
      </c>
      <c r="D90" s="47" t="s">
        <v>0</v>
      </c>
      <c r="E90" s="55">
        <f>E88*D14</f>
        <v>0</v>
      </c>
      <c r="F90" s="55">
        <f t="shared" ref="F90:AC90" si="54">F88*E14</f>
        <v>0</v>
      </c>
      <c r="G90" s="55">
        <f t="shared" si="54"/>
        <v>0</v>
      </c>
      <c r="H90" s="55">
        <f t="shared" si="54"/>
        <v>-19.581</v>
      </c>
      <c r="I90" s="55">
        <f t="shared" si="54"/>
        <v>-18.242522727272725</v>
      </c>
      <c r="J90" s="55">
        <f t="shared" si="54"/>
        <v>-184.88675208109501</v>
      </c>
      <c r="K90" s="55">
        <f t="shared" si="54"/>
        <v>-356.30756454381094</v>
      </c>
      <c r="L90" s="55">
        <f t="shared" si="54"/>
        <v>-461.97796833533044</v>
      </c>
      <c r="M90" s="55">
        <f t="shared" si="54"/>
        <v>-452.18939547684539</v>
      </c>
      <c r="N90" s="55">
        <f t="shared" si="54"/>
        <v>-95.977173362786161</v>
      </c>
      <c r="O90" s="55">
        <f t="shared" si="54"/>
        <v>186.44004100969858</v>
      </c>
      <c r="P90" s="55">
        <f t="shared" si="54"/>
        <v>484.31019049705009</v>
      </c>
      <c r="Q90" s="55">
        <f t="shared" si="54"/>
        <v>505.58538770606401</v>
      </c>
      <c r="R90" s="55">
        <f t="shared" si="54"/>
        <v>471.11365672610503</v>
      </c>
      <c r="S90" s="55">
        <f t="shared" si="54"/>
        <v>440.19498959102924</v>
      </c>
      <c r="T90" s="55">
        <f t="shared" si="54"/>
        <v>409.06097983294546</v>
      </c>
      <c r="U90" s="55">
        <f t="shared" si="54"/>
        <v>381.17045848069915</v>
      </c>
      <c r="V90" s="55">
        <f t="shared" si="54"/>
        <v>355.18156358428763</v>
      </c>
      <c r="W90" s="55">
        <f t="shared" si="54"/>
        <v>331.87139122950316</v>
      </c>
      <c r="X90" s="55">
        <f t="shared" si="54"/>
        <v>302.65776181938583</v>
      </c>
      <c r="Y90" s="55">
        <f t="shared" si="54"/>
        <v>215.28824520994172</v>
      </c>
      <c r="Z90" s="55">
        <f t="shared" si="54"/>
        <v>161.47279676124884</v>
      </c>
      <c r="AA90" s="55">
        <f t="shared" si="54"/>
        <v>120.93271751406843</v>
      </c>
      <c r="AB90" s="55">
        <f t="shared" si="54"/>
        <v>96.819563829643229</v>
      </c>
      <c r="AC90" s="55">
        <f t="shared" si="54"/>
        <v>76.850470286217316</v>
      </c>
      <c r="AD90" s="55">
        <f t="shared" ref="AD90:AK90" si="55">AD88*AC14</f>
        <v>58.758826294681548</v>
      </c>
      <c r="AE90" s="55">
        <f t="shared" si="55"/>
        <v>49.147653205097676</v>
      </c>
      <c r="AF90" s="55">
        <f t="shared" si="55"/>
        <v>41.469365225336972</v>
      </c>
      <c r="AG90" s="55">
        <f t="shared" si="55"/>
        <v>35.000742504527928</v>
      </c>
      <c r="AH90" s="55">
        <f t="shared" si="55"/>
        <v>29.748789498706081</v>
      </c>
      <c r="AI90" s="55">
        <f t="shared" si="55"/>
        <v>25.471549222943974</v>
      </c>
      <c r="AJ90" s="55">
        <f t="shared" si="55"/>
        <v>0</v>
      </c>
      <c r="AK90" s="55">
        <f t="shared" si="55"/>
        <v>0</v>
      </c>
    </row>
    <row r="91" spans="2:38" ht="14.4" outlineLevel="1" x14ac:dyDescent="0.3">
      <c r="B91" s="5" t="s">
        <v>203</v>
      </c>
      <c r="C91" s="26">
        <f>AK91</f>
        <v>3189.3847635020416</v>
      </c>
      <c r="D91" s="47" t="s">
        <v>0</v>
      </c>
      <c r="E91" s="55">
        <f>E90</f>
        <v>0</v>
      </c>
      <c r="F91" s="55">
        <f>F90+E91</f>
        <v>0</v>
      </c>
      <c r="G91" s="55">
        <f t="shared" ref="G91:AC91" si="56">G90+F91</f>
        <v>0</v>
      </c>
      <c r="H91" s="55">
        <f t="shared" si="56"/>
        <v>-19.581</v>
      </c>
      <c r="I91" s="55">
        <f t="shared" si="56"/>
        <v>-37.823522727272724</v>
      </c>
      <c r="J91" s="55">
        <f t="shared" si="56"/>
        <v>-222.71027480836773</v>
      </c>
      <c r="K91" s="55">
        <f t="shared" si="56"/>
        <v>-579.01783935217873</v>
      </c>
      <c r="L91" s="55">
        <f t="shared" si="56"/>
        <v>-1040.9958076875091</v>
      </c>
      <c r="M91" s="55">
        <f t="shared" si="56"/>
        <v>-1493.1852031643546</v>
      </c>
      <c r="N91" s="55">
        <f t="shared" si="56"/>
        <v>-1589.1623765271406</v>
      </c>
      <c r="O91" s="55">
        <f t="shared" si="56"/>
        <v>-1402.7223355174419</v>
      </c>
      <c r="P91" s="55">
        <f t="shared" si="56"/>
        <v>-918.41214502039179</v>
      </c>
      <c r="Q91" s="55">
        <f t="shared" si="56"/>
        <v>-412.82675731432778</v>
      </c>
      <c r="R91" s="55">
        <f t="shared" si="56"/>
        <v>58.286899411777256</v>
      </c>
      <c r="S91" s="55">
        <f t="shared" si="56"/>
        <v>498.4818890028065</v>
      </c>
      <c r="T91" s="55">
        <f t="shared" si="56"/>
        <v>907.54286883575196</v>
      </c>
      <c r="U91" s="55">
        <f t="shared" si="56"/>
        <v>1288.7133273164511</v>
      </c>
      <c r="V91" s="55">
        <f t="shared" si="56"/>
        <v>1643.8948909007388</v>
      </c>
      <c r="W91" s="55">
        <f t="shared" si="56"/>
        <v>1975.766282130242</v>
      </c>
      <c r="X91" s="55">
        <f t="shared" si="56"/>
        <v>2278.424043949628</v>
      </c>
      <c r="Y91" s="55">
        <f t="shared" si="56"/>
        <v>2493.7122891595695</v>
      </c>
      <c r="Z91" s="55">
        <f t="shared" si="56"/>
        <v>2655.1850859208184</v>
      </c>
      <c r="AA91" s="55">
        <f t="shared" si="56"/>
        <v>2776.1178034348868</v>
      </c>
      <c r="AB91" s="55">
        <f t="shared" si="56"/>
        <v>2872.9373672645302</v>
      </c>
      <c r="AC91" s="55">
        <f t="shared" si="56"/>
        <v>2949.7878375507476</v>
      </c>
      <c r="AD91" s="55">
        <f t="shared" ref="AD91:AK91" si="57">AD90+AC91</f>
        <v>3008.5466638454291</v>
      </c>
      <c r="AE91" s="55">
        <f t="shared" si="57"/>
        <v>3057.6943170505269</v>
      </c>
      <c r="AF91" s="55">
        <f t="shared" si="57"/>
        <v>3099.1636822758637</v>
      </c>
      <c r="AG91" s="55">
        <f t="shared" si="57"/>
        <v>3134.1644247803915</v>
      </c>
      <c r="AH91" s="55">
        <f t="shared" si="57"/>
        <v>3163.9132142790977</v>
      </c>
      <c r="AI91" s="55">
        <f t="shared" si="57"/>
        <v>3189.3847635020416</v>
      </c>
      <c r="AJ91" s="55">
        <f t="shared" si="57"/>
        <v>3189.3847635020416</v>
      </c>
      <c r="AK91" s="55">
        <f t="shared" si="57"/>
        <v>3189.3847635020416</v>
      </c>
    </row>
    <row r="92" spans="2:38" ht="14.4" outlineLevel="1" x14ac:dyDescent="0.3">
      <c r="B92" s="5" t="s">
        <v>204</v>
      </c>
      <c r="C92" s="84">
        <f>IRR(E88:AK88)</f>
        <v>0.2585234686371285</v>
      </c>
      <c r="D92" s="47" t="s">
        <v>146</v>
      </c>
      <c r="E92" s="87" t="e">
        <f>IRR($E$88:E88)</f>
        <v>#NUM!</v>
      </c>
      <c r="F92" s="87" t="e">
        <f>IRR($E$88:F88)</f>
        <v>#NUM!</v>
      </c>
      <c r="G92" s="87" t="e">
        <f>IRR($E$88:G88)</f>
        <v>#NUM!</v>
      </c>
      <c r="H92" s="87" t="e">
        <f>IRR($E$88:H88)</f>
        <v>#NUM!</v>
      </c>
      <c r="I92" s="87" t="e">
        <f>IRR($E$88:I88)</f>
        <v>#NUM!</v>
      </c>
      <c r="J92" s="87" t="e">
        <f>IRR($E$88:J88)</f>
        <v>#NUM!</v>
      </c>
      <c r="K92" s="87" t="e">
        <f>IRR($E$88:K88)</f>
        <v>#NUM!</v>
      </c>
      <c r="L92" s="87" t="e">
        <f>IRR($E$88:L88)</f>
        <v>#NUM!</v>
      </c>
      <c r="M92" s="87" t="e">
        <f>IRR($E$88:M88)</f>
        <v>#NUM!</v>
      </c>
      <c r="N92" s="87" t="e">
        <f>IRR($E$88:N88)</f>
        <v>#NUM!</v>
      </c>
      <c r="O92" s="87" t="e">
        <f>IRR($E$88:O88)</f>
        <v>#NUM!</v>
      </c>
      <c r="P92" s="87">
        <f>IRR($E$88:P88)</f>
        <v>-0.12799168388015858</v>
      </c>
      <c r="Q92" s="87">
        <f>IRR($E$88:Q88)</f>
        <v>2.6884021927153778E-2</v>
      </c>
      <c r="R92" s="87">
        <f>IRR($E$88:R88)</f>
        <v>0.10811143078878804</v>
      </c>
      <c r="S92" s="87">
        <f>IRR($E$88:S88)</f>
        <v>0.15733385791096954</v>
      </c>
      <c r="T92" s="87">
        <f>IRR($E$88:T88)</f>
        <v>0.18924639600302262</v>
      </c>
      <c r="U92" s="87">
        <f>IRR($E$88:U88)</f>
        <v>0.21099222144135088</v>
      </c>
      <c r="V92" s="87">
        <f>IRR($E$88:V88)</f>
        <v>0.22630587938488267</v>
      </c>
      <c r="W92" s="87">
        <f>IRR($E$88:W88)</f>
        <v>0.23738752355840065</v>
      </c>
      <c r="X92" s="87">
        <f>IRR($E$88:X88)</f>
        <v>0.24537354463477934</v>
      </c>
      <c r="Y92" s="87">
        <f>IRR($E$88:Y88)</f>
        <v>0.24998133338536999</v>
      </c>
      <c r="Z92" s="87">
        <f>IRR($E$88:Z88)</f>
        <v>0.25285750769332238</v>
      </c>
      <c r="AA92" s="87">
        <f>IRR($E$88:AA88)</f>
        <v>0.25467757766225296</v>
      </c>
      <c r="AB92" s="87">
        <f>IRR($E$88:AB88)</f>
        <v>0.25592069329394262</v>
      </c>
      <c r="AC92" s="87">
        <f>IRR($E$88:AC88)</f>
        <v>0.25676765512524335</v>
      </c>
      <c r="AD92" s="87">
        <f>IRR($E$88:AD88)</f>
        <v>0.25732623006230115</v>
      </c>
      <c r="AE92" s="87">
        <f>IRR($E$88:AE88)</f>
        <v>0.25773060276815607</v>
      </c>
      <c r="AF92" s="87">
        <f>IRR($E$88:AF88)</f>
        <v>0.25802652567476492</v>
      </c>
      <c r="AG92" s="87">
        <f>IRR($E$88:AG88)</f>
        <v>0.25824349521408685</v>
      </c>
      <c r="AH92" s="87">
        <f>IRR($E$88:AH88)</f>
        <v>0.25840389633241467</v>
      </c>
      <c r="AI92" s="87">
        <f>IRR($E$88:AI88)</f>
        <v>0.2585234686371285</v>
      </c>
      <c r="AJ92" s="87">
        <f>IRR($E$88:AJ88)</f>
        <v>0.2585234686371285</v>
      </c>
      <c r="AK92" s="87">
        <f>IRR($E$88:AK88)</f>
        <v>0.2585234686371285</v>
      </c>
    </row>
    <row r="94" spans="2:38" ht="15" x14ac:dyDescent="0.3">
      <c r="B94" s="12" t="s">
        <v>52</v>
      </c>
      <c r="AL94" s="2"/>
    </row>
    <row r="95" spans="2:38" outlineLevel="1" x14ac:dyDescent="0.3">
      <c r="B95" s="14" t="s">
        <v>35</v>
      </c>
      <c r="C95" s="14" t="s">
        <v>3</v>
      </c>
      <c r="D95" s="14" t="s">
        <v>36</v>
      </c>
      <c r="E95" s="14">
        <f t="shared" ref="E95:AK95" si="58">E23</f>
        <v>2022</v>
      </c>
      <c r="F95" s="14">
        <f t="shared" si="58"/>
        <v>2023</v>
      </c>
      <c r="G95" s="14">
        <f t="shared" si="58"/>
        <v>2024</v>
      </c>
      <c r="H95" s="14">
        <f t="shared" si="58"/>
        <v>2025</v>
      </c>
      <c r="I95" s="14">
        <f t="shared" si="58"/>
        <v>2026</v>
      </c>
      <c r="J95" s="14">
        <f t="shared" si="58"/>
        <v>2027</v>
      </c>
      <c r="K95" s="14">
        <f t="shared" si="58"/>
        <v>2028</v>
      </c>
      <c r="L95" s="14">
        <f t="shared" si="58"/>
        <v>2029</v>
      </c>
      <c r="M95" s="14">
        <f t="shared" si="58"/>
        <v>2030</v>
      </c>
      <c r="N95" s="14">
        <f t="shared" si="58"/>
        <v>2031</v>
      </c>
      <c r="O95" s="14">
        <f t="shared" si="58"/>
        <v>2032</v>
      </c>
      <c r="P95" s="14">
        <f t="shared" si="58"/>
        <v>2033</v>
      </c>
      <c r="Q95" s="14">
        <f t="shared" si="58"/>
        <v>2034</v>
      </c>
      <c r="R95" s="14">
        <f t="shared" si="58"/>
        <v>2035</v>
      </c>
      <c r="S95" s="14">
        <f t="shared" si="58"/>
        <v>2036</v>
      </c>
      <c r="T95" s="14">
        <f t="shared" si="58"/>
        <v>2037</v>
      </c>
      <c r="U95" s="14">
        <f t="shared" si="58"/>
        <v>2038</v>
      </c>
      <c r="V95" s="14">
        <f t="shared" si="58"/>
        <v>2039</v>
      </c>
      <c r="W95" s="14">
        <f t="shared" si="58"/>
        <v>2040</v>
      </c>
      <c r="X95" s="14">
        <f t="shared" si="58"/>
        <v>2041</v>
      </c>
      <c r="Y95" s="14">
        <f t="shared" si="58"/>
        <v>2042</v>
      </c>
      <c r="Z95" s="14">
        <f t="shared" si="58"/>
        <v>2043</v>
      </c>
      <c r="AA95" s="14">
        <f t="shared" si="58"/>
        <v>2044</v>
      </c>
      <c r="AB95" s="14">
        <f t="shared" si="58"/>
        <v>2045</v>
      </c>
      <c r="AC95" s="14">
        <f t="shared" si="58"/>
        <v>2046</v>
      </c>
      <c r="AD95" s="14">
        <f t="shared" si="58"/>
        <v>2047</v>
      </c>
      <c r="AE95" s="14">
        <f t="shared" si="58"/>
        <v>2048</v>
      </c>
      <c r="AF95" s="14">
        <f t="shared" si="58"/>
        <v>2049</v>
      </c>
      <c r="AG95" s="14"/>
      <c r="AH95" s="14"/>
      <c r="AI95" s="14">
        <f t="shared" si="58"/>
        <v>2052</v>
      </c>
      <c r="AJ95" s="14">
        <f t="shared" si="58"/>
        <v>2053</v>
      </c>
      <c r="AK95" s="14">
        <f t="shared" si="58"/>
        <v>2054</v>
      </c>
      <c r="AL95" s="2"/>
    </row>
    <row r="96" spans="2:38" outlineLevel="1" x14ac:dyDescent="0.3">
      <c r="B96" s="1" t="s">
        <v>5</v>
      </c>
      <c r="C96" s="2">
        <f>SUM(E96:AK96)</f>
        <v>0</v>
      </c>
      <c r="D96" s="50" t="s">
        <v>6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2:44" outlineLevel="1" x14ac:dyDescent="0.3">
      <c r="B97" s="1" t="s">
        <v>7</v>
      </c>
      <c r="C97" s="2">
        <f>SUM(E97:AK97)</f>
        <v>0</v>
      </c>
      <c r="D97" s="50" t="s">
        <v>8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2:44" outlineLevel="1" x14ac:dyDescent="0.3">
      <c r="B98" s="1" t="s">
        <v>9</v>
      </c>
      <c r="C98" s="2">
        <f>SUM(E98:AK98)</f>
        <v>0</v>
      </c>
      <c r="D98" s="50" t="s">
        <v>6</v>
      </c>
      <c r="E98" s="2"/>
      <c r="F98" s="2"/>
      <c r="G98" s="2"/>
      <c r="H98" s="2"/>
      <c r="I98" s="2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"/>
    </row>
    <row r="99" spans="2:44" outlineLevel="1" x14ac:dyDescent="0.3">
      <c r="B99" s="1" t="s">
        <v>10</v>
      </c>
      <c r="C99" s="2">
        <f>SUM(E99:AK99)</f>
        <v>0</v>
      </c>
      <c r="D99" s="50" t="s">
        <v>8</v>
      </c>
      <c r="E99" s="2">
        <f>E177</f>
        <v>0</v>
      </c>
      <c r="F99" s="2"/>
      <c r="G99" s="2"/>
      <c r="H99" s="2"/>
      <c r="I99" s="2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"/>
    </row>
    <row r="100" spans="2:44" outlineLevel="1" x14ac:dyDescent="0.3">
      <c r="C100" s="28"/>
      <c r="D100" s="29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2:44" outlineLevel="1" x14ac:dyDescent="0.3">
      <c r="D101" s="29"/>
      <c r="E101" s="2">
        <v>2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2:44" outlineLevel="1" x14ac:dyDescent="0.3">
      <c r="B102" s="14" t="s">
        <v>37</v>
      </c>
      <c r="C102" s="14" t="s">
        <v>3</v>
      </c>
      <c r="D102" s="14" t="s">
        <v>36</v>
      </c>
      <c r="E102" s="14">
        <f t="shared" ref="E102:AC102" si="59">E23</f>
        <v>2022</v>
      </c>
      <c r="F102" s="14">
        <f t="shared" si="59"/>
        <v>2023</v>
      </c>
      <c r="G102" s="14">
        <f t="shared" si="59"/>
        <v>2024</v>
      </c>
      <c r="H102" s="14">
        <f t="shared" si="59"/>
        <v>2025</v>
      </c>
      <c r="I102" s="14">
        <f t="shared" si="59"/>
        <v>2026</v>
      </c>
      <c r="J102" s="14">
        <f t="shared" si="59"/>
        <v>2027</v>
      </c>
      <c r="K102" s="14">
        <f t="shared" si="59"/>
        <v>2028</v>
      </c>
      <c r="L102" s="14">
        <f t="shared" si="59"/>
        <v>2029</v>
      </c>
      <c r="M102" s="14">
        <f t="shared" si="59"/>
        <v>2030</v>
      </c>
      <c r="N102" s="14">
        <f t="shared" si="59"/>
        <v>2031</v>
      </c>
      <c r="O102" s="14">
        <f t="shared" si="59"/>
        <v>2032</v>
      </c>
      <c r="P102" s="14">
        <f t="shared" si="59"/>
        <v>2033</v>
      </c>
      <c r="Q102" s="14">
        <f t="shared" si="59"/>
        <v>2034</v>
      </c>
      <c r="R102" s="14">
        <f t="shared" si="59"/>
        <v>2035</v>
      </c>
      <c r="S102" s="14">
        <f t="shared" si="59"/>
        <v>2036</v>
      </c>
      <c r="T102" s="14">
        <f t="shared" si="59"/>
        <v>2037</v>
      </c>
      <c r="U102" s="14">
        <f t="shared" si="59"/>
        <v>2038</v>
      </c>
      <c r="V102" s="14">
        <f t="shared" si="59"/>
        <v>2039</v>
      </c>
      <c r="W102" s="14">
        <f t="shared" si="59"/>
        <v>2040</v>
      </c>
      <c r="X102" s="14">
        <f t="shared" si="59"/>
        <v>2041</v>
      </c>
      <c r="Y102" s="14">
        <f t="shared" si="59"/>
        <v>2042</v>
      </c>
      <c r="Z102" s="14">
        <f t="shared" si="59"/>
        <v>2043</v>
      </c>
      <c r="AA102" s="14">
        <f t="shared" si="59"/>
        <v>2044</v>
      </c>
      <c r="AB102" s="14">
        <f t="shared" si="59"/>
        <v>2045</v>
      </c>
      <c r="AC102" s="14">
        <f t="shared" si="59"/>
        <v>2046</v>
      </c>
      <c r="AD102" s="14">
        <f t="shared" ref="AD102:AK102" si="60">AD23</f>
        <v>2047</v>
      </c>
      <c r="AE102" s="14">
        <f t="shared" si="60"/>
        <v>2048</v>
      </c>
      <c r="AF102" s="14">
        <f t="shared" si="60"/>
        <v>2049</v>
      </c>
      <c r="AG102" s="14">
        <f t="shared" si="60"/>
        <v>2050</v>
      </c>
      <c r="AH102" s="14">
        <f t="shared" si="60"/>
        <v>2051</v>
      </c>
      <c r="AI102" s="14">
        <f t="shared" si="60"/>
        <v>2052</v>
      </c>
      <c r="AJ102" s="14">
        <f t="shared" si="60"/>
        <v>2053</v>
      </c>
      <c r="AK102" s="14">
        <f t="shared" si="60"/>
        <v>2054</v>
      </c>
      <c r="AL102" s="2"/>
      <c r="AM102" s="2"/>
      <c r="AN102" s="2"/>
      <c r="AO102" s="2"/>
      <c r="AP102" s="2"/>
    </row>
    <row r="103" spans="2:44" outlineLevel="1" x14ac:dyDescent="0.3">
      <c r="B103" s="1" t="s">
        <v>5</v>
      </c>
      <c r="C103" s="2">
        <f>SUM(E103:AK103)</f>
        <v>202.24659431033743</v>
      </c>
      <c r="D103" s="50" t="s">
        <v>6</v>
      </c>
      <c r="E103" s="58">
        <v>0</v>
      </c>
      <c r="F103" s="58">
        <v>0</v>
      </c>
      <c r="G103" s="58">
        <v>0</v>
      </c>
      <c r="H103" s="58">
        <v>0</v>
      </c>
      <c r="I103" s="58">
        <v>0</v>
      </c>
      <c r="J103" s="58">
        <v>0</v>
      </c>
      <c r="K103" s="58">
        <v>0</v>
      </c>
      <c r="L103" s="58">
        <f t="shared" ref="L103:AK103" si="61">((((L176)/2)*2)/2)*2</f>
        <v>0</v>
      </c>
      <c r="M103" s="58">
        <f t="shared" si="61"/>
        <v>0</v>
      </c>
      <c r="N103" s="58">
        <f t="shared" si="61"/>
        <v>0</v>
      </c>
      <c r="O103" s="58">
        <f t="shared" si="61"/>
        <v>7.0714396973400007</v>
      </c>
      <c r="P103" s="58">
        <f t="shared" si="61"/>
        <v>14.090841362949998</v>
      </c>
      <c r="Q103" s="58">
        <f t="shared" si="61"/>
        <v>14.92586084080755</v>
      </c>
      <c r="R103" s="58">
        <f t="shared" si="61"/>
        <v>14.92586084080755</v>
      </c>
      <c r="S103" s="58">
        <f t="shared" si="61"/>
        <v>14.966753610234418</v>
      </c>
      <c r="T103" s="58">
        <f t="shared" si="61"/>
        <v>14.92586084080755</v>
      </c>
      <c r="U103" s="58">
        <f t="shared" si="61"/>
        <v>14.92586084080755</v>
      </c>
      <c r="V103" s="58">
        <f t="shared" si="61"/>
        <v>14.92586084080755</v>
      </c>
      <c r="W103" s="58">
        <f t="shared" si="61"/>
        <v>14.966753610234418</v>
      </c>
      <c r="X103" s="58">
        <f t="shared" si="61"/>
        <v>14.648003298707552</v>
      </c>
      <c r="Y103" s="58">
        <f t="shared" si="61"/>
        <v>11.669797911707048</v>
      </c>
      <c r="Z103" s="58">
        <f t="shared" si="61"/>
        <v>9.3831632286137499</v>
      </c>
      <c r="AA103" s="58">
        <f t="shared" si="61"/>
        <v>7.5337697346165609</v>
      </c>
      <c r="AB103" s="58">
        <f t="shared" si="61"/>
        <v>6.466387220491649</v>
      </c>
      <c r="AC103" s="58">
        <f t="shared" si="61"/>
        <v>5.5028325715153503</v>
      </c>
      <c r="AD103" s="58">
        <f t="shared" si="61"/>
        <v>4.5109176777835502</v>
      </c>
      <c r="AE103" s="58">
        <f t="shared" si="61"/>
        <v>4.0453597124362206</v>
      </c>
      <c r="AF103" s="58">
        <f t="shared" si="61"/>
        <v>3.6597767389301494</v>
      </c>
      <c r="AG103" s="58">
        <f t="shared" si="61"/>
        <v>3.3119770058907001</v>
      </c>
      <c r="AH103" s="58">
        <f t="shared" si="61"/>
        <v>3.0183663374896001</v>
      </c>
      <c r="AI103" s="58">
        <f t="shared" si="61"/>
        <v>2.7711503873587744</v>
      </c>
      <c r="AJ103" s="58">
        <f t="shared" si="61"/>
        <v>0</v>
      </c>
      <c r="AK103" s="58">
        <f t="shared" si="61"/>
        <v>0</v>
      </c>
      <c r="AL103" s="2"/>
      <c r="AM103" s="2"/>
      <c r="AN103" s="2"/>
      <c r="AO103" s="2"/>
      <c r="AP103" s="2"/>
      <c r="AQ103" s="2"/>
      <c r="AR103" s="2"/>
    </row>
    <row r="104" spans="2:44" outlineLevel="1" x14ac:dyDescent="0.3">
      <c r="B104" s="1" t="s">
        <v>7</v>
      </c>
      <c r="C104" s="2">
        <f>SUM(E104:AK104)</f>
        <v>0</v>
      </c>
      <c r="D104" s="50" t="s">
        <v>8</v>
      </c>
      <c r="E104" s="58">
        <v>0</v>
      </c>
      <c r="F104" s="58">
        <v>0</v>
      </c>
      <c r="G104" s="58">
        <v>0</v>
      </c>
      <c r="H104" s="58">
        <v>0</v>
      </c>
      <c r="I104" s="58">
        <v>0</v>
      </c>
      <c r="J104" s="58">
        <v>0</v>
      </c>
      <c r="K104" s="58">
        <v>0</v>
      </c>
      <c r="L104" s="58">
        <v>0</v>
      </c>
      <c r="M104" s="58">
        <v>0</v>
      </c>
      <c r="N104" s="58">
        <v>0</v>
      </c>
      <c r="O104" s="58">
        <v>0</v>
      </c>
      <c r="P104" s="58">
        <v>0</v>
      </c>
      <c r="Q104" s="58">
        <v>0</v>
      </c>
      <c r="R104" s="58">
        <v>0</v>
      </c>
      <c r="S104" s="58">
        <v>0</v>
      </c>
      <c r="T104" s="58">
        <v>0</v>
      </c>
      <c r="U104" s="58">
        <v>0</v>
      </c>
      <c r="V104" s="58">
        <v>0</v>
      </c>
      <c r="W104" s="58">
        <v>0</v>
      </c>
      <c r="X104" s="58">
        <v>0</v>
      </c>
      <c r="Y104" s="58">
        <v>0</v>
      </c>
      <c r="Z104" s="58">
        <v>0</v>
      </c>
      <c r="AA104" s="58">
        <v>0</v>
      </c>
      <c r="AB104" s="58">
        <v>0</v>
      </c>
      <c r="AC104" s="58">
        <v>0</v>
      </c>
      <c r="AD104" s="58">
        <v>0</v>
      </c>
      <c r="AE104" s="58">
        <v>0</v>
      </c>
      <c r="AF104" s="58">
        <v>0</v>
      </c>
      <c r="AG104" s="58"/>
      <c r="AH104" s="58"/>
      <c r="AI104" s="58"/>
      <c r="AJ104" s="58"/>
      <c r="AK104" s="58"/>
      <c r="AL104" s="2"/>
      <c r="AM104" s="2"/>
      <c r="AN104" s="2"/>
      <c r="AO104" s="2"/>
      <c r="AP104" s="2"/>
    </row>
    <row r="105" spans="2:44" outlineLevel="1" x14ac:dyDescent="0.3">
      <c r="B105" s="1" t="s">
        <v>9</v>
      </c>
      <c r="C105" s="2">
        <f>SUM(E105:AK105)</f>
        <v>0</v>
      </c>
      <c r="D105" s="50" t="s">
        <v>6</v>
      </c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8"/>
      <c r="AE105" s="58"/>
      <c r="AF105" s="58"/>
      <c r="AG105" s="59"/>
      <c r="AH105" s="59"/>
      <c r="AI105" s="58"/>
      <c r="AJ105" s="58"/>
      <c r="AK105" s="58"/>
      <c r="AL105" s="2"/>
      <c r="AM105" s="2"/>
      <c r="AN105" s="2"/>
      <c r="AO105" s="2"/>
      <c r="AP105" s="2"/>
    </row>
    <row r="106" spans="2:44" outlineLevel="1" x14ac:dyDescent="0.3">
      <c r="B106" s="1" t="s">
        <v>10</v>
      </c>
      <c r="C106" s="2">
        <f>SUM(E106:AK106)</f>
        <v>0</v>
      </c>
      <c r="D106" s="50" t="s">
        <v>8</v>
      </c>
      <c r="E106" s="58">
        <v>0</v>
      </c>
      <c r="F106" s="58">
        <v>0</v>
      </c>
      <c r="G106" s="58">
        <v>0</v>
      </c>
      <c r="H106" s="58">
        <v>0</v>
      </c>
      <c r="I106" s="58">
        <v>0</v>
      </c>
      <c r="J106" s="58">
        <v>0</v>
      </c>
      <c r="K106" s="58">
        <v>0</v>
      </c>
      <c r="L106" s="58">
        <v>0</v>
      </c>
      <c r="M106" s="58">
        <v>0</v>
      </c>
      <c r="N106" s="58">
        <v>0</v>
      </c>
      <c r="O106" s="58">
        <v>0</v>
      </c>
      <c r="P106" s="58">
        <v>0</v>
      </c>
      <c r="Q106" s="58">
        <v>0</v>
      </c>
      <c r="R106" s="58">
        <v>0</v>
      </c>
      <c r="S106" s="58">
        <v>0</v>
      </c>
      <c r="T106" s="58">
        <v>0</v>
      </c>
      <c r="U106" s="58">
        <v>0</v>
      </c>
      <c r="V106" s="58">
        <v>0</v>
      </c>
      <c r="W106" s="58">
        <v>0</v>
      </c>
      <c r="X106" s="58">
        <v>0</v>
      </c>
      <c r="Y106" s="58">
        <v>0</v>
      </c>
      <c r="Z106" s="58">
        <v>0</v>
      </c>
      <c r="AA106" s="58">
        <v>0</v>
      </c>
      <c r="AB106" s="58">
        <v>0</v>
      </c>
      <c r="AC106" s="58">
        <v>0</v>
      </c>
      <c r="AD106" s="58">
        <v>0</v>
      </c>
      <c r="AE106" s="58">
        <v>0</v>
      </c>
      <c r="AF106" s="58">
        <v>0</v>
      </c>
      <c r="AG106" s="58"/>
      <c r="AH106" s="58"/>
      <c r="AI106" s="58"/>
      <c r="AJ106" s="58"/>
      <c r="AK106" s="58"/>
      <c r="AL106" s="2"/>
      <c r="AM106" s="2"/>
      <c r="AN106" s="2"/>
      <c r="AO106" s="2"/>
      <c r="AP106" s="2"/>
    </row>
    <row r="107" spans="2:44" outlineLevel="1" x14ac:dyDescent="0.3">
      <c r="B107" s="1" t="s">
        <v>11</v>
      </c>
      <c r="C107" s="2">
        <f>SUM(E107:AK107)</f>
        <v>0</v>
      </c>
      <c r="D107" s="50" t="s">
        <v>12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2:44" outlineLevel="1" x14ac:dyDescent="0.3">
      <c r="C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2:44" outlineLevel="1" x14ac:dyDescent="0.3">
      <c r="B109" s="14" t="s">
        <v>38</v>
      </c>
      <c r="C109" s="14" t="s">
        <v>3</v>
      </c>
      <c r="D109" s="14" t="s">
        <v>36</v>
      </c>
      <c r="E109" s="14">
        <f t="shared" ref="E109:AC109" si="62">E23</f>
        <v>2022</v>
      </c>
      <c r="F109" s="14">
        <f t="shared" si="62"/>
        <v>2023</v>
      </c>
      <c r="G109" s="14">
        <f t="shared" si="62"/>
        <v>2024</v>
      </c>
      <c r="H109" s="14">
        <f t="shared" si="62"/>
        <v>2025</v>
      </c>
      <c r="I109" s="14">
        <f t="shared" si="62"/>
        <v>2026</v>
      </c>
      <c r="J109" s="14">
        <f t="shared" si="62"/>
        <v>2027</v>
      </c>
      <c r="K109" s="14">
        <f t="shared" si="62"/>
        <v>2028</v>
      </c>
      <c r="L109" s="14">
        <f t="shared" si="62"/>
        <v>2029</v>
      </c>
      <c r="M109" s="14">
        <f t="shared" si="62"/>
        <v>2030</v>
      </c>
      <c r="N109" s="14">
        <f t="shared" si="62"/>
        <v>2031</v>
      </c>
      <c r="O109" s="14">
        <f t="shared" si="62"/>
        <v>2032</v>
      </c>
      <c r="P109" s="14">
        <f t="shared" si="62"/>
        <v>2033</v>
      </c>
      <c r="Q109" s="14">
        <f t="shared" si="62"/>
        <v>2034</v>
      </c>
      <c r="R109" s="14">
        <f t="shared" si="62"/>
        <v>2035</v>
      </c>
      <c r="S109" s="14">
        <f t="shared" si="62"/>
        <v>2036</v>
      </c>
      <c r="T109" s="14">
        <f t="shared" si="62"/>
        <v>2037</v>
      </c>
      <c r="U109" s="14">
        <f t="shared" si="62"/>
        <v>2038</v>
      </c>
      <c r="V109" s="14">
        <f t="shared" si="62"/>
        <v>2039</v>
      </c>
      <c r="W109" s="14">
        <f t="shared" si="62"/>
        <v>2040</v>
      </c>
      <c r="X109" s="14">
        <f t="shared" si="62"/>
        <v>2041</v>
      </c>
      <c r="Y109" s="14">
        <f t="shared" si="62"/>
        <v>2042</v>
      </c>
      <c r="Z109" s="14">
        <f t="shared" si="62"/>
        <v>2043</v>
      </c>
      <c r="AA109" s="14">
        <f t="shared" si="62"/>
        <v>2044</v>
      </c>
      <c r="AB109" s="14">
        <f t="shared" si="62"/>
        <v>2045</v>
      </c>
      <c r="AC109" s="14">
        <f t="shared" si="62"/>
        <v>2046</v>
      </c>
      <c r="AD109" s="14">
        <f t="shared" ref="AD109:AK109" si="63">AD23</f>
        <v>2047</v>
      </c>
      <c r="AE109" s="14">
        <f t="shared" si="63"/>
        <v>2048</v>
      </c>
      <c r="AF109" s="14">
        <f t="shared" si="63"/>
        <v>2049</v>
      </c>
      <c r="AG109" s="14">
        <f t="shared" si="63"/>
        <v>2050</v>
      </c>
      <c r="AH109" s="14">
        <f t="shared" si="63"/>
        <v>2051</v>
      </c>
      <c r="AI109" s="14">
        <f t="shared" si="63"/>
        <v>2052</v>
      </c>
      <c r="AJ109" s="14">
        <f t="shared" si="63"/>
        <v>2053</v>
      </c>
      <c r="AK109" s="14">
        <f t="shared" si="63"/>
        <v>2054</v>
      </c>
      <c r="AL109" s="2"/>
    </row>
    <row r="110" spans="2:44" outlineLevel="1" x14ac:dyDescent="0.3">
      <c r="B110" s="1" t="s">
        <v>5</v>
      </c>
      <c r="C110" s="2">
        <f>SUM(E110:AK110)</f>
        <v>0</v>
      </c>
      <c r="D110" s="50" t="s">
        <v>6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2:44" outlineLevel="1" x14ac:dyDescent="0.3">
      <c r="B111" s="1" t="s">
        <v>7</v>
      </c>
      <c r="C111" s="2">
        <f>SUM(E111:AK111)</f>
        <v>0</v>
      </c>
      <c r="D111" s="50" t="s">
        <v>8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2:44" outlineLevel="1" x14ac:dyDescent="0.3">
      <c r="B112" s="1" t="s">
        <v>9</v>
      </c>
      <c r="C112" s="2">
        <f>SUM(E112:AK112)</f>
        <v>0</v>
      </c>
      <c r="D112" s="50" t="s">
        <v>6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2:38" outlineLevel="1" x14ac:dyDescent="0.3">
      <c r="B113" s="1" t="s">
        <v>10</v>
      </c>
      <c r="C113" s="2">
        <f>SUM(E113:AK113)</f>
        <v>0</v>
      </c>
      <c r="D113" s="50" t="s">
        <v>8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2:38" x14ac:dyDescent="0.3">
      <c r="C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2:38" ht="15" x14ac:dyDescent="0.3">
      <c r="B115" s="12" t="s">
        <v>66</v>
      </c>
      <c r="C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2:38" outlineLevel="1" x14ac:dyDescent="0.3">
      <c r="B116" s="14" t="s">
        <v>67</v>
      </c>
      <c r="C116" s="14" t="s">
        <v>3</v>
      </c>
      <c r="D116" s="14" t="s">
        <v>4</v>
      </c>
      <c r="E116" s="14">
        <f t="shared" ref="E116:AC116" si="64">E23</f>
        <v>2022</v>
      </c>
      <c r="F116" s="14">
        <f t="shared" si="64"/>
        <v>2023</v>
      </c>
      <c r="G116" s="14">
        <f t="shared" si="64"/>
        <v>2024</v>
      </c>
      <c r="H116" s="14">
        <f t="shared" si="64"/>
        <v>2025</v>
      </c>
      <c r="I116" s="14">
        <f t="shared" si="64"/>
        <v>2026</v>
      </c>
      <c r="J116" s="14">
        <f t="shared" si="64"/>
        <v>2027</v>
      </c>
      <c r="K116" s="14">
        <f t="shared" si="64"/>
        <v>2028</v>
      </c>
      <c r="L116" s="14">
        <f t="shared" si="64"/>
        <v>2029</v>
      </c>
      <c r="M116" s="14">
        <f t="shared" si="64"/>
        <v>2030</v>
      </c>
      <c r="N116" s="14">
        <f t="shared" si="64"/>
        <v>2031</v>
      </c>
      <c r="O116" s="14">
        <f t="shared" si="64"/>
        <v>2032</v>
      </c>
      <c r="P116" s="14">
        <f t="shared" si="64"/>
        <v>2033</v>
      </c>
      <c r="Q116" s="14">
        <f t="shared" si="64"/>
        <v>2034</v>
      </c>
      <c r="R116" s="14">
        <f t="shared" si="64"/>
        <v>2035</v>
      </c>
      <c r="S116" s="14">
        <f t="shared" si="64"/>
        <v>2036</v>
      </c>
      <c r="T116" s="14">
        <f t="shared" si="64"/>
        <v>2037</v>
      </c>
      <c r="U116" s="14">
        <f t="shared" si="64"/>
        <v>2038</v>
      </c>
      <c r="V116" s="14">
        <f t="shared" si="64"/>
        <v>2039</v>
      </c>
      <c r="W116" s="14">
        <f t="shared" si="64"/>
        <v>2040</v>
      </c>
      <c r="X116" s="14">
        <f t="shared" si="64"/>
        <v>2041</v>
      </c>
      <c r="Y116" s="14">
        <f t="shared" si="64"/>
        <v>2042</v>
      </c>
      <c r="Z116" s="14">
        <f t="shared" si="64"/>
        <v>2043</v>
      </c>
      <c r="AA116" s="14">
        <f t="shared" si="64"/>
        <v>2044</v>
      </c>
      <c r="AB116" s="14">
        <f t="shared" si="64"/>
        <v>2045</v>
      </c>
      <c r="AC116" s="14">
        <f t="shared" si="64"/>
        <v>2046</v>
      </c>
      <c r="AD116" s="14">
        <f t="shared" ref="AD116:AK116" si="65">AD23</f>
        <v>2047</v>
      </c>
      <c r="AE116" s="14">
        <f t="shared" si="65"/>
        <v>2048</v>
      </c>
      <c r="AF116" s="14">
        <f t="shared" si="65"/>
        <v>2049</v>
      </c>
      <c r="AG116" s="14">
        <f t="shared" si="65"/>
        <v>2050</v>
      </c>
      <c r="AH116" s="14">
        <f t="shared" si="65"/>
        <v>2051</v>
      </c>
      <c r="AI116" s="14">
        <f t="shared" si="65"/>
        <v>2052</v>
      </c>
      <c r="AJ116" s="14">
        <f t="shared" si="65"/>
        <v>2053</v>
      </c>
      <c r="AK116" s="14">
        <f t="shared" si="65"/>
        <v>2054</v>
      </c>
    </row>
    <row r="117" spans="2:38" outlineLevel="1" x14ac:dyDescent="0.3">
      <c r="B117" s="20" t="s">
        <v>22</v>
      </c>
      <c r="C117" s="30">
        <f>SUM(E117:AK117)</f>
        <v>262.49299999999999</v>
      </c>
      <c r="D117" s="50" t="s">
        <v>0</v>
      </c>
      <c r="E117" s="58">
        <v>262.49299999999999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</row>
    <row r="118" spans="2:38" outlineLevel="1" x14ac:dyDescent="0.3">
      <c r="B118" s="20" t="s">
        <v>23</v>
      </c>
      <c r="C118" s="30">
        <f t="shared" ref="C118:C130" si="66">SUM(E118:AK118)</f>
        <v>0</v>
      </c>
      <c r="D118" s="50" t="s">
        <v>0</v>
      </c>
      <c r="E118" s="58">
        <v>0</v>
      </c>
      <c r="F118" s="30"/>
      <c r="G118" s="30"/>
      <c r="H118" s="30"/>
      <c r="I118" s="30"/>
      <c r="J118" s="30"/>
      <c r="K118" s="30"/>
      <c r="L118" s="30"/>
      <c r="M118" s="30"/>
      <c r="N118" s="30"/>
      <c r="O118" s="30"/>
    </row>
    <row r="119" spans="2:38" outlineLevel="1" x14ac:dyDescent="0.3">
      <c r="B119" s="20" t="s">
        <v>24</v>
      </c>
      <c r="C119" s="30">
        <f t="shared" si="66"/>
        <v>0</v>
      </c>
      <c r="D119" s="50" t="s">
        <v>0</v>
      </c>
      <c r="E119" s="58">
        <v>0</v>
      </c>
      <c r="F119" s="30"/>
      <c r="G119" s="30"/>
      <c r="H119" s="30"/>
      <c r="I119" s="30"/>
      <c r="J119" s="30"/>
      <c r="K119" s="30"/>
      <c r="L119" s="30"/>
      <c r="M119" s="30"/>
      <c r="N119" s="30"/>
      <c r="O119" s="30"/>
    </row>
    <row r="120" spans="2:38" outlineLevel="1" x14ac:dyDescent="0.3">
      <c r="B120" s="20" t="s">
        <v>25</v>
      </c>
      <c r="C120" s="30">
        <f t="shared" si="66"/>
        <v>0</v>
      </c>
      <c r="D120" s="50" t="s">
        <v>0</v>
      </c>
      <c r="E120" s="58">
        <v>0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</row>
    <row r="121" spans="2:38" outlineLevel="1" x14ac:dyDescent="0.3">
      <c r="B121" s="20" t="s">
        <v>26</v>
      </c>
      <c r="C121" s="30">
        <f t="shared" si="66"/>
        <v>0</v>
      </c>
      <c r="D121" s="50" t="s">
        <v>0</v>
      </c>
      <c r="E121" s="58">
        <v>0</v>
      </c>
      <c r="F121" s="30"/>
      <c r="G121" s="30"/>
      <c r="H121" s="30"/>
      <c r="I121" s="30"/>
      <c r="J121" s="30"/>
      <c r="K121" s="30"/>
      <c r="L121" s="30"/>
      <c r="M121" s="30"/>
      <c r="N121" s="30"/>
      <c r="O121" s="30"/>
    </row>
    <row r="122" spans="2:38" outlineLevel="1" x14ac:dyDescent="0.3">
      <c r="B122" s="20" t="s">
        <v>27</v>
      </c>
      <c r="C122" s="30">
        <f t="shared" si="66"/>
        <v>0</v>
      </c>
      <c r="D122" s="50" t="s">
        <v>0</v>
      </c>
      <c r="E122" s="58">
        <v>0</v>
      </c>
      <c r="F122" s="30"/>
      <c r="G122" s="30"/>
      <c r="H122" s="30"/>
      <c r="I122" s="30"/>
      <c r="J122" s="30"/>
      <c r="K122" s="30"/>
      <c r="L122" s="30"/>
      <c r="M122" s="30"/>
      <c r="N122" s="30"/>
      <c r="O122" s="30"/>
    </row>
    <row r="123" spans="2:38" outlineLevel="1" x14ac:dyDescent="0.3">
      <c r="B123" s="20" t="s">
        <v>28</v>
      </c>
      <c r="C123" s="30">
        <f t="shared" si="66"/>
        <v>0</v>
      </c>
      <c r="D123" s="50" t="s">
        <v>0</v>
      </c>
      <c r="E123" s="58">
        <v>0</v>
      </c>
      <c r="F123" s="30"/>
      <c r="G123" s="30"/>
      <c r="H123" s="30"/>
      <c r="I123" s="30"/>
      <c r="J123" s="30"/>
      <c r="K123" s="30"/>
      <c r="L123" s="30"/>
      <c r="M123" s="30"/>
      <c r="N123" s="30"/>
      <c r="O123" s="30"/>
    </row>
    <row r="124" spans="2:38" outlineLevel="1" x14ac:dyDescent="0.3">
      <c r="B124" s="20" t="s">
        <v>29</v>
      </c>
      <c r="C124" s="30">
        <f t="shared" si="66"/>
        <v>180</v>
      </c>
      <c r="D124" s="50" t="s">
        <v>0</v>
      </c>
      <c r="E124" s="58">
        <v>180</v>
      </c>
      <c r="F124" s="30"/>
      <c r="G124" s="30"/>
      <c r="H124" s="30"/>
      <c r="I124" s="30"/>
      <c r="J124" s="30"/>
      <c r="K124" s="30"/>
      <c r="L124" s="30"/>
      <c r="M124" s="30"/>
      <c r="N124" s="30"/>
      <c r="O124" s="30"/>
    </row>
    <row r="125" spans="2:38" outlineLevel="1" x14ac:dyDescent="0.3">
      <c r="B125" s="20" t="s">
        <v>30</v>
      </c>
      <c r="C125" s="30">
        <f t="shared" si="66"/>
        <v>0</v>
      </c>
      <c r="D125" s="50" t="s">
        <v>0</v>
      </c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</row>
    <row r="126" spans="2:38" outlineLevel="1" x14ac:dyDescent="0.3">
      <c r="B126" s="20" t="s">
        <v>31</v>
      </c>
      <c r="C126" s="30">
        <f t="shared" si="66"/>
        <v>0</v>
      </c>
      <c r="D126" s="50" t="s">
        <v>0</v>
      </c>
      <c r="E126" s="30"/>
      <c r="G126" s="30"/>
      <c r="H126" s="30"/>
      <c r="I126" s="30"/>
      <c r="J126" s="30"/>
      <c r="K126" s="30"/>
      <c r="L126" s="30"/>
      <c r="M126" s="30"/>
      <c r="N126" s="30"/>
      <c r="O126" s="30"/>
    </row>
    <row r="127" spans="2:38" outlineLevel="1" x14ac:dyDescent="0.3">
      <c r="B127" s="20" t="s">
        <v>39</v>
      </c>
      <c r="C127" s="30">
        <f t="shared" si="66"/>
        <v>0</v>
      </c>
      <c r="D127" s="50" t="s">
        <v>0</v>
      </c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</row>
    <row r="128" spans="2:38" outlineLevel="1" x14ac:dyDescent="0.3">
      <c r="B128" s="20" t="s">
        <v>33</v>
      </c>
      <c r="C128" s="30">
        <f t="shared" si="66"/>
        <v>0</v>
      </c>
      <c r="D128" s="50" t="s">
        <v>0</v>
      </c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</row>
    <row r="129" spans="2:37" outlineLevel="1" x14ac:dyDescent="0.3">
      <c r="B129" s="20" t="s">
        <v>34</v>
      </c>
      <c r="C129" s="30">
        <f t="shared" si="66"/>
        <v>0</v>
      </c>
      <c r="D129" s="50" t="s">
        <v>0</v>
      </c>
      <c r="E129" s="58">
        <v>0</v>
      </c>
      <c r="F129" s="30"/>
      <c r="G129" s="30"/>
      <c r="H129" s="30"/>
      <c r="I129" s="30"/>
      <c r="J129" s="30"/>
      <c r="K129" s="30"/>
      <c r="L129" s="30"/>
      <c r="M129" s="30"/>
      <c r="N129" s="30"/>
      <c r="O129" s="30"/>
    </row>
    <row r="130" spans="2:37" outlineLevel="1" x14ac:dyDescent="0.3">
      <c r="B130" s="45" t="s">
        <v>3</v>
      </c>
      <c r="C130" s="30">
        <f t="shared" si="66"/>
        <v>442.49299999999999</v>
      </c>
      <c r="D130" s="50" t="s">
        <v>0</v>
      </c>
      <c r="E130" s="58">
        <f>SUM(E117:E129)</f>
        <v>442.49299999999999</v>
      </c>
      <c r="F130" s="30"/>
      <c r="G130" s="30"/>
      <c r="H130" s="30"/>
      <c r="I130" s="30"/>
      <c r="J130" s="30"/>
      <c r="K130" s="30"/>
      <c r="L130" s="30"/>
      <c r="M130" s="30"/>
      <c r="N130" s="30"/>
      <c r="O130" s="30"/>
    </row>
    <row r="131" spans="2:37" ht="17.399999999999999" outlineLevel="1" x14ac:dyDescent="0.3">
      <c r="B131" s="29"/>
      <c r="C131" s="31"/>
      <c r="E131" s="32"/>
      <c r="F131" s="32"/>
      <c r="G131" s="32"/>
      <c r="H131" s="32"/>
      <c r="I131" s="32"/>
      <c r="J131" s="32"/>
      <c r="K131" s="32"/>
      <c r="L131" s="32"/>
      <c r="M131" s="32"/>
    </row>
    <row r="132" spans="2:37" outlineLevel="1" x14ac:dyDescent="0.3">
      <c r="B132" s="33"/>
      <c r="D132" s="29"/>
      <c r="E132" s="34">
        <f>D8</f>
        <v>1</v>
      </c>
      <c r="F132" s="34">
        <f t="shared" ref="F132:AK132" si="67">E8</f>
        <v>1</v>
      </c>
      <c r="G132" s="34">
        <f t="shared" si="67"/>
        <v>1</v>
      </c>
      <c r="H132" s="34">
        <f t="shared" si="67"/>
        <v>1</v>
      </c>
      <c r="I132" s="34">
        <f t="shared" si="67"/>
        <v>1.0249999999999999</v>
      </c>
      <c r="J132" s="34">
        <f t="shared" si="67"/>
        <v>1.0506249999999999</v>
      </c>
      <c r="K132" s="34">
        <f t="shared" si="67"/>
        <v>1.0768906249999999</v>
      </c>
      <c r="L132" s="34">
        <f t="shared" si="67"/>
        <v>1.1038128906249998</v>
      </c>
      <c r="M132" s="34">
        <f t="shared" si="67"/>
        <v>1.1314082128906247</v>
      </c>
      <c r="N132" s="34">
        <f t="shared" si="67"/>
        <v>1.1596934182128902</v>
      </c>
      <c r="O132" s="34">
        <f t="shared" si="67"/>
        <v>1.1886857536682125</v>
      </c>
      <c r="P132" s="34">
        <f t="shared" si="67"/>
        <v>1.2184028975099177</v>
      </c>
      <c r="Q132" s="34">
        <f t="shared" si="67"/>
        <v>1.2488629699476654</v>
      </c>
      <c r="R132" s="34">
        <f t="shared" si="67"/>
        <v>1.2800845441963571</v>
      </c>
      <c r="S132" s="34">
        <f t="shared" si="67"/>
        <v>1.312086657801266</v>
      </c>
      <c r="T132" s="34">
        <f t="shared" si="67"/>
        <v>1.3448888242462975</v>
      </c>
      <c r="U132" s="34">
        <f t="shared" si="67"/>
        <v>1.3785110448524549</v>
      </c>
      <c r="V132" s="34">
        <f t="shared" si="67"/>
        <v>1.4129738209737661</v>
      </c>
      <c r="W132" s="34">
        <f t="shared" si="67"/>
        <v>1.4482981664981105</v>
      </c>
      <c r="X132" s="34">
        <f t="shared" si="67"/>
        <v>1.4845056206605631</v>
      </c>
      <c r="Y132" s="34">
        <f t="shared" si="67"/>
        <v>1.521618261177077</v>
      </c>
      <c r="Z132" s="34">
        <f t="shared" si="67"/>
        <v>1.559658717706504</v>
      </c>
      <c r="AA132" s="34">
        <f t="shared" si="67"/>
        <v>1.5986501856491666</v>
      </c>
      <c r="AB132" s="34">
        <f t="shared" si="67"/>
        <v>1.6386164402903955</v>
      </c>
      <c r="AC132" s="34">
        <f t="shared" si="67"/>
        <v>1.6795818512976552</v>
      </c>
      <c r="AD132" s="34">
        <f t="shared" si="67"/>
        <v>1.7215713975800966</v>
      </c>
      <c r="AE132" s="34">
        <f t="shared" si="67"/>
        <v>1.7646106825195991</v>
      </c>
      <c r="AF132" s="34">
        <f t="shared" si="67"/>
        <v>1.8087259495825889</v>
      </c>
      <c r="AG132" s="34">
        <f t="shared" si="67"/>
        <v>1.8539440983221533</v>
      </c>
      <c r="AH132" s="34">
        <f t="shared" si="67"/>
        <v>1.9002927007802071</v>
      </c>
      <c r="AI132" s="34">
        <f t="shared" si="67"/>
        <v>1.9478000182997122</v>
      </c>
      <c r="AJ132" s="34">
        <f t="shared" si="67"/>
        <v>1.9964950187572048</v>
      </c>
      <c r="AK132" s="34">
        <f t="shared" si="67"/>
        <v>2.0464073942261352</v>
      </c>
    </row>
    <row r="133" spans="2:37" outlineLevel="1" x14ac:dyDescent="0.3">
      <c r="B133" s="14" t="s">
        <v>68</v>
      </c>
      <c r="C133" s="14" t="s">
        <v>3</v>
      </c>
      <c r="D133" s="14" t="s">
        <v>4</v>
      </c>
      <c r="E133" s="14">
        <f t="shared" ref="E133:O133" si="68">E23</f>
        <v>2022</v>
      </c>
      <c r="F133" s="14">
        <f t="shared" si="68"/>
        <v>2023</v>
      </c>
      <c r="G133" s="14">
        <f t="shared" si="68"/>
        <v>2024</v>
      </c>
      <c r="H133" s="14">
        <f t="shared" si="68"/>
        <v>2025</v>
      </c>
      <c r="I133" s="14">
        <f t="shared" si="68"/>
        <v>2026</v>
      </c>
      <c r="J133" s="14">
        <f t="shared" si="68"/>
        <v>2027</v>
      </c>
      <c r="K133" s="14">
        <f t="shared" si="68"/>
        <v>2028</v>
      </c>
      <c r="L133" s="14">
        <f t="shared" si="68"/>
        <v>2029</v>
      </c>
      <c r="M133" s="14">
        <f t="shared" si="68"/>
        <v>2030</v>
      </c>
      <c r="N133" s="14">
        <f t="shared" si="68"/>
        <v>2031</v>
      </c>
      <c r="O133" s="14">
        <f t="shared" si="68"/>
        <v>2032</v>
      </c>
      <c r="P133" s="14">
        <f t="shared" ref="P133:AK133" si="69">P23</f>
        <v>2033</v>
      </c>
      <c r="Q133" s="14">
        <f t="shared" si="69"/>
        <v>2034</v>
      </c>
      <c r="R133" s="14">
        <f t="shared" si="69"/>
        <v>2035</v>
      </c>
      <c r="S133" s="14">
        <f t="shared" si="69"/>
        <v>2036</v>
      </c>
      <c r="T133" s="14">
        <f t="shared" si="69"/>
        <v>2037</v>
      </c>
      <c r="U133" s="14">
        <f t="shared" si="69"/>
        <v>2038</v>
      </c>
      <c r="V133" s="14">
        <f t="shared" si="69"/>
        <v>2039</v>
      </c>
      <c r="W133" s="14">
        <f t="shared" si="69"/>
        <v>2040</v>
      </c>
      <c r="X133" s="14">
        <f t="shared" si="69"/>
        <v>2041</v>
      </c>
      <c r="Y133" s="14">
        <f t="shared" si="69"/>
        <v>2042</v>
      </c>
      <c r="Z133" s="14">
        <f t="shared" si="69"/>
        <v>2043</v>
      </c>
      <c r="AA133" s="14">
        <f t="shared" si="69"/>
        <v>2044</v>
      </c>
      <c r="AB133" s="14">
        <f t="shared" si="69"/>
        <v>2045</v>
      </c>
      <c r="AC133" s="14">
        <f t="shared" si="69"/>
        <v>2046</v>
      </c>
      <c r="AD133" s="14">
        <f>AD23</f>
        <v>2047</v>
      </c>
      <c r="AE133" s="14">
        <f>AE23</f>
        <v>2048</v>
      </c>
      <c r="AF133" s="14">
        <f t="shared" si="69"/>
        <v>2049</v>
      </c>
      <c r="AG133" s="14">
        <f t="shared" si="69"/>
        <v>2050</v>
      </c>
      <c r="AH133" s="14">
        <f t="shared" si="69"/>
        <v>2051</v>
      </c>
      <c r="AI133" s="14">
        <f t="shared" si="69"/>
        <v>2052</v>
      </c>
      <c r="AJ133" s="14">
        <f t="shared" si="69"/>
        <v>2053</v>
      </c>
      <c r="AK133" s="14">
        <f t="shared" si="69"/>
        <v>2054</v>
      </c>
    </row>
    <row r="134" spans="2:37" outlineLevel="1" x14ac:dyDescent="0.3">
      <c r="B134" s="20" t="s">
        <v>22</v>
      </c>
      <c r="C134" s="35">
        <f>SUM(E134:AK134)</f>
        <v>404.32013482812494</v>
      </c>
      <c r="D134" s="50" t="s">
        <v>0</v>
      </c>
      <c r="E134" s="60">
        <f>E187*E$132</f>
        <v>0</v>
      </c>
      <c r="F134" s="60">
        <f t="shared" ref="F134:G134" si="70">F187*F$132</f>
        <v>0</v>
      </c>
      <c r="G134" s="60">
        <f t="shared" si="70"/>
        <v>0</v>
      </c>
      <c r="H134" s="60">
        <f t="shared" ref="H134:AK134" si="71">H187*H$132</f>
        <v>0</v>
      </c>
      <c r="I134" s="60">
        <f t="shared" si="71"/>
        <v>0</v>
      </c>
      <c r="J134" s="60">
        <f t="shared" si="71"/>
        <v>38.662999999999997</v>
      </c>
      <c r="K134" s="60">
        <f t="shared" si="71"/>
        <v>118.88872499999999</v>
      </c>
      <c r="L134" s="60">
        <f t="shared" si="71"/>
        <v>121.86094312499998</v>
      </c>
      <c r="M134" s="60">
        <f t="shared" si="71"/>
        <v>124.90746670312497</v>
      </c>
      <c r="N134" s="60">
        <f t="shared" si="71"/>
        <v>0</v>
      </c>
      <c r="O134" s="60">
        <f t="shared" si="71"/>
        <v>0</v>
      </c>
      <c r="P134" s="60">
        <f t="shared" si="71"/>
        <v>0</v>
      </c>
      <c r="Q134" s="60">
        <f t="shared" si="71"/>
        <v>0</v>
      </c>
      <c r="R134" s="60">
        <f t="shared" si="71"/>
        <v>0</v>
      </c>
      <c r="S134" s="60">
        <f t="shared" si="71"/>
        <v>0</v>
      </c>
      <c r="T134" s="60">
        <f t="shared" si="71"/>
        <v>0</v>
      </c>
      <c r="U134" s="60">
        <f t="shared" si="71"/>
        <v>0</v>
      </c>
      <c r="V134" s="60">
        <f t="shared" si="71"/>
        <v>0</v>
      </c>
      <c r="W134" s="60">
        <f t="shared" si="71"/>
        <v>0</v>
      </c>
      <c r="X134" s="60">
        <f t="shared" si="71"/>
        <v>0</v>
      </c>
      <c r="Y134" s="60">
        <f t="shared" si="71"/>
        <v>0</v>
      </c>
      <c r="Z134" s="60">
        <f t="shared" si="71"/>
        <v>0</v>
      </c>
      <c r="AA134" s="60">
        <f t="shared" si="71"/>
        <v>0</v>
      </c>
      <c r="AB134" s="60">
        <f t="shared" si="71"/>
        <v>0</v>
      </c>
      <c r="AC134" s="60">
        <f t="shared" si="71"/>
        <v>0</v>
      </c>
      <c r="AD134" s="60">
        <f t="shared" si="71"/>
        <v>0</v>
      </c>
      <c r="AE134" s="60">
        <f t="shared" si="71"/>
        <v>0</v>
      </c>
      <c r="AF134" s="60">
        <f t="shared" si="71"/>
        <v>0</v>
      </c>
      <c r="AG134" s="60">
        <f t="shared" si="71"/>
        <v>0</v>
      </c>
      <c r="AH134" s="60">
        <f t="shared" si="71"/>
        <v>0</v>
      </c>
      <c r="AI134" s="60">
        <f t="shared" si="71"/>
        <v>0</v>
      </c>
      <c r="AJ134" s="60">
        <f t="shared" si="71"/>
        <v>0</v>
      </c>
      <c r="AK134" s="60">
        <f t="shared" si="71"/>
        <v>0</v>
      </c>
    </row>
    <row r="135" spans="2:37" outlineLevel="1" x14ac:dyDescent="0.3">
      <c r="B135" s="20" t="s">
        <v>23</v>
      </c>
      <c r="C135" s="35">
        <f t="shared" ref="C135:C147" si="72">SUM(E135:AK135)</f>
        <v>1017.7034686328122</v>
      </c>
      <c r="D135" s="50" t="s">
        <v>0</v>
      </c>
      <c r="E135" s="60">
        <f t="shared" ref="E135:T146" si="73">E188*E$132</f>
        <v>0</v>
      </c>
      <c r="F135" s="60">
        <f t="shared" si="73"/>
        <v>0</v>
      </c>
      <c r="G135" s="60">
        <f t="shared" si="73"/>
        <v>0</v>
      </c>
      <c r="H135" s="60">
        <f t="shared" si="73"/>
        <v>0</v>
      </c>
      <c r="I135" s="60">
        <f t="shared" si="73"/>
        <v>0</v>
      </c>
      <c r="J135" s="60">
        <f t="shared" si="73"/>
        <v>97.077749999999995</v>
      </c>
      <c r="K135" s="60">
        <f t="shared" si="73"/>
        <v>232.17761874999997</v>
      </c>
      <c r="L135" s="60">
        <f t="shared" si="73"/>
        <v>339.9743703124999</v>
      </c>
      <c r="M135" s="60">
        <f t="shared" si="73"/>
        <v>348.4737295703124</v>
      </c>
      <c r="N135" s="60">
        <f t="shared" si="73"/>
        <v>0</v>
      </c>
      <c r="O135" s="60">
        <f t="shared" si="73"/>
        <v>0</v>
      </c>
      <c r="P135" s="60">
        <f t="shared" si="73"/>
        <v>0</v>
      </c>
      <c r="Q135" s="60">
        <f t="shared" si="73"/>
        <v>0</v>
      </c>
      <c r="R135" s="60">
        <f t="shared" si="73"/>
        <v>0</v>
      </c>
      <c r="S135" s="60">
        <f t="shared" si="73"/>
        <v>0</v>
      </c>
      <c r="T135" s="60">
        <f t="shared" si="73"/>
        <v>0</v>
      </c>
      <c r="U135" s="60">
        <f t="shared" ref="U135:AK135" si="74">U188*U$132</f>
        <v>0</v>
      </c>
      <c r="V135" s="60">
        <f t="shared" si="74"/>
        <v>0</v>
      </c>
      <c r="W135" s="60">
        <f t="shared" si="74"/>
        <v>0</v>
      </c>
      <c r="X135" s="60">
        <f t="shared" si="74"/>
        <v>0</v>
      </c>
      <c r="Y135" s="60">
        <f t="shared" si="74"/>
        <v>0</v>
      </c>
      <c r="Z135" s="60">
        <f t="shared" si="74"/>
        <v>0</v>
      </c>
      <c r="AA135" s="60">
        <f t="shared" si="74"/>
        <v>0</v>
      </c>
      <c r="AB135" s="60">
        <f t="shared" si="74"/>
        <v>0</v>
      </c>
      <c r="AC135" s="60">
        <f t="shared" si="74"/>
        <v>0</v>
      </c>
      <c r="AD135" s="60">
        <f t="shared" si="74"/>
        <v>0</v>
      </c>
      <c r="AE135" s="60">
        <f t="shared" si="74"/>
        <v>0</v>
      </c>
      <c r="AF135" s="60">
        <f t="shared" si="74"/>
        <v>0</v>
      </c>
      <c r="AG135" s="60">
        <f t="shared" si="74"/>
        <v>0</v>
      </c>
      <c r="AH135" s="60">
        <f t="shared" si="74"/>
        <v>0</v>
      </c>
      <c r="AI135" s="60">
        <f t="shared" si="74"/>
        <v>0</v>
      </c>
      <c r="AJ135" s="60">
        <f t="shared" si="74"/>
        <v>0</v>
      </c>
      <c r="AK135" s="60">
        <f t="shared" si="74"/>
        <v>0</v>
      </c>
    </row>
    <row r="136" spans="2:37" outlineLevel="1" x14ac:dyDescent="0.3">
      <c r="B136" s="20" t="s">
        <v>24</v>
      </c>
      <c r="C136" s="35">
        <f t="shared" si="72"/>
        <v>96.282838916992176</v>
      </c>
      <c r="D136" s="50" t="s">
        <v>0</v>
      </c>
      <c r="E136" s="60">
        <f t="shared" si="73"/>
        <v>0</v>
      </c>
      <c r="F136" s="60">
        <f t="shared" si="73"/>
        <v>0</v>
      </c>
      <c r="G136" s="60">
        <f t="shared" si="73"/>
        <v>0</v>
      </c>
      <c r="H136" s="60">
        <f t="shared" si="73"/>
        <v>0</v>
      </c>
      <c r="I136" s="60">
        <f t="shared" si="73"/>
        <v>0</v>
      </c>
      <c r="J136" s="60">
        <f t="shared" si="73"/>
        <v>0</v>
      </c>
      <c r="K136" s="60">
        <f t="shared" si="73"/>
        <v>0</v>
      </c>
      <c r="L136" s="60">
        <f t="shared" si="73"/>
        <v>45.256328515625</v>
      </c>
      <c r="M136" s="60">
        <f t="shared" si="73"/>
        <v>51.026510401367176</v>
      </c>
      <c r="N136" s="60">
        <f t="shared" si="73"/>
        <v>0</v>
      </c>
      <c r="O136" s="60">
        <f t="shared" si="73"/>
        <v>0</v>
      </c>
      <c r="P136" s="60">
        <f t="shared" si="73"/>
        <v>0</v>
      </c>
      <c r="Q136" s="60">
        <f t="shared" si="73"/>
        <v>0</v>
      </c>
      <c r="R136" s="60">
        <f t="shared" si="73"/>
        <v>0</v>
      </c>
      <c r="S136" s="60">
        <f t="shared" si="73"/>
        <v>0</v>
      </c>
      <c r="T136" s="60">
        <f t="shared" si="73"/>
        <v>0</v>
      </c>
      <c r="U136" s="60">
        <f t="shared" ref="U136:AK136" si="75">U189*U$132</f>
        <v>0</v>
      </c>
      <c r="V136" s="60">
        <f t="shared" si="75"/>
        <v>0</v>
      </c>
      <c r="W136" s="60">
        <f t="shared" si="75"/>
        <v>0</v>
      </c>
      <c r="X136" s="60">
        <f t="shared" si="75"/>
        <v>0</v>
      </c>
      <c r="Y136" s="60">
        <f t="shared" si="75"/>
        <v>0</v>
      </c>
      <c r="Z136" s="60">
        <f t="shared" si="75"/>
        <v>0</v>
      </c>
      <c r="AA136" s="60">
        <f t="shared" si="75"/>
        <v>0</v>
      </c>
      <c r="AB136" s="60">
        <f t="shared" si="75"/>
        <v>0</v>
      </c>
      <c r="AC136" s="60">
        <f t="shared" si="75"/>
        <v>0</v>
      </c>
      <c r="AD136" s="60">
        <f t="shared" si="75"/>
        <v>0</v>
      </c>
      <c r="AE136" s="60">
        <f t="shared" si="75"/>
        <v>0</v>
      </c>
      <c r="AF136" s="60">
        <f t="shared" si="75"/>
        <v>0</v>
      </c>
      <c r="AG136" s="60">
        <f t="shared" si="75"/>
        <v>0</v>
      </c>
      <c r="AH136" s="60">
        <f t="shared" si="75"/>
        <v>0</v>
      </c>
      <c r="AI136" s="60">
        <f t="shared" si="75"/>
        <v>0</v>
      </c>
      <c r="AJ136" s="60">
        <f t="shared" si="75"/>
        <v>0</v>
      </c>
      <c r="AK136" s="60">
        <f t="shared" si="75"/>
        <v>0</v>
      </c>
    </row>
    <row r="137" spans="2:37" outlineLevel="1" x14ac:dyDescent="0.3">
      <c r="B137" s="20" t="s">
        <v>25</v>
      </c>
      <c r="C137" s="35">
        <f t="shared" si="72"/>
        <v>6.7975437499999991</v>
      </c>
      <c r="D137" s="50" t="s">
        <v>0</v>
      </c>
      <c r="E137" s="60">
        <f t="shared" si="73"/>
        <v>0</v>
      </c>
      <c r="F137" s="60">
        <f t="shared" si="73"/>
        <v>0</v>
      </c>
      <c r="G137" s="60">
        <f t="shared" si="73"/>
        <v>0</v>
      </c>
      <c r="H137" s="60">
        <f t="shared" si="73"/>
        <v>0</v>
      </c>
      <c r="I137" s="60">
        <f t="shared" si="73"/>
        <v>0</v>
      </c>
      <c r="J137" s="60">
        <f t="shared" si="73"/>
        <v>6.7975437499999991</v>
      </c>
      <c r="K137" s="60">
        <f t="shared" si="73"/>
        <v>0</v>
      </c>
      <c r="L137" s="60">
        <f t="shared" si="73"/>
        <v>0</v>
      </c>
      <c r="M137" s="60">
        <f t="shared" si="73"/>
        <v>0</v>
      </c>
      <c r="N137" s="60">
        <f t="shared" si="73"/>
        <v>0</v>
      </c>
      <c r="O137" s="60">
        <f t="shared" si="73"/>
        <v>0</v>
      </c>
      <c r="P137" s="60">
        <f t="shared" si="73"/>
        <v>0</v>
      </c>
      <c r="Q137" s="60">
        <f t="shared" si="73"/>
        <v>0</v>
      </c>
      <c r="R137" s="60">
        <f t="shared" si="73"/>
        <v>0</v>
      </c>
      <c r="S137" s="60">
        <f t="shared" si="73"/>
        <v>0</v>
      </c>
      <c r="T137" s="60">
        <f t="shared" si="73"/>
        <v>0</v>
      </c>
      <c r="U137" s="60">
        <f t="shared" ref="U137:AK137" si="76">U190*U$132</f>
        <v>0</v>
      </c>
      <c r="V137" s="60">
        <f t="shared" si="76"/>
        <v>0</v>
      </c>
      <c r="W137" s="60">
        <f t="shared" si="76"/>
        <v>0</v>
      </c>
      <c r="X137" s="60">
        <f t="shared" si="76"/>
        <v>0</v>
      </c>
      <c r="Y137" s="60">
        <f t="shared" si="76"/>
        <v>0</v>
      </c>
      <c r="Z137" s="60">
        <f t="shared" si="76"/>
        <v>0</v>
      </c>
      <c r="AA137" s="60">
        <f t="shared" si="76"/>
        <v>0</v>
      </c>
      <c r="AB137" s="60">
        <f t="shared" si="76"/>
        <v>0</v>
      </c>
      <c r="AC137" s="60">
        <f t="shared" si="76"/>
        <v>0</v>
      </c>
      <c r="AD137" s="60">
        <f t="shared" si="76"/>
        <v>0</v>
      </c>
      <c r="AE137" s="60">
        <f t="shared" si="76"/>
        <v>0</v>
      </c>
      <c r="AF137" s="60">
        <f t="shared" si="76"/>
        <v>0</v>
      </c>
      <c r="AG137" s="60">
        <f t="shared" si="76"/>
        <v>0</v>
      </c>
      <c r="AH137" s="60">
        <f t="shared" si="76"/>
        <v>0</v>
      </c>
      <c r="AI137" s="60">
        <f t="shared" si="76"/>
        <v>0</v>
      </c>
      <c r="AJ137" s="60">
        <f t="shared" si="76"/>
        <v>0</v>
      </c>
      <c r="AK137" s="60">
        <f t="shared" si="76"/>
        <v>0</v>
      </c>
    </row>
    <row r="138" spans="2:37" outlineLevel="1" x14ac:dyDescent="0.3">
      <c r="B138" s="20" t="s">
        <v>40</v>
      </c>
      <c r="C138" s="35">
        <f t="shared" si="72"/>
        <v>46.134374999999999</v>
      </c>
      <c r="D138" s="50" t="s">
        <v>0</v>
      </c>
      <c r="E138" s="60">
        <f t="shared" si="73"/>
        <v>0</v>
      </c>
      <c r="F138" s="60">
        <f t="shared" si="73"/>
        <v>0</v>
      </c>
      <c r="G138" s="60">
        <f t="shared" si="73"/>
        <v>0</v>
      </c>
      <c r="H138" s="60">
        <f t="shared" si="73"/>
        <v>15</v>
      </c>
      <c r="I138" s="60">
        <f t="shared" si="73"/>
        <v>15.374999999999998</v>
      </c>
      <c r="J138" s="60">
        <f t="shared" si="73"/>
        <v>15.759374999999999</v>
      </c>
      <c r="K138" s="60">
        <f t="shared" si="73"/>
        <v>0</v>
      </c>
      <c r="L138" s="60">
        <f t="shared" si="73"/>
        <v>0</v>
      </c>
      <c r="M138" s="60">
        <f t="shared" si="73"/>
        <v>0</v>
      </c>
      <c r="N138" s="60">
        <f t="shared" si="73"/>
        <v>0</v>
      </c>
      <c r="O138" s="60">
        <f t="shared" si="73"/>
        <v>0</v>
      </c>
      <c r="P138" s="60">
        <f t="shared" si="73"/>
        <v>0</v>
      </c>
      <c r="Q138" s="60">
        <f t="shared" si="73"/>
        <v>0</v>
      </c>
      <c r="R138" s="60">
        <f t="shared" si="73"/>
        <v>0</v>
      </c>
      <c r="S138" s="60">
        <f t="shared" si="73"/>
        <v>0</v>
      </c>
      <c r="T138" s="60">
        <f t="shared" si="73"/>
        <v>0</v>
      </c>
      <c r="U138" s="60">
        <f t="shared" ref="U138:AK138" si="77">U191*U$132</f>
        <v>0</v>
      </c>
      <c r="V138" s="60">
        <f t="shared" si="77"/>
        <v>0</v>
      </c>
      <c r="W138" s="60">
        <f t="shared" si="77"/>
        <v>0</v>
      </c>
      <c r="X138" s="60">
        <f t="shared" si="77"/>
        <v>0</v>
      </c>
      <c r="Y138" s="60">
        <f t="shared" si="77"/>
        <v>0</v>
      </c>
      <c r="Z138" s="60">
        <f t="shared" si="77"/>
        <v>0</v>
      </c>
      <c r="AA138" s="60">
        <f t="shared" si="77"/>
        <v>0</v>
      </c>
      <c r="AB138" s="60">
        <f t="shared" si="77"/>
        <v>0</v>
      </c>
      <c r="AC138" s="60">
        <f t="shared" si="77"/>
        <v>0</v>
      </c>
      <c r="AD138" s="60">
        <f t="shared" si="77"/>
        <v>0</v>
      </c>
      <c r="AE138" s="60">
        <f t="shared" si="77"/>
        <v>0</v>
      </c>
      <c r="AF138" s="60">
        <f t="shared" si="77"/>
        <v>0</v>
      </c>
      <c r="AG138" s="60">
        <f t="shared" si="77"/>
        <v>0</v>
      </c>
      <c r="AH138" s="60">
        <f t="shared" si="77"/>
        <v>0</v>
      </c>
      <c r="AI138" s="60">
        <f t="shared" si="77"/>
        <v>0</v>
      </c>
      <c r="AJ138" s="60">
        <f t="shared" si="77"/>
        <v>0</v>
      </c>
      <c r="AK138" s="60">
        <f t="shared" si="77"/>
        <v>0</v>
      </c>
    </row>
    <row r="139" spans="2:37" outlineLevel="1" x14ac:dyDescent="0.3">
      <c r="B139" s="20" t="s">
        <v>27</v>
      </c>
      <c r="C139" s="35">
        <f t="shared" si="72"/>
        <v>53.935147656249988</v>
      </c>
      <c r="D139" s="50" t="s">
        <v>0</v>
      </c>
      <c r="E139" s="60">
        <f t="shared" si="73"/>
        <v>0</v>
      </c>
      <c r="F139" s="60">
        <f t="shared" si="73"/>
        <v>0</v>
      </c>
      <c r="G139" s="60">
        <f t="shared" si="73"/>
        <v>0</v>
      </c>
      <c r="H139" s="60">
        <f t="shared" si="73"/>
        <v>0</v>
      </c>
      <c r="I139" s="60">
        <f t="shared" si="73"/>
        <v>0</v>
      </c>
      <c r="J139" s="60">
        <f t="shared" si="73"/>
        <v>15.759374999999999</v>
      </c>
      <c r="K139" s="60">
        <f t="shared" si="73"/>
        <v>18.307140624999999</v>
      </c>
      <c r="L139" s="60">
        <f t="shared" si="73"/>
        <v>19.868632031249994</v>
      </c>
      <c r="M139" s="60">
        <f t="shared" si="73"/>
        <v>0</v>
      </c>
      <c r="N139" s="60">
        <f t="shared" si="73"/>
        <v>0</v>
      </c>
      <c r="O139" s="60">
        <f t="shared" si="73"/>
        <v>0</v>
      </c>
      <c r="P139" s="60">
        <f t="shared" si="73"/>
        <v>0</v>
      </c>
      <c r="Q139" s="60">
        <f t="shared" si="73"/>
        <v>0</v>
      </c>
      <c r="R139" s="60">
        <f t="shared" si="73"/>
        <v>0</v>
      </c>
      <c r="S139" s="60">
        <f t="shared" si="73"/>
        <v>0</v>
      </c>
      <c r="T139" s="60">
        <f t="shared" si="73"/>
        <v>0</v>
      </c>
      <c r="U139" s="60">
        <f t="shared" ref="U139:AK139" si="78">U192*U$132</f>
        <v>0</v>
      </c>
      <c r="V139" s="60">
        <f t="shared" si="78"/>
        <v>0</v>
      </c>
      <c r="W139" s="60">
        <f t="shared" si="78"/>
        <v>0</v>
      </c>
      <c r="X139" s="60">
        <f t="shared" si="78"/>
        <v>0</v>
      </c>
      <c r="Y139" s="60">
        <f t="shared" si="78"/>
        <v>0</v>
      </c>
      <c r="Z139" s="60">
        <f t="shared" si="78"/>
        <v>0</v>
      </c>
      <c r="AA139" s="60">
        <f t="shared" si="78"/>
        <v>0</v>
      </c>
      <c r="AB139" s="60">
        <f t="shared" si="78"/>
        <v>0</v>
      </c>
      <c r="AC139" s="60">
        <f t="shared" si="78"/>
        <v>0</v>
      </c>
      <c r="AD139" s="60">
        <f t="shared" si="78"/>
        <v>0</v>
      </c>
      <c r="AE139" s="60">
        <f t="shared" si="78"/>
        <v>0</v>
      </c>
      <c r="AF139" s="60">
        <f t="shared" si="78"/>
        <v>0</v>
      </c>
      <c r="AG139" s="60">
        <f t="shared" si="78"/>
        <v>0</v>
      </c>
      <c r="AH139" s="60">
        <f t="shared" si="78"/>
        <v>0</v>
      </c>
      <c r="AI139" s="60">
        <f t="shared" si="78"/>
        <v>0</v>
      </c>
      <c r="AJ139" s="60">
        <f t="shared" si="78"/>
        <v>0</v>
      </c>
      <c r="AK139" s="60">
        <f t="shared" si="78"/>
        <v>0</v>
      </c>
    </row>
    <row r="140" spans="2:37" outlineLevel="1" x14ac:dyDescent="0.3">
      <c r="B140" s="20" t="s">
        <v>28</v>
      </c>
      <c r="C140" s="35">
        <f t="shared" si="72"/>
        <v>357.00804778966631</v>
      </c>
      <c r="D140" s="50" t="s">
        <v>0</v>
      </c>
      <c r="E140" s="60">
        <f t="shared" si="73"/>
        <v>0</v>
      </c>
      <c r="F140" s="60">
        <f t="shared" si="73"/>
        <v>0</v>
      </c>
      <c r="G140" s="60">
        <f t="shared" si="73"/>
        <v>0</v>
      </c>
      <c r="H140" s="60">
        <f t="shared" si="73"/>
        <v>0</v>
      </c>
      <c r="I140" s="60">
        <f t="shared" si="73"/>
        <v>0</v>
      </c>
      <c r="J140" s="60">
        <f t="shared" si="73"/>
        <v>0</v>
      </c>
      <c r="K140" s="60">
        <f t="shared" si="73"/>
        <v>0</v>
      </c>
      <c r="L140" s="60">
        <f t="shared" si="73"/>
        <v>0</v>
      </c>
      <c r="M140" s="60">
        <f t="shared" si="73"/>
        <v>42.993512089843733</v>
      </c>
      <c r="N140" s="60">
        <f t="shared" si="73"/>
        <v>132.20504967626948</v>
      </c>
      <c r="O140" s="60">
        <f t="shared" si="73"/>
        <v>135.51017591817623</v>
      </c>
      <c r="P140" s="60">
        <f t="shared" si="73"/>
        <v>46.299310105376875</v>
      </c>
      <c r="Q140" s="60">
        <f t="shared" si="73"/>
        <v>0</v>
      </c>
      <c r="R140" s="60">
        <f t="shared" si="73"/>
        <v>0</v>
      </c>
      <c r="S140" s="60">
        <f t="shared" si="73"/>
        <v>0</v>
      </c>
      <c r="T140" s="60">
        <f t="shared" si="73"/>
        <v>0</v>
      </c>
      <c r="U140" s="60">
        <f t="shared" ref="U140:AK140" si="79">U193*U$132</f>
        <v>0</v>
      </c>
      <c r="V140" s="60">
        <f t="shared" si="79"/>
        <v>0</v>
      </c>
      <c r="W140" s="60">
        <f t="shared" si="79"/>
        <v>0</v>
      </c>
      <c r="X140" s="60">
        <f t="shared" si="79"/>
        <v>0</v>
      </c>
      <c r="Y140" s="60">
        <f t="shared" si="79"/>
        <v>0</v>
      </c>
      <c r="Z140" s="60">
        <f t="shared" si="79"/>
        <v>0</v>
      </c>
      <c r="AA140" s="60">
        <f t="shared" si="79"/>
        <v>0</v>
      </c>
      <c r="AB140" s="60">
        <f t="shared" si="79"/>
        <v>0</v>
      </c>
      <c r="AC140" s="60">
        <f t="shared" si="79"/>
        <v>0</v>
      </c>
      <c r="AD140" s="60">
        <f t="shared" si="79"/>
        <v>0</v>
      </c>
      <c r="AE140" s="60">
        <f t="shared" si="79"/>
        <v>0</v>
      </c>
      <c r="AF140" s="60">
        <f t="shared" si="79"/>
        <v>0</v>
      </c>
      <c r="AG140" s="60">
        <f t="shared" si="79"/>
        <v>0</v>
      </c>
      <c r="AH140" s="60">
        <f t="shared" si="79"/>
        <v>0</v>
      </c>
      <c r="AI140" s="60">
        <f t="shared" si="79"/>
        <v>0</v>
      </c>
      <c r="AJ140" s="60">
        <f t="shared" si="79"/>
        <v>0</v>
      </c>
      <c r="AK140" s="60">
        <f t="shared" si="79"/>
        <v>0</v>
      </c>
    </row>
    <row r="141" spans="2:37" outlineLevel="1" x14ac:dyDescent="0.3">
      <c r="B141" s="20" t="s">
        <v>29</v>
      </c>
      <c r="C141" s="35">
        <f t="shared" si="72"/>
        <v>0</v>
      </c>
      <c r="D141" s="50" t="s">
        <v>0</v>
      </c>
      <c r="E141" s="60">
        <f t="shared" si="73"/>
        <v>0</v>
      </c>
      <c r="F141" s="60">
        <f t="shared" si="73"/>
        <v>0</v>
      </c>
      <c r="G141" s="60">
        <f t="shared" si="73"/>
        <v>0</v>
      </c>
      <c r="H141" s="60">
        <f t="shared" si="73"/>
        <v>0</v>
      </c>
      <c r="I141" s="60">
        <f t="shared" si="73"/>
        <v>0</v>
      </c>
      <c r="J141" s="60">
        <f t="shared" si="73"/>
        <v>0</v>
      </c>
      <c r="K141" s="60">
        <f t="shared" si="73"/>
        <v>0</v>
      </c>
      <c r="L141" s="60">
        <f t="shared" si="73"/>
        <v>0</v>
      </c>
      <c r="M141" s="60">
        <f t="shared" si="73"/>
        <v>0</v>
      </c>
      <c r="N141" s="60">
        <f t="shared" si="73"/>
        <v>0</v>
      </c>
      <c r="O141" s="60">
        <f t="shared" si="73"/>
        <v>0</v>
      </c>
      <c r="P141" s="60">
        <f t="shared" si="73"/>
        <v>0</v>
      </c>
      <c r="Q141" s="60">
        <f t="shared" si="73"/>
        <v>0</v>
      </c>
      <c r="R141" s="60">
        <f t="shared" si="73"/>
        <v>0</v>
      </c>
      <c r="S141" s="60">
        <f t="shared" si="73"/>
        <v>0</v>
      </c>
      <c r="T141" s="60">
        <f t="shared" si="73"/>
        <v>0</v>
      </c>
      <c r="U141" s="60">
        <f t="shared" ref="U141:AK141" si="80">U194*U$132</f>
        <v>0</v>
      </c>
      <c r="V141" s="60">
        <f t="shared" si="80"/>
        <v>0</v>
      </c>
      <c r="W141" s="60">
        <f t="shared" si="80"/>
        <v>0</v>
      </c>
      <c r="X141" s="60">
        <f t="shared" si="80"/>
        <v>0</v>
      </c>
      <c r="Y141" s="60">
        <f t="shared" si="80"/>
        <v>0</v>
      </c>
      <c r="Z141" s="60">
        <f t="shared" si="80"/>
        <v>0</v>
      </c>
      <c r="AA141" s="60">
        <f t="shared" si="80"/>
        <v>0</v>
      </c>
      <c r="AB141" s="60">
        <f t="shared" si="80"/>
        <v>0</v>
      </c>
      <c r="AC141" s="60">
        <f t="shared" si="80"/>
        <v>0</v>
      </c>
      <c r="AD141" s="60">
        <f t="shared" si="80"/>
        <v>0</v>
      </c>
      <c r="AE141" s="60">
        <f t="shared" si="80"/>
        <v>0</v>
      </c>
      <c r="AF141" s="60">
        <f t="shared" si="80"/>
        <v>0</v>
      </c>
      <c r="AG141" s="60">
        <f t="shared" si="80"/>
        <v>0</v>
      </c>
      <c r="AH141" s="60">
        <f t="shared" si="80"/>
        <v>0</v>
      </c>
      <c r="AI141" s="60">
        <f t="shared" si="80"/>
        <v>0</v>
      </c>
      <c r="AJ141" s="60">
        <f t="shared" si="80"/>
        <v>0</v>
      </c>
      <c r="AK141" s="60">
        <f t="shared" si="80"/>
        <v>0</v>
      </c>
    </row>
    <row r="142" spans="2:37" outlineLevel="1" x14ac:dyDescent="0.3">
      <c r="B142" s="20" t="s">
        <v>30</v>
      </c>
      <c r="C142" s="35">
        <f t="shared" si="72"/>
        <v>0</v>
      </c>
      <c r="D142" s="50" t="s">
        <v>0</v>
      </c>
      <c r="E142" s="60">
        <f t="shared" si="73"/>
        <v>0</v>
      </c>
      <c r="F142" s="60">
        <f t="shared" si="73"/>
        <v>0</v>
      </c>
      <c r="G142" s="60">
        <f t="shared" si="73"/>
        <v>0</v>
      </c>
      <c r="H142" s="60">
        <f t="shared" si="73"/>
        <v>0</v>
      </c>
      <c r="I142" s="60">
        <f t="shared" si="73"/>
        <v>0</v>
      </c>
      <c r="J142" s="60">
        <f t="shared" si="73"/>
        <v>0</v>
      </c>
      <c r="K142" s="60">
        <f t="shared" si="73"/>
        <v>0</v>
      </c>
      <c r="L142" s="60">
        <f t="shared" si="73"/>
        <v>0</v>
      </c>
      <c r="M142" s="60">
        <f t="shared" si="73"/>
        <v>0</v>
      </c>
      <c r="N142" s="60">
        <f t="shared" si="73"/>
        <v>0</v>
      </c>
      <c r="O142" s="60">
        <f t="shared" si="73"/>
        <v>0</v>
      </c>
      <c r="P142" s="60">
        <f t="shared" si="73"/>
        <v>0</v>
      </c>
      <c r="Q142" s="60">
        <f t="shared" si="73"/>
        <v>0</v>
      </c>
      <c r="R142" s="60">
        <f t="shared" si="73"/>
        <v>0</v>
      </c>
      <c r="S142" s="60">
        <f t="shared" si="73"/>
        <v>0</v>
      </c>
      <c r="T142" s="60">
        <f t="shared" si="73"/>
        <v>0</v>
      </c>
      <c r="U142" s="60">
        <f t="shared" ref="U142:AK142" si="81">U195*U$132</f>
        <v>0</v>
      </c>
      <c r="V142" s="60">
        <f t="shared" si="81"/>
        <v>0</v>
      </c>
      <c r="W142" s="60">
        <f t="shared" si="81"/>
        <v>0</v>
      </c>
      <c r="X142" s="60">
        <f t="shared" si="81"/>
        <v>0</v>
      </c>
      <c r="Y142" s="60">
        <f t="shared" si="81"/>
        <v>0</v>
      </c>
      <c r="Z142" s="60">
        <f t="shared" si="81"/>
        <v>0</v>
      </c>
      <c r="AA142" s="60">
        <f t="shared" si="81"/>
        <v>0</v>
      </c>
      <c r="AB142" s="60">
        <f t="shared" si="81"/>
        <v>0</v>
      </c>
      <c r="AC142" s="60">
        <f t="shared" si="81"/>
        <v>0</v>
      </c>
      <c r="AD142" s="60">
        <f t="shared" si="81"/>
        <v>0</v>
      </c>
      <c r="AE142" s="60">
        <f t="shared" si="81"/>
        <v>0</v>
      </c>
      <c r="AF142" s="60">
        <f t="shared" si="81"/>
        <v>0</v>
      </c>
      <c r="AG142" s="60">
        <f t="shared" si="81"/>
        <v>0</v>
      </c>
      <c r="AH142" s="60">
        <f t="shared" si="81"/>
        <v>0</v>
      </c>
      <c r="AI142" s="60">
        <f t="shared" si="81"/>
        <v>0</v>
      </c>
      <c r="AJ142" s="60">
        <f t="shared" si="81"/>
        <v>0</v>
      </c>
      <c r="AK142" s="60">
        <f t="shared" si="81"/>
        <v>0</v>
      </c>
    </row>
    <row r="143" spans="2:37" outlineLevel="1" x14ac:dyDescent="0.3">
      <c r="B143" s="20" t="s">
        <v>31</v>
      </c>
      <c r="C143" s="35">
        <f t="shared" si="72"/>
        <v>0</v>
      </c>
      <c r="D143" s="50" t="s">
        <v>0</v>
      </c>
      <c r="E143" s="60">
        <f t="shared" si="73"/>
        <v>0</v>
      </c>
      <c r="F143" s="60">
        <f t="shared" si="73"/>
        <v>0</v>
      </c>
      <c r="G143" s="60">
        <f t="shared" si="73"/>
        <v>0</v>
      </c>
      <c r="H143" s="60">
        <f t="shared" si="73"/>
        <v>0</v>
      </c>
      <c r="I143" s="60">
        <f t="shared" si="73"/>
        <v>0</v>
      </c>
      <c r="J143" s="60">
        <f t="shared" si="73"/>
        <v>0</v>
      </c>
      <c r="K143" s="60">
        <f t="shared" si="73"/>
        <v>0</v>
      </c>
      <c r="L143" s="60">
        <f t="shared" si="73"/>
        <v>0</v>
      </c>
      <c r="M143" s="60">
        <f t="shared" si="73"/>
        <v>0</v>
      </c>
      <c r="N143" s="60">
        <f t="shared" si="73"/>
        <v>0</v>
      </c>
      <c r="O143" s="60">
        <f t="shared" si="73"/>
        <v>0</v>
      </c>
      <c r="P143" s="60">
        <f t="shared" si="73"/>
        <v>0</v>
      </c>
      <c r="Q143" s="60">
        <f t="shared" si="73"/>
        <v>0</v>
      </c>
      <c r="R143" s="60">
        <f t="shared" si="73"/>
        <v>0</v>
      </c>
      <c r="S143" s="60">
        <f t="shared" si="73"/>
        <v>0</v>
      </c>
      <c r="T143" s="60">
        <f t="shared" si="73"/>
        <v>0</v>
      </c>
      <c r="U143" s="60">
        <f t="shared" ref="U143:AK143" si="82">U196*U$132</f>
        <v>0</v>
      </c>
      <c r="V143" s="60">
        <f t="shared" si="82"/>
        <v>0</v>
      </c>
      <c r="W143" s="60">
        <f t="shared" si="82"/>
        <v>0</v>
      </c>
      <c r="X143" s="60">
        <f t="shared" si="82"/>
        <v>0</v>
      </c>
      <c r="Y143" s="60">
        <f t="shared" si="82"/>
        <v>0</v>
      </c>
      <c r="Z143" s="60">
        <f t="shared" si="82"/>
        <v>0</v>
      </c>
      <c r="AA143" s="60">
        <f t="shared" si="82"/>
        <v>0</v>
      </c>
      <c r="AB143" s="60">
        <f t="shared" si="82"/>
        <v>0</v>
      </c>
      <c r="AC143" s="60">
        <f t="shared" si="82"/>
        <v>0</v>
      </c>
      <c r="AD143" s="60">
        <f t="shared" si="82"/>
        <v>0</v>
      </c>
      <c r="AE143" s="60">
        <f t="shared" si="82"/>
        <v>0</v>
      </c>
      <c r="AF143" s="60">
        <f t="shared" si="82"/>
        <v>0</v>
      </c>
      <c r="AG143" s="60">
        <f t="shared" si="82"/>
        <v>0</v>
      </c>
      <c r="AH143" s="60">
        <f t="shared" si="82"/>
        <v>0</v>
      </c>
      <c r="AI143" s="60">
        <f t="shared" si="82"/>
        <v>0</v>
      </c>
      <c r="AJ143" s="60">
        <f t="shared" si="82"/>
        <v>0</v>
      </c>
      <c r="AK143" s="60">
        <f t="shared" si="82"/>
        <v>0</v>
      </c>
    </row>
    <row r="144" spans="2:37" outlineLevel="1" x14ac:dyDescent="0.3">
      <c r="B144" s="20" t="s">
        <v>41</v>
      </c>
      <c r="C144" s="35">
        <f t="shared" si="72"/>
        <v>0</v>
      </c>
      <c r="D144" s="50" t="s">
        <v>0</v>
      </c>
      <c r="E144" s="60">
        <f t="shared" si="73"/>
        <v>0</v>
      </c>
      <c r="F144" s="60">
        <f t="shared" si="73"/>
        <v>0</v>
      </c>
      <c r="G144" s="60">
        <f t="shared" si="73"/>
        <v>0</v>
      </c>
      <c r="H144" s="60">
        <f t="shared" si="73"/>
        <v>0</v>
      </c>
      <c r="I144" s="60">
        <f t="shared" si="73"/>
        <v>0</v>
      </c>
      <c r="J144" s="60">
        <f t="shared" si="73"/>
        <v>0</v>
      </c>
      <c r="K144" s="60">
        <f t="shared" si="73"/>
        <v>0</v>
      </c>
      <c r="L144" s="60">
        <f t="shared" si="73"/>
        <v>0</v>
      </c>
      <c r="M144" s="60">
        <f t="shared" si="73"/>
        <v>0</v>
      </c>
      <c r="N144" s="60">
        <f t="shared" si="73"/>
        <v>0</v>
      </c>
      <c r="O144" s="60">
        <f t="shared" si="73"/>
        <v>0</v>
      </c>
      <c r="P144" s="60">
        <f t="shared" si="73"/>
        <v>0</v>
      </c>
      <c r="Q144" s="60">
        <f t="shared" si="73"/>
        <v>0</v>
      </c>
      <c r="R144" s="60">
        <f t="shared" si="73"/>
        <v>0</v>
      </c>
      <c r="S144" s="60">
        <f t="shared" si="73"/>
        <v>0</v>
      </c>
      <c r="T144" s="60">
        <f t="shared" si="73"/>
        <v>0</v>
      </c>
      <c r="U144" s="60">
        <f t="shared" ref="U144:AK144" si="83">U197*U$132</f>
        <v>0</v>
      </c>
      <c r="V144" s="60">
        <f t="shared" si="83"/>
        <v>0</v>
      </c>
      <c r="W144" s="60">
        <f t="shared" si="83"/>
        <v>0</v>
      </c>
      <c r="X144" s="60">
        <f t="shared" si="83"/>
        <v>0</v>
      </c>
      <c r="Y144" s="60">
        <f t="shared" si="83"/>
        <v>0</v>
      </c>
      <c r="Z144" s="60">
        <f t="shared" si="83"/>
        <v>0</v>
      </c>
      <c r="AA144" s="60">
        <f t="shared" si="83"/>
        <v>0</v>
      </c>
      <c r="AB144" s="60">
        <f t="shared" si="83"/>
        <v>0</v>
      </c>
      <c r="AC144" s="60">
        <f t="shared" si="83"/>
        <v>0</v>
      </c>
      <c r="AD144" s="60">
        <f t="shared" si="83"/>
        <v>0</v>
      </c>
      <c r="AE144" s="60">
        <f t="shared" si="83"/>
        <v>0</v>
      </c>
      <c r="AF144" s="60">
        <f t="shared" si="83"/>
        <v>0</v>
      </c>
      <c r="AG144" s="60">
        <f t="shared" si="83"/>
        <v>0</v>
      </c>
      <c r="AH144" s="60">
        <f t="shared" si="83"/>
        <v>0</v>
      </c>
      <c r="AI144" s="60">
        <f t="shared" si="83"/>
        <v>0</v>
      </c>
      <c r="AJ144" s="60">
        <f t="shared" si="83"/>
        <v>0</v>
      </c>
      <c r="AK144" s="60">
        <f t="shared" si="83"/>
        <v>0</v>
      </c>
    </row>
    <row r="145" spans="2:37" outlineLevel="1" x14ac:dyDescent="0.3">
      <c r="B145" s="20" t="s">
        <v>33</v>
      </c>
      <c r="C145" s="35">
        <f t="shared" si="72"/>
        <v>138.75270896016923</v>
      </c>
      <c r="D145" s="50" t="s">
        <v>0</v>
      </c>
      <c r="E145" s="60">
        <f t="shared" si="73"/>
        <v>0</v>
      </c>
      <c r="F145" s="60">
        <f t="shared" si="73"/>
        <v>0</v>
      </c>
      <c r="G145" s="60">
        <f t="shared" si="73"/>
        <v>0</v>
      </c>
      <c r="H145" s="60">
        <f t="shared" si="73"/>
        <v>1.05</v>
      </c>
      <c r="I145" s="60">
        <f t="shared" si="73"/>
        <v>1.0762499999999999</v>
      </c>
      <c r="J145" s="60">
        <f t="shared" si="73"/>
        <v>12.183993062499999</v>
      </c>
      <c r="K145" s="60">
        <f t="shared" si="73"/>
        <v>25.856143906249997</v>
      </c>
      <c r="L145" s="60">
        <f t="shared" si="73"/>
        <v>36.887219178906243</v>
      </c>
      <c r="M145" s="60">
        <f t="shared" si="73"/>
        <v>39.718085313525386</v>
      </c>
      <c r="N145" s="60">
        <f t="shared" si="73"/>
        <v>9.2543534773388636</v>
      </c>
      <c r="O145" s="60">
        <f t="shared" si="73"/>
        <v>9.4857123142723356</v>
      </c>
      <c r="P145" s="60">
        <f t="shared" si="73"/>
        <v>3.2409517073763814</v>
      </c>
      <c r="Q145" s="60">
        <f t="shared" si="73"/>
        <v>0</v>
      </c>
      <c r="R145" s="60">
        <f t="shared" si="73"/>
        <v>0</v>
      </c>
      <c r="S145" s="60">
        <f t="shared" si="73"/>
        <v>0</v>
      </c>
      <c r="T145" s="60">
        <f t="shared" si="73"/>
        <v>0</v>
      </c>
      <c r="U145" s="60">
        <f t="shared" ref="U145:AK145" si="84">U198*U$132</f>
        <v>0</v>
      </c>
      <c r="V145" s="60">
        <f t="shared" si="84"/>
        <v>0</v>
      </c>
      <c r="W145" s="60">
        <f t="shared" si="84"/>
        <v>0</v>
      </c>
      <c r="X145" s="60">
        <f t="shared" si="84"/>
        <v>0</v>
      </c>
      <c r="Y145" s="60">
        <f t="shared" si="84"/>
        <v>0</v>
      </c>
      <c r="Z145" s="60">
        <f t="shared" si="84"/>
        <v>0</v>
      </c>
      <c r="AA145" s="60">
        <f t="shared" si="84"/>
        <v>0</v>
      </c>
      <c r="AB145" s="60">
        <f t="shared" si="84"/>
        <v>0</v>
      </c>
      <c r="AC145" s="60">
        <f t="shared" si="84"/>
        <v>0</v>
      </c>
      <c r="AD145" s="60">
        <f t="shared" si="84"/>
        <v>0</v>
      </c>
      <c r="AE145" s="60">
        <f t="shared" si="84"/>
        <v>0</v>
      </c>
      <c r="AF145" s="60">
        <f t="shared" si="84"/>
        <v>0</v>
      </c>
      <c r="AG145" s="60">
        <f t="shared" si="84"/>
        <v>0</v>
      </c>
      <c r="AH145" s="60">
        <f t="shared" si="84"/>
        <v>0</v>
      </c>
      <c r="AI145" s="60">
        <f t="shared" si="84"/>
        <v>0</v>
      </c>
      <c r="AJ145" s="60">
        <f t="shared" si="84"/>
        <v>0</v>
      </c>
      <c r="AK145" s="60">
        <f t="shared" si="84"/>
        <v>0</v>
      </c>
    </row>
    <row r="146" spans="2:37" outlineLevel="1" x14ac:dyDescent="0.3">
      <c r="B146" s="20" t="s">
        <v>34</v>
      </c>
      <c r="C146" s="35">
        <f t="shared" si="72"/>
        <v>396.43631131476911</v>
      </c>
      <c r="D146" s="50" t="s">
        <v>0</v>
      </c>
      <c r="E146" s="60">
        <f t="shared" si="73"/>
        <v>0</v>
      </c>
      <c r="F146" s="60">
        <f t="shared" si="73"/>
        <v>0</v>
      </c>
      <c r="G146" s="60">
        <f t="shared" si="73"/>
        <v>0</v>
      </c>
      <c r="H146" s="60">
        <f t="shared" si="73"/>
        <v>3</v>
      </c>
      <c r="I146" s="60">
        <f t="shared" si="73"/>
        <v>3.0749999999999997</v>
      </c>
      <c r="J146" s="60">
        <f t="shared" si="73"/>
        <v>34.811408749999998</v>
      </c>
      <c r="K146" s="60">
        <f t="shared" si="73"/>
        <v>73.874696874999998</v>
      </c>
      <c r="L146" s="60">
        <f t="shared" si="73"/>
        <v>105.39205479687499</v>
      </c>
      <c r="M146" s="60">
        <f t="shared" si="73"/>
        <v>113.48024375292967</v>
      </c>
      <c r="N146" s="60">
        <f t="shared" si="73"/>
        <v>26.441009935253899</v>
      </c>
      <c r="O146" s="60">
        <f t="shared" si="73"/>
        <v>27.102035183635245</v>
      </c>
      <c r="P146" s="60">
        <f t="shared" si="73"/>
        <v>9.2598620210753744</v>
      </c>
      <c r="Q146" s="60">
        <f t="shared" si="73"/>
        <v>0</v>
      </c>
      <c r="R146" s="60">
        <f t="shared" si="73"/>
        <v>0</v>
      </c>
      <c r="S146" s="60">
        <f t="shared" si="73"/>
        <v>0</v>
      </c>
      <c r="T146" s="60">
        <f t="shared" si="73"/>
        <v>0</v>
      </c>
      <c r="U146" s="60">
        <f t="shared" ref="U146:AK146" si="85">U199*U$132</f>
        <v>0</v>
      </c>
      <c r="V146" s="60">
        <f t="shared" si="85"/>
        <v>0</v>
      </c>
      <c r="W146" s="60">
        <f t="shared" si="85"/>
        <v>0</v>
      </c>
      <c r="X146" s="60">
        <f t="shared" si="85"/>
        <v>0</v>
      </c>
      <c r="Y146" s="60">
        <f t="shared" si="85"/>
        <v>0</v>
      </c>
      <c r="Z146" s="60">
        <f t="shared" si="85"/>
        <v>0</v>
      </c>
      <c r="AA146" s="60">
        <f t="shared" si="85"/>
        <v>0</v>
      </c>
      <c r="AB146" s="60">
        <f t="shared" si="85"/>
        <v>0</v>
      </c>
      <c r="AC146" s="60">
        <f t="shared" si="85"/>
        <v>0</v>
      </c>
      <c r="AD146" s="60">
        <f t="shared" si="85"/>
        <v>0</v>
      </c>
      <c r="AE146" s="60">
        <f t="shared" si="85"/>
        <v>0</v>
      </c>
      <c r="AF146" s="60">
        <f t="shared" si="85"/>
        <v>0</v>
      </c>
      <c r="AG146" s="60">
        <f t="shared" si="85"/>
        <v>0</v>
      </c>
      <c r="AH146" s="60">
        <f t="shared" si="85"/>
        <v>0</v>
      </c>
      <c r="AI146" s="60">
        <f t="shared" si="85"/>
        <v>0</v>
      </c>
      <c r="AJ146" s="60">
        <f t="shared" si="85"/>
        <v>0</v>
      </c>
      <c r="AK146" s="60">
        <f t="shared" si="85"/>
        <v>0</v>
      </c>
    </row>
    <row r="147" spans="2:37" outlineLevel="1" x14ac:dyDescent="0.3">
      <c r="B147" s="45" t="s">
        <v>3</v>
      </c>
      <c r="C147" s="35">
        <f t="shared" si="72"/>
        <v>2517.3705768487844</v>
      </c>
      <c r="D147" s="50" t="s">
        <v>0</v>
      </c>
      <c r="E147" s="61">
        <f>SUM(E134:E146)</f>
        <v>0</v>
      </c>
      <c r="F147" s="61">
        <f t="shared" ref="F147:J147" si="86">SUM(F134:F146)</f>
        <v>0</v>
      </c>
      <c r="G147" s="61">
        <f t="shared" si="86"/>
        <v>0</v>
      </c>
      <c r="H147" s="61">
        <f>SUM(H134:H146)</f>
        <v>19.05</v>
      </c>
      <c r="I147" s="61">
        <f t="shared" si="86"/>
        <v>19.526249999999997</v>
      </c>
      <c r="J147" s="61">
        <f t="shared" si="86"/>
        <v>221.0524455625</v>
      </c>
      <c r="K147" s="61">
        <f t="shared" ref="K147" si="87">SUM(K134:K146)</f>
        <v>469.10432515624996</v>
      </c>
      <c r="L147" s="61">
        <f t="shared" ref="L147" si="88">SUM(L134:L146)</f>
        <v>669.23954796015596</v>
      </c>
      <c r="M147" s="61">
        <f>SUM(M134:M146)</f>
        <v>720.59954783110345</v>
      </c>
      <c r="N147" s="61">
        <f t="shared" ref="N147" si="89">SUM(N134:N146)</f>
        <v>167.90041308886225</v>
      </c>
      <c r="O147" s="61">
        <f t="shared" ref="O147" si="90">SUM(O134:O146)</f>
        <v>172.09792341608383</v>
      </c>
      <c r="P147" s="61">
        <f t="shared" ref="P147" si="91">SUM(P134:P146)</f>
        <v>58.800123833828636</v>
      </c>
      <c r="Q147" s="61">
        <f t="shared" ref="Q147" si="92">SUM(Q134:Q146)</f>
        <v>0</v>
      </c>
      <c r="R147" s="61">
        <f t="shared" ref="R147" si="93">SUM(R134:R146)</f>
        <v>0</v>
      </c>
      <c r="S147" s="61">
        <f t="shared" ref="S147" si="94">SUM(S134:S146)</f>
        <v>0</v>
      </c>
      <c r="T147" s="61">
        <f t="shared" ref="T147" si="95">SUM(T134:T146)</f>
        <v>0</v>
      </c>
      <c r="U147" s="61">
        <f t="shared" ref="U147" si="96">SUM(U134:U146)</f>
        <v>0</v>
      </c>
      <c r="V147" s="61">
        <f t="shared" ref="V147" si="97">SUM(V134:V146)</f>
        <v>0</v>
      </c>
      <c r="W147" s="61">
        <f t="shared" ref="W147" si="98">SUM(W134:W146)</f>
        <v>0</v>
      </c>
      <c r="X147" s="61">
        <f t="shared" ref="X147" si="99">SUM(X134:X146)</f>
        <v>0</v>
      </c>
      <c r="Y147" s="61">
        <f t="shared" ref="Y147" si="100">SUM(Y134:Y146)</f>
        <v>0</v>
      </c>
      <c r="Z147" s="61">
        <f t="shared" ref="Z147" si="101">SUM(Z134:Z146)</f>
        <v>0</v>
      </c>
      <c r="AA147" s="61">
        <f t="shared" ref="AA147" si="102">SUM(AA134:AA146)</f>
        <v>0</v>
      </c>
      <c r="AB147" s="61">
        <f t="shared" ref="AB147" si="103">SUM(AB134:AB146)</f>
        <v>0</v>
      </c>
      <c r="AC147" s="61">
        <f t="shared" ref="AC147" si="104">SUM(AC134:AC146)</f>
        <v>0</v>
      </c>
      <c r="AD147" s="61">
        <f t="shared" ref="AD147" si="105">SUM(AD134:AD146)</f>
        <v>0</v>
      </c>
      <c r="AE147" s="61">
        <f t="shared" ref="AE147" si="106">SUM(AE134:AE146)</f>
        <v>0</v>
      </c>
      <c r="AF147" s="61">
        <f t="shared" ref="AF147" si="107">SUM(AF134:AF146)</f>
        <v>0</v>
      </c>
      <c r="AG147" s="61">
        <f t="shared" ref="AG147" si="108">SUM(AG134:AG146)</f>
        <v>0</v>
      </c>
      <c r="AH147" s="60"/>
      <c r="AI147" s="60"/>
      <c r="AJ147" s="60"/>
      <c r="AK147" s="60"/>
    </row>
    <row r="148" spans="2:37" outlineLevel="1" x14ac:dyDescent="0.3">
      <c r="C148" s="2"/>
      <c r="D148" s="2"/>
      <c r="E148" s="58"/>
      <c r="F148" s="58"/>
      <c r="G148" s="58"/>
      <c r="H148" s="58">
        <f>H147*1000000*1.7</f>
        <v>32385000</v>
      </c>
      <c r="I148" s="58">
        <f t="shared" ref="I148:M148" si="109">I147*1000000*1.7</f>
        <v>33194624.999999993</v>
      </c>
      <c r="J148" s="58">
        <f t="shared" si="109"/>
        <v>375789157.45625001</v>
      </c>
      <c r="K148" s="58">
        <f t="shared" si="109"/>
        <v>797477352.76562488</v>
      </c>
      <c r="L148" s="58">
        <f t="shared" si="109"/>
        <v>1137707231.5322652</v>
      </c>
      <c r="M148" s="58">
        <f t="shared" si="109"/>
        <v>1225019231.3128757</v>
      </c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</row>
    <row r="149" spans="2:37" outlineLevel="1" x14ac:dyDescent="0.3"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</row>
    <row r="150" spans="2:37" outlineLevel="1" x14ac:dyDescent="0.3">
      <c r="B150" s="14" t="s">
        <v>69</v>
      </c>
      <c r="C150" s="14" t="s">
        <v>3</v>
      </c>
      <c r="D150" s="14" t="s">
        <v>4</v>
      </c>
      <c r="E150" s="14">
        <f t="shared" ref="E150:O150" si="110">E23</f>
        <v>2022</v>
      </c>
      <c r="F150" s="14">
        <f t="shared" si="110"/>
        <v>2023</v>
      </c>
      <c r="G150" s="14">
        <f t="shared" si="110"/>
        <v>2024</v>
      </c>
      <c r="H150" s="14">
        <f t="shared" si="110"/>
        <v>2025</v>
      </c>
      <c r="I150" s="14">
        <f t="shared" si="110"/>
        <v>2026</v>
      </c>
      <c r="J150" s="14">
        <f t="shared" si="110"/>
        <v>2027</v>
      </c>
      <c r="K150" s="14">
        <f t="shared" si="110"/>
        <v>2028</v>
      </c>
      <c r="L150" s="14">
        <f t="shared" si="110"/>
        <v>2029</v>
      </c>
      <c r="M150" s="14">
        <f t="shared" si="110"/>
        <v>2030</v>
      </c>
      <c r="N150" s="14">
        <f t="shared" si="110"/>
        <v>2031</v>
      </c>
      <c r="O150" s="14">
        <f t="shared" si="110"/>
        <v>2032</v>
      </c>
      <c r="P150" s="14">
        <f t="shared" ref="P150:AC150" si="111">P23</f>
        <v>2033</v>
      </c>
      <c r="Q150" s="14">
        <f t="shared" si="111"/>
        <v>2034</v>
      </c>
      <c r="R150" s="14">
        <f t="shared" si="111"/>
        <v>2035</v>
      </c>
      <c r="S150" s="14">
        <f t="shared" si="111"/>
        <v>2036</v>
      </c>
      <c r="T150" s="14">
        <f t="shared" si="111"/>
        <v>2037</v>
      </c>
      <c r="U150" s="14">
        <f t="shared" si="111"/>
        <v>2038</v>
      </c>
      <c r="V150" s="14">
        <f t="shared" si="111"/>
        <v>2039</v>
      </c>
      <c r="W150" s="14">
        <f t="shared" si="111"/>
        <v>2040</v>
      </c>
      <c r="X150" s="14">
        <f t="shared" si="111"/>
        <v>2041</v>
      </c>
      <c r="Y150" s="14">
        <f t="shared" si="111"/>
        <v>2042</v>
      </c>
      <c r="Z150" s="14">
        <f t="shared" si="111"/>
        <v>2043</v>
      </c>
      <c r="AA150" s="14">
        <f t="shared" si="111"/>
        <v>2044</v>
      </c>
      <c r="AB150" s="14">
        <f t="shared" si="111"/>
        <v>2045</v>
      </c>
      <c r="AC150" s="14">
        <f t="shared" si="111"/>
        <v>2046</v>
      </c>
      <c r="AD150" s="14">
        <f t="shared" ref="AD150:AK150" si="112">AD23</f>
        <v>2047</v>
      </c>
      <c r="AE150" s="14">
        <f t="shared" si="112"/>
        <v>2048</v>
      </c>
      <c r="AF150" s="14">
        <f t="shared" si="112"/>
        <v>2049</v>
      </c>
      <c r="AG150" s="14">
        <f t="shared" si="112"/>
        <v>2050</v>
      </c>
      <c r="AH150" s="14">
        <f t="shared" si="112"/>
        <v>2051</v>
      </c>
      <c r="AI150" s="14">
        <f t="shared" si="112"/>
        <v>2052</v>
      </c>
      <c r="AJ150" s="14">
        <f t="shared" si="112"/>
        <v>2053</v>
      </c>
      <c r="AK150" s="14">
        <f t="shared" si="112"/>
        <v>2054</v>
      </c>
    </row>
    <row r="151" spans="2:37" outlineLevel="1" x14ac:dyDescent="0.3">
      <c r="B151" s="20" t="s">
        <v>22</v>
      </c>
      <c r="C151" s="30">
        <f>SUM(E151:AK151)</f>
        <v>262.49299999999999</v>
      </c>
      <c r="D151" s="50" t="s">
        <v>0</v>
      </c>
      <c r="E151" s="58">
        <v>262.49299999999999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</row>
    <row r="152" spans="2:37" outlineLevel="1" x14ac:dyDescent="0.3">
      <c r="B152" s="20" t="s">
        <v>23</v>
      </c>
      <c r="C152" s="30">
        <f t="shared" ref="C152:C164" si="113">SUM(E152:AK152)</f>
        <v>0</v>
      </c>
      <c r="D152" s="50" t="s">
        <v>0</v>
      </c>
      <c r="E152" s="58">
        <v>0</v>
      </c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</row>
    <row r="153" spans="2:37" outlineLevel="1" x14ac:dyDescent="0.3">
      <c r="B153" s="20" t="s">
        <v>24</v>
      </c>
      <c r="C153" s="30">
        <f t="shared" si="113"/>
        <v>0</v>
      </c>
      <c r="D153" s="50" t="s">
        <v>0</v>
      </c>
      <c r="E153" s="58">
        <v>0</v>
      </c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</row>
    <row r="154" spans="2:37" outlineLevel="1" x14ac:dyDescent="0.3">
      <c r="B154" s="20" t="s">
        <v>25</v>
      </c>
      <c r="C154" s="30">
        <f t="shared" si="113"/>
        <v>0</v>
      </c>
      <c r="D154" s="50" t="s">
        <v>0</v>
      </c>
      <c r="E154" s="58">
        <v>0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</row>
    <row r="155" spans="2:37" outlineLevel="1" x14ac:dyDescent="0.3">
      <c r="B155" s="20" t="s">
        <v>26</v>
      </c>
      <c r="C155" s="30">
        <f t="shared" si="113"/>
        <v>0</v>
      </c>
      <c r="D155" s="50" t="s">
        <v>0</v>
      </c>
      <c r="E155" s="58">
        <v>0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</row>
    <row r="156" spans="2:37" outlineLevel="1" x14ac:dyDescent="0.3">
      <c r="B156" s="20" t="s">
        <v>27</v>
      </c>
      <c r="C156" s="30">
        <f t="shared" si="113"/>
        <v>0</v>
      </c>
      <c r="D156" s="50" t="s">
        <v>0</v>
      </c>
      <c r="E156" s="58">
        <v>0</v>
      </c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</row>
    <row r="157" spans="2:37" outlineLevel="1" x14ac:dyDescent="0.3">
      <c r="B157" s="20" t="s">
        <v>28</v>
      </c>
      <c r="C157" s="30">
        <f t="shared" si="113"/>
        <v>0</v>
      </c>
      <c r="D157" s="50" t="s">
        <v>0</v>
      </c>
      <c r="E157" s="58">
        <v>0</v>
      </c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</row>
    <row r="158" spans="2:37" outlineLevel="1" x14ac:dyDescent="0.3">
      <c r="B158" s="20" t="s">
        <v>29</v>
      </c>
      <c r="C158" s="30">
        <f t="shared" si="113"/>
        <v>180</v>
      </c>
      <c r="D158" s="50" t="s">
        <v>0</v>
      </c>
      <c r="E158" s="58">
        <v>180</v>
      </c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</row>
    <row r="159" spans="2:37" outlineLevel="1" x14ac:dyDescent="0.3">
      <c r="B159" s="20" t="s">
        <v>30</v>
      </c>
      <c r="C159" s="30">
        <f t="shared" si="113"/>
        <v>0</v>
      </c>
      <c r="D159" s="50" t="s">
        <v>0</v>
      </c>
      <c r="E159" s="58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</row>
    <row r="160" spans="2:37" outlineLevel="1" x14ac:dyDescent="0.3">
      <c r="B160" s="20" t="s">
        <v>31</v>
      </c>
      <c r="C160" s="30">
        <f t="shared" si="113"/>
        <v>0</v>
      </c>
      <c r="D160" s="50" t="s">
        <v>0</v>
      </c>
      <c r="E160" s="58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</row>
    <row r="161" spans="2:44" outlineLevel="1" x14ac:dyDescent="0.3">
      <c r="B161" s="20" t="s">
        <v>39</v>
      </c>
      <c r="C161" s="30">
        <f t="shared" si="113"/>
        <v>0</v>
      </c>
      <c r="D161" s="50" t="s">
        <v>0</v>
      </c>
      <c r="E161" s="58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</row>
    <row r="162" spans="2:44" outlineLevel="1" x14ac:dyDescent="0.3">
      <c r="B162" s="20" t="s">
        <v>33</v>
      </c>
      <c r="C162" s="30">
        <f t="shared" si="113"/>
        <v>0</v>
      </c>
      <c r="D162" s="50" t="s">
        <v>0</v>
      </c>
      <c r="E162" s="58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</row>
    <row r="163" spans="2:44" outlineLevel="1" x14ac:dyDescent="0.3">
      <c r="B163" s="20" t="s">
        <v>34</v>
      </c>
      <c r="C163" s="30">
        <f t="shared" si="113"/>
        <v>0</v>
      </c>
      <c r="D163" s="50" t="s">
        <v>0</v>
      </c>
      <c r="E163" s="58">
        <v>0</v>
      </c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</row>
    <row r="164" spans="2:44" outlineLevel="1" x14ac:dyDescent="0.3">
      <c r="B164" s="45" t="s">
        <v>3</v>
      </c>
      <c r="C164" s="30">
        <f t="shared" si="113"/>
        <v>442.49299999999999</v>
      </c>
      <c r="D164" s="50" t="s">
        <v>0</v>
      </c>
      <c r="E164" s="58">
        <f>SUM(E151:E163)</f>
        <v>442.49299999999999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</row>
    <row r="165" spans="2:44" outlineLevel="1" x14ac:dyDescent="0.3">
      <c r="B165" s="45"/>
      <c r="C165" s="30"/>
      <c r="D165" s="50"/>
      <c r="E165" s="58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</row>
    <row r="166" spans="2:44" ht="14.4" x14ac:dyDescent="0.3">
      <c r="B166" s="5" t="s">
        <v>239</v>
      </c>
      <c r="C166" s="23">
        <f>SUM(E166:BE166)</f>
        <v>890.49908756527259</v>
      </c>
      <c r="D166" s="47" t="s">
        <v>0</v>
      </c>
      <c r="E166" s="57">
        <v>0</v>
      </c>
      <c r="F166" s="57">
        <v>0</v>
      </c>
      <c r="G166" s="57">
        <v>0</v>
      </c>
      <c r="H166" s="57">
        <v>0</v>
      </c>
      <c r="I166" s="57">
        <v>0</v>
      </c>
      <c r="J166" s="57">
        <v>0</v>
      </c>
      <c r="K166" s="57">
        <v>0</v>
      </c>
      <c r="L166" s="57">
        <v>23.422322462458538</v>
      </c>
      <c r="M166" s="57">
        <v>54.513439545863442</v>
      </c>
      <c r="N166" s="57">
        <v>58.481233056049568</v>
      </c>
      <c r="O166" s="57">
        <v>59.670547533872409</v>
      </c>
      <c r="P166" s="57">
        <v>60.990486806071289</v>
      </c>
      <c r="Q166" s="57">
        <v>62.060752368944257</v>
      </c>
      <c r="R166" s="57">
        <v>63.301967416323137</v>
      </c>
      <c r="S166" s="57">
        <v>64.589319655472181</v>
      </c>
      <c r="T166" s="57">
        <v>66.018064372947237</v>
      </c>
      <c r="U166" s="57">
        <v>65.994921623368072</v>
      </c>
      <c r="V166" s="57">
        <v>54.561051636919338</v>
      </c>
      <c r="W166" s="57">
        <v>45.384673089217216</v>
      </c>
      <c r="X166" s="57">
        <v>37.627394384661457</v>
      </c>
      <c r="Y166" s="57">
        <v>32.929055264739816</v>
      </c>
      <c r="Z166" s="57">
        <v>28.52705782327692</v>
      </c>
      <c r="AA166" s="57">
        <v>23.882986749965163</v>
      </c>
      <c r="AB166" s="57">
        <v>21.512762027383456</v>
      </c>
      <c r="AC166" s="57">
        <v>19.51643839164144</v>
      </c>
      <c r="AD166" s="57">
        <v>17.663637036389353</v>
      </c>
      <c r="AE166" s="57">
        <v>16.101930601463579</v>
      </c>
      <c r="AF166" s="57">
        <v>13.749045718244728</v>
      </c>
      <c r="AG166" s="57"/>
      <c r="AH166" s="57"/>
      <c r="AI166" s="57"/>
      <c r="AJ166" s="57"/>
      <c r="AK166" s="57"/>
    </row>
    <row r="167" spans="2:44" ht="14.4" x14ac:dyDescent="0.3">
      <c r="B167" s="5" t="s">
        <v>241</v>
      </c>
      <c r="C167" s="23">
        <v>780.21537436093058</v>
      </c>
      <c r="D167" s="47" t="s">
        <v>0</v>
      </c>
      <c r="E167" s="57">
        <v>0</v>
      </c>
      <c r="F167" s="57">
        <v>0</v>
      </c>
      <c r="G167" s="57">
        <v>0</v>
      </c>
      <c r="H167" s="57">
        <v>0</v>
      </c>
      <c r="I167" s="57">
        <v>0</v>
      </c>
      <c r="J167" s="57">
        <v>0</v>
      </c>
      <c r="K167" s="57">
        <v>0</v>
      </c>
      <c r="L167" s="57">
        <v>23.422322462458538</v>
      </c>
      <c r="M167" s="57">
        <v>47.605727996295023</v>
      </c>
      <c r="N167" s="57">
        <v>51.435367275489781</v>
      </c>
      <c r="O167" s="57">
        <v>52.464074620999583</v>
      </c>
      <c r="P167" s="57">
        <v>53.659968047976882</v>
      </c>
      <c r="Q167" s="57">
        <v>54.583623235687966</v>
      </c>
      <c r="R167" s="57">
        <v>55.675295700401719</v>
      </c>
      <c r="S167" s="57">
        <v>56.788801614409763</v>
      </c>
      <c r="T167" s="57">
        <v>58.083275119702598</v>
      </c>
      <c r="U167" s="57">
        <v>57.983187821758541</v>
      </c>
      <c r="V167" s="57">
        <v>47.118034572022673</v>
      </c>
      <c r="W167" s="57">
        <v>38.64321704631849</v>
      </c>
      <c r="X167" s="57">
        <v>31.647289275205281</v>
      </c>
      <c r="Y167" s="57">
        <v>27.706779849127088</v>
      </c>
      <c r="Z167" s="57">
        <v>24.049763912200312</v>
      </c>
      <c r="AA167" s="57">
        <v>20.108959130325577</v>
      </c>
      <c r="AB167" s="57">
        <v>18.39424669530046</v>
      </c>
      <c r="AC167" s="57">
        <v>16.973821313893364</v>
      </c>
      <c r="AD167" s="57">
        <v>15.667962310823613</v>
      </c>
      <c r="AE167" s="57">
        <v>14.564558549341145</v>
      </c>
      <c r="AF167" s="57">
        <v>13.639097811192187</v>
      </c>
      <c r="AG167" s="57"/>
      <c r="AH167" s="57"/>
      <c r="AI167" s="57"/>
      <c r="AJ167" s="57"/>
      <c r="AK167" s="57"/>
    </row>
    <row r="168" spans="2:44" ht="14.4" x14ac:dyDescent="0.3">
      <c r="B168" s="1" t="s">
        <v>242</v>
      </c>
      <c r="C168" s="23">
        <f>SUM(E168:AK168)</f>
        <v>-149.09550703125001</v>
      </c>
      <c r="D168" s="47" t="s">
        <v>0</v>
      </c>
      <c r="E168" s="153">
        <v>0</v>
      </c>
      <c r="F168" s="153">
        <v>0</v>
      </c>
      <c r="G168" s="153">
        <v>0</v>
      </c>
      <c r="H168" s="153">
        <v>0</v>
      </c>
      <c r="I168" s="153">
        <v>0</v>
      </c>
      <c r="J168" s="187">
        <v>-62.998101562499983</v>
      </c>
      <c r="K168" s="187">
        <v>-86.097405468750026</v>
      </c>
      <c r="L168" s="153">
        <v>0</v>
      </c>
      <c r="M168" s="153">
        <v>0</v>
      </c>
      <c r="N168" s="153"/>
      <c r="O168" s="153"/>
      <c r="P168" s="153"/>
      <c r="Q168" s="153">
        <v>0</v>
      </c>
      <c r="R168" s="153">
        <v>0</v>
      </c>
      <c r="S168" s="153">
        <v>0</v>
      </c>
      <c r="T168" s="153">
        <v>0</v>
      </c>
      <c r="U168" s="153">
        <v>0</v>
      </c>
      <c r="V168" s="153">
        <v>0</v>
      </c>
      <c r="W168" s="153">
        <v>0</v>
      </c>
      <c r="X168" s="153">
        <v>0</v>
      </c>
      <c r="Y168" s="153">
        <v>0</v>
      </c>
      <c r="Z168" s="153">
        <v>0</v>
      </c>
      <c r="AA168" s="153">
        <v>0</v>
      </c>
      <c r="AB168" s="153">
        <v>0</v>
      </c>
      <c r="AC168" s="153">
        <v>0</v>
      </c>
      <c r="AD168" s="153">
        <v>0</v>
      </c>
      <c r="AE168" s="153">
        <v>0</v>
      </c>
      <c r="AF168" s="153">
        <v>0</v>
      </c>
      <c r="AG168" s="153"/>
      <c r="AH168" s="153"/>
      <c r="AI168" s="153"/>
      <c r="AJ168" s="153"/>
      <c r="AK168" s="153"/>
      <c r="AL168" s="153">
        <v>0</v>
      </c>
    </row>
    <row r="175" spans="2:44" outlineLevel="1" x14ac:dyDescent="0.3">
      <c r="B175" s="14" t="s">
        <v>37</v>
      </c>
      <c r="C175" s="14" t="s">
        <v>3</v>
      </c>
      <c r="D175" s="14" t="s">
        <v>36</v>
      </c>
      <c r="E175" s="14">
        <f>E150</f>
        <v>2022</v>
      </c>
      <c r="F175" s="14">
        <f t="shared" ref="F175:AC175" si="114">F150</f>
        <v>2023</v>
      </c>
      <c r="G175" s="14">
        <f t="shared" si="114"/>
        <v>2024</v>
      </c>
      <c r="H175" s="14">
        <f t="shared" si="114"/>
        <v>2025</v>
      </c>
      <c r="I175" s="14">
        <f t="shared" si="114"/>
        <v>2026</v>
      </c>
      <c r="J175" s="14">
        <f t="shared" si="114"/>
        <v>2027</v>
      </c>
      <c r="K175" s="14">
        <f t="shared" si="114"/>
        <v>2028</v>
      </c>
      <c r="L175" s="14">
        <f t="shared" si="114"/>
        <v>2029</v>
      </c>
      <c r="M175" s="14">
        <f t="shared" si="114"/>
        <v>2030</v>
      </c>
      <c r="N175" s="14">
        <f t="shared" si="114"/>
        <v>2031</v>
      </c>
      <c r="O175" s="14">
        <f t="shared" si="114"/>
        <v>2032</v>
      </c>
      <c r="P175" s="14">
        <f t="shared" si="114"/>
        <v>2033</v>
      </c>
      <c r="Q175" s="14">
        <f t="shared" si="114"/>
        <v>2034</v>
      </c>
      <c r="R175" s="14">
        <f t="shared" si="114"/>
        <v>2035</v>
      </c>
      <c r="S175" s="14">
        <f t="shared" si="114"/>
        <v>2036</v>
      </c>
      <c r="T175" s="14">
        <f t="shared" si="114"/>
        <v>2037</v>
      </c>
      <c r="U175" s="14">
        <f t="shared" si="114"/>
        <v>2038</v>
      </c>
      <c r="V175" s="14">
        <f t="shared" si="114"/>
        <v>2039</v>
      </c>
      <c r="W175" s="14">
        <f t="shared" si="114"/>
        <v>2040</v>
      </c>
      <c r="X175" s="14">
        <f t="shared" si="114"/>
        <v>2041</v>
      </c>
      <c r="Y175" s="14">
        <f t="shared" si="114"/>
        <v>2042</v>
      </c>
      <c r="Z175" s="14">
        <f t="shared" si="114"/>
        <v>2043</v>
      </c>
      <c r="AA175" s="14">
        <f t="shared" si="114"/>
        <v>2044</v>
      </c>
      <c r="AB175" s="14">
        <f t="shared" si="114"/>
        <v>2045</v>
      </c>
      <c r="AC175" s="14">
        <f t="shared" si="114"/>
        <v>2046</v>
      </c>
      <c r="AD175" s="14">
        <f t="shared" ref="AD175:AK175" si="115">AD150</f>
        <v>2047</v>
      </c>
      <c r="AE175" s="14">
        <f t="shared" si="115"/>
        <v>2048</v>
      </c>
      <c r="AF175" s="14">
        <f t="shared" si="115"/>
        <v>2049</v>
      </c>
      <c r="AG175" s="14">
        <f t="shared" si="115"/>
        <v>2050</v>
      </c>
      <c r="AH175" s="14">
        <f t="shared" si="115"/>
        <v>2051</v>
      </c>
      <c r="AI175" s="14">
        <f t="shared" si="115"/>
        <v>2052</v>
      </c>
      <c r="AJ175" s="14">
        <f t="shared" si="115"/>
        <v>2053</v>
      </c>
      <c r="AK175" s="14">
        <f t="shared" si="115"/>
        <v>2054</v>
      </c>
      <c r="AL175" s="2"/>
      <c r="AM175" s="2"/>
      <c r="AN175" s="2"/>
      <c r="AO175" s="2"/>
      <c r="AP175" s="2"/>
    </row>
    <row r="176" spans="2:44" outlineLevel="1" x14ac:dyDescent="0.3">
      <c r="B176" s="1" t="s">
        <v>5</v>
      </c>
      <c r="C176" s="2">
        <f>SUM(E176:AK176)</f>
        <v>202.24659431033743</v>
      </c>
      <c r="D176" s="50" t="s">
        <v>6</v>
      </c>
      <c r="E176" s="58">
        <v>0</v>
      </c>
      <c r="F176" s="58">
        <v>0</v>
      </c>
      <c r="G176" s="58">
        <v>0</v>
      </c>
      <c r="H176" s="58">
        <v>0</v>
      </c>
      <c r="I176" s="58">
        <v>0</v>
      </c>
      <c r="J176" s="58">
        <v>0</v>
      </c>
      <c r="K176" s="58">
        <v>0</v>
      </c>
      <c r="L176" s="58"/>
      <c r="M176" s="58"/>
      <c r="N176" s="58"/>
      <c r="O176" s="58">
        <v>7.0714396973400007</v>
      </c>
      <c r="P176" s="58">
        <v>14.090841362949998</v>
      </c>
      <c r="Q176" s="58">
        <v>14.92586084080755</v>
      </c>
      <c r="R176" s="58">
        <v>14.92586084080755</v>
      </c>
      <c r="S176" s="58">
        <v>14.966753610234418</v>
      </c>
      <c r="T176" s="58">
        <v>14.92586084080755</v>
      </c>
      <c r="U176" s="58">
        <v>14.92586084080755</v>
      </c>
      <c r="V176" s="58">
        <v>14.92586084080755</v>
      </c>
      <c r="W176" s="58">
        <v>14.966753610234418</v>
      </c>
      <c r="X176" s="58">
        <v>14.648003298707552</v>
      </c>
      <c r="Y176" s="58">
        <v>11.669797911707048</v>
      </c>
      <c r="Z176" s="58">
        <v>9.3831632286137499</v>
      </c>
      <c r="AA176" s="58">
        <v>7.5337697346165609</v>
      </c>
      <c r="AB176" s="58">
        <v>6.466387220491649</v>
      </c>
      <c r="AC176" s="58">
        <v>5.5028325715153503</v>
      </c>
      <c r="AD176" s="58">
        <v>4.5109176777835502</v>
      </c>
      <c r="AE176" s="58">
        <v>4.0453597124362206</v>
      </c>
      <c r="AF176" s="58">
        <v>3.6597767389301494</v>
      </c>
      <c r="AG176" s="58">
        <v>3.3119770058907001</v>
      </c>
      <c r="AH176" s="58">
        <v>3.0183663374896001</v>
      </c>
      <c r="AI176" s="58">
        <v>2.7711503873587744</v>
      </c>
      <c r="AJ176" s="58"/>
      <c r="AK176" s="58"/>
      <c r="AL176" s="2"/>
      <c r="AM176" s="2"/>
      <c r="AN176" s="2"/>
      <c r="AO176" s="2"/>
      <c r="AP176" s="2"/>
      <c r="AQ176" s="2"/>
      <c r="AR176" s="2"/>
    </row>
    <row r="177" spans="2:42" outlineLevel="1" x14ac:dyDescent="0.3">
      <c r="B177" s="1" t="s">
        <v>7</v>
      </c>
      <c r="C177" s="2">
        <f>SUM(E177:AK177)</f>
        <v>0</v>
      </c>
      <c r="D177" s="50" t="s">
        <v>8</v>
      </c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2"/>
      <c r="AM177" s="2"/>
      <c r="AN177" s="2"/>
      <c r="AO177" s="2"/>
      <c r="AP177" s="2"/>
    </row>
    <row r="178" spans="2:42" outlineLevel="1" x14ac:dyDescent="0.3">
      <c r="B178" s="1" t="s">
        <v>9</v>
      </c>
      <c r="C178" s="2">
        <f>SUM(E178:AK178)</f>
        <v>0</v>
      </c>
      <c r="D178" s="50" t="s">
        <v>6</v>
      </c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8"/>
      <c r="AE178" s="58"/>
      <c r="AF178" s="58"/>
      <c r="AG178" s="59"/>
      <c r="AH178" s="59"/>
      <c r="AI178" s="58"/>
      <c r="AJ178" s="58"/>
      <c r="AK178" s="58"/>
      <c r="AL178" s="2"/>
      <c r="AM178" s="2"/>
      <c r="AN178" s="2"/>
      <c r="AO178" s="2"/>
      <c r="AP178" s="2"/>
    </row>
    <row r="179" spans="2:42" outlineLevel="1" x14ac:dyDescent="0.3">
      <c r="B179" s="1" t="s">
        <v>10</v>
      </c>
      <c r="C179" s="2">
        <f>SUM(E179:AK179)</f>
        <v>9.3229538825850007</v>
      </c>
      <c r="D179" s="50" t="s">
        <v>8</v>
      </c>
      <c r="E179" s="58">
        <v>0</v>
      </c>
      <c r="F179" s="58">
        <v>0</v>
      </c>
      <c r="G179" s="58">
        <v>0</v>
      </c>
      <c r="H179" s="58">
        <v>0</v>
      </c>
      <c r="I179" s="58">
        <v>0</v>
      </c>
      <c r="J179" s="58">
        <v>0</v>
      </c>
      <c r="K179" s="58">
        <v>0</v>
      </c>
      <c r="L179" s="58"/>
      <c r="M179" s="58">
        <v>0.67159999999999997</v>
      </c>
      <c r="N179" s="58">
        <v>0.67159999999999997</v>
      </c>
      <c r="O179" s="58">
        <v>0.67344000000000004</v>
      </c>
      <c r="P179" s="58">
        <v>0.67159999999999997</v>
      </c>
      <c r="Q179" s="58">
        <v>0.67159999999999997</v>
      </c>
      <c r="R179" s="58">
        <v>0.67159999999999997</v>
      </c>
      <c r="S179" s="58">
        <v>0.67344000000000004</v>
      </c>
      <c r="T179" s="58">
        <v>0.67159999999999997</v>
      </c>
      <c r="U179" s="58">
        <v>0.66481625600000005</v>
      </c>
      <c r="V179" s="58">
        <v>0.60551368400000005</v>
      </c>
      <c r="W179" s="58">
        <v>0.53768569560000001</v>
      </c>
      <c r="X179" s="58">
        <v>0.46760960299999998</v>
      </c>
      <c r="Y179" s="58">
        <v>0.40034481150000006</v>
      </c>
      <c r="Z179" s="58">
        <v>0.33650371635000004</v>
      </c>
      <c r="AA179" s="58">
        <v>0.27808602407999999</v>
      </c>
      <c r="AB179" s="58">
        <v>0.22527956585000003</v>
      </c>
      <c r="AC179" s="58">
        <v>0.18007553130000001</v>
      </c>
      <c r="AD179" s="58">
        <v>0.13856812185</v>
      </c>
      <c r="AE179" s="58">
        <v>0.10465316892</v>
      </c>
      <c r="AF179" s="58">
        <v>7.3377041349999995E-3</v>
      </c>
      <c r="AG179" s="58"/>
      <c r="AH179" s="58"/>
      <c r="AI179" s="58"/>
      <c r="AJ179" s="58"/>
      <c r="AK179" s="58"/>
      <c r="AL179" s="2"/>
      <c r="AM179" s="2"/>
      <c r="AN179" s="2"/>
      <c r="AO179" s="2"/>
      <c r="AP179" s="2"/>
    </row>
    <row r="180" spans="2:42" outlineLevel="1" x14ac:dyDescent="0.3">
      <c r="B180" s="1" t="s">
        <v>11</v>
      </c>
      <c r="C180" s="2">
        <f>SUM(E180:AK180)</f>
        <v>0</v>
      </c>
      <c r="D180" s="50" t="s">
        <v>12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2" spans="2:42" x14ac:dyDescent="0.3">
      <c r="B182" s="1" t="s">
        <v>251</v>
      </c>
      <c r="C182" s="2">
        <f>SUM(E182:AK182)</f>
        <v>0</v>
      </c>
      <c r="D182" s="50" t="s">
        <v>8</v>
      </c>
      <c r="E182" s="170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  <c r="AA182" s="170"/>
      <c r="AB182" s="170"/>
      <c r="AC182" s="170"/>
      <c r="AD182" s="170"/>
      <c r="AE182" s="170"/>
      <c r="AF182" s="170"/>
      <c r="AG182" s="170"/>
      <c r="AH182" s="170"/>
      <c r="AI182" s="170"/>
      <c r="AJ182" s="170"/>
      <c r="AK182" s="170"/>
    </row>
    <row r="186" spans="2:42" outlineLevel="1" x14ac:dyDescent="0.3">
      <c r="B186" s="14" t="s">
        <v>68</v>
      </c>
      <c r="C186" s="14" t="s">
        <v>3</v>
      </c>
      <c r="D186" s="14" t="s">
        <v>4</v>
      </c>
      <c r="E186" s="14">
        <f>E175</f>
        <v>2022</v>
      </c>
      <c r="F186" s="14">
        <f>E186+1</f>
        <v>2023</v>
      </c>
      <c r="G186" s="14">
        <f t="shared" ref="G186:AK186" si="116">F186+1</f>
        <v>2024</v>
      </c>
      <c r="H186" s="14">
        <f t="shared" si="116"/>
        <v>2025</v>
      </c>
      <c r="I186" s="14">
        <f t="shared" si="116"/>
        <v>2026</v>
      </c>
      <c r="J186" s="14">
        <f t="shared" si="116"/>
        <v>2027</v>
      </c>
      <c r="K186" s="14">
        <f t="shared" si="116"/>
        <v>2028</v>
      </c>
      <c r="L186" s="14">
        <f t="shared" si="116"/>
        <v>2029</v>
      </c>
      <c r="M186" s="14">
        <f t="shared" si="116"/>
        <v>2030</v>
      </c>
      <c r="N186" s="14">
        <f t="shared" si="116"/>
        <v>2031</v>
      </c>
      <c r="O186" s="14">
        <f t="shared" si="116"/>
        <v>2032</v>
      </c>
      <c r="P186" s="14">
        <f t="shared" si="116"/>
        <v>2033</v>
      </c>
      <c r="Q186" s="14">
        <f t="shared" si="116"/>
        <v>2034</v>
      </c>
      <c r="R186" s="14">
        <f t="shared" si="116"/>
        <v>2035</v>
      </c>
      <c r="S186" s="14">
        <f t="shared" si="116"/>
        <v>2036</v>
      </c>
      <c r="T186" s="14">
        <f t="shared" si="116"/>
        <v>2037</v>
      </c>
      <c r="U186" s="14">
        <f t="shared" si="116"/>
        <v>2038</v>
      </c>
      <c r="V186" s="14">
        <f t="shared" si="116"/>
        <v>2039</v>
      </c>
      <c r="W186" s="14">
        <f t="shared" si="116"/>
        <v>2040</v>
      </c>
      <c r="X186" s="14">
        <f t="shared" si="116"/>
        <v>2041</v>
      </c>
      <c r="Y186" s="14">
        <f t="shared" si="116"/>
        <v>2042</v>
      </c>
      <c r="Z186" s="14">
        <f t="shared" si="116"/>
        <v>2043</v>
      </c>
      <c r="AA186" s="14">
        <f t="shared" si="116"/>
        <v>2044</v>
      </c>
      <c r="AB186" s="14">
        <f t="shared" si="116"/>
        <v>2045</v>
      </c>
      <c r="AC186" s="14">
        <f t="shared" si="116"/>
        <v>2046</v>
      </c>
      <c r="AD186" s="14">
        <f t="shared" si="116"/>
        <v>2047</v>
      </c>
      <c r="AE186" s="14">
        <f t="shared" si="116"/>
        <v>2048</v>
      </c>
      <c r="AF186" s="14">
        <f t="shared" si="116"/>
        <v>2049</v>
      </c>
      <c r="AG186" s="14">
        <f t="shared" si="116"/>
        <v>2050</v>
      </c>
      <c r="AH186" s="14">
        <f t="shared" si="116"/>
        <v>2051</v>
      </c>
      <c r="AI186" s="14">
        <f t="shared" si="116"/>
        <v>2052</v>
      </c>
      <c r="AJ186" s="14">
        <f t="shared" si="116"/>
        <v>2053</v>
      </c>
      <c r="AK186" s="14">
        <f t="shared" si="116"/>
        <v>2054</v>
      </c>
    </row>
    <row r="187" spans="2:42" outlineLevel="1" x14ac:dyDescent="0.3">
      <c r="B187" s="20" t="s">
        <v>22</v>
      </c>
      <c r="C187" s="35">
        <f>SUM(E187:AK187)</f>
        <v>368</v>
      </c>
      <c r="D187" s="50" t="s">
        <v>0</v>
      </c>
      <c r="E187" s="60"/>
      <c r="F187" s="60"/>
      <c r="G187" s="60"/>
      <c r="H187" s="60">
        <v>0</v>
      </c>
      <c r="I187" s="60">
        <v>0</v>
      </c>
      <c r="J187" s="60">
        <v>36.799999999999997</v>
      </c>
      <c r="K187" s="60">
        <v>110.4</v>
      </c>
      <c r="L187" s="60">
        <v>110.4</v>
      </c>
      <c r="M187" s="60">
        <v>110.4</v>
      </c>
      <c r="N187" s="60"/>
      <c r="O187" s="60"/>
      <c r="P187" s="60"/>
      <c r="Q187" s="60">
        <v>0</v>
      </c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</row>
    <row r="188" spans="2:42" outlineLevel="1" x14ac:dyDescent="0.3">
      <c r="B188" s="20" t="s">
        <v>23</v>
      </c>
      <c r="C188" s="35">
        <f t="shared" ref="C188:C200" si="117">SUM(E188:AK188)</f>
        <v>924</v>
      </c>
      <c r="D188" s="50" t="s">
        <v>0</v>
      </c>
      <c r="E188" s="60"/>
      <c r="F188" s="60"/>
      <c r="G188" s="60"/>
      <c r="H188" s="60">
        <v>0</v>
      </c>
      <c r="I188" s="60"/>
      <c r="J188" s="60">
        <v>92.4</v>
      </c>
      <c r="K188" s="60">
        <v>215.6</v>
      </c>
      <c r="L188" s="60">
        <v>308</v>
      </c>
      <c r="M188" s="60">
        <v>308</v>
      </c>
      <c r="N188" s="60"/>
      <c r="O188" s="60"/>
      <c r="P188" s="60"/>
      <c r="Q188" s="60">
        <v>0</v>
      </c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</row>
    <row r="189" spans="2:42" outlineLevel="1" x14ac:dyDescent="0.3">
      <c r="B189" s="20" t="s">
        <v>24</v>
      </c>
      <c r="C189" s="35">
        <f t="shared" si="117"/>
        <v>86.100000000000009</v>
      </c>
      <c r="D189" s="50" t="s">
        <v>0</v>
      </c>
      <c r="E189" s="60"/>
      <c r="F189" s="60"/>
      <c r="G189" s="60"/>
      <c r="H189" s="60">
        <v>0</v>
      </c>
      <c r="I189" s="60">
        <v>0</v>
      </c>
      <c r="J189" s="60">
        <v>0</v>
      </c>
      <c r="K189" s="60"/>
      <c r="L189" s="60">
        <v>41.000000000000007</v>
      </c>
      <c r="M189" s="60">
        <v>45.1</v>
      </c>
      <c r="N189" s="60"/>
      <c r="O189" s="60"/>
      <c r="P189" s="60"/>
      <c r="Q189" s="60">
        <v>0</v>
      </c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</row>
    <row r="190" spans="2:42" outlineLevel="1" x14ac:dyDescent="0.3">
      <c r="B190" s="20" t="s">
        <v>25</v>
      </c>
      <c r="C190" s="35">
        <f t="shared" si="117"/>
        <v>6.47</v>
      </c>
      <c r="D190" s="50" t="s">
        <v>0</v>
      </c>
      <c r="E190" s="60"/>
      <c r="F190" s="60"/>
      <c r="G190" s="60"/>
      <c r="H190" s="60">
        <v>0</v>
      </c>
      <c r="I190" s="60">
        <v>0</v>
      </c>
      <c r="J190" s="60">
        <v>6.47</v>
      </c>
      <c r="K190" s="60"/>
      <c r="L190" s="60"/>
      <c r="M190" s="60"/>
      <c r="N190" s="60"/>
      <c r="O190" s="60"/>
      <c r="P190" s="60"/>
      <c r="Q190" s="60">
        <v>0</v>
      </c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</row>
    <row r="191" spans="2:42" outlineLevel="1" x14ac:dyDescent="0.3">
      <c r="B191" s="20" t="s">
        <v>40</v>
      </c>
      <c r="C191" s="35">
        <f t="shared" si="117"/>
        <v>45</v>
      </c>
      <c r="D191" s="50" t="s">
        <v>0</v>
      </c>
      <c r="E191" s="60"/>
      <c r="F191" s="60"/>
      <c r="G191" s="60"/>
      <c r="H191" s="60">
        <v>15</v>
      </c>
      <c r="I191" s="60">
        <v>15</v>
      </c>
      <c r="J191" s="60">
        <v>15</v>
      </c>
      <c r="K191" s="60">
        <v>0</v>
      </c>
      <c r="L191" s="60">
        <v>0</v>
      </c>
      <c r="M191" s="60">
        <v>0</v>
      </c>
      <c r="N191" s="60"/>
      <c r="O191" s="60"/>
      <c r="P191" s="60"/>
      <c r="Q191" s="60">
        <v>0</v>
      </c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</row>
    <row r="192" spans="2:42" outlineLevel="1" x14ac:dyDescent="0.3">
      <c r="B192" s="20" t="s">
        <v>27</v>
      </c>
      <c r="C192" s="35">
        <f t="shared" si="117"/>
        <v>50</v>
      </c>
      <c r="D192" s="50" t="s">
        <v>0</v>
      </c>
      <c r="E192" s="60"/>
      <c r="F192" s="60"/>
      <c r="G192" s="60"/>
      <c r="H192" s="60">
        <v>0</v>
      </c>
      <c r="I192" s="60">
        <v>0</v>
      </c>
      <c r="J192" s="60">
        <v>15</v>
      </c>
      <c r="K192" s="60">
        <v>17</v>
      </c>
      <c r="L192" s="60">
        <v>18</v>
      </c>
      <c r="M192" s="60">
        <v>0</v>
      </c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</row>
    <row r="193" spans="2:37" outlineLevel="1" x14ac:dyDescent="0.3">
      <c r="B193" s="20" t="s">
        <v>28</v>
      </c>
      <c r="C193" s="35">
        <f t="shared" si="117"/>
        <v>304</v>
      </c>
      <c r="D193" s="50" t="s">
        <v>0</v>
      </c>
      <c r="E193" s="60"/>
      <c r="F193" s="60"/>
      <c r="G193" s="60"/>
      <c r="H193" s="60">
        <v>0</v>
      </c>
      <c r="I193" s="60">
        <v>0</v>
      </c>
      <c r="J193" s="60">
        <v>0</v>
      </c>
      <c r="K193" s="60">
        <v>0</v>
      </c>
      <c r="L193" s="60">
        <v>0</v>
      </c>
      <c r="M193" s="60">
        <v>38</v>
      </c>
      <c r="N193" s="60">
        <v>114</v>
      </c>
      <c r="O193" s="60">
        <v>114</v>
      </c>
      <c r="P193" s="60">
        <v>38</v>
      </c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</row>
    <row r="194" spans="2:37" outlineLevel="1" x14ac:dyDescent="0.3">
      <c r="B194" s="20" t="s">
        <v>29</v>
      </c>
      <c r="C194" s="35">
        <f t="shared" si="117"/>
        <v>0</v>
      </c>
      <c r="D194" s="50" t="s">
        <v>0</v>
      </c>
      <c r="E194" s="60"/>
      <c r="F194" s="60"/>
      <c r="G194" s="60"/>
      <c r="H194" s="60">
        <v>0</v>
      </c>
      <c r="I194" s="60">
        <v>0</v>
      </c>
      <c r="J194" s="60">
        <v>0</v>
      </c>
      <c r="K194" s="60">
        <v>0</v>
      </c>
      <c r="L194" s="60">
        <v>0</v>
      </c>
      <c r="M194" s="60">
        <v>0</v>
      </c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</row>
    <row r="195" spans="2:37" outlineLevel="1" x14ac:dyDescent="0.3">
      <c r="B195" s="20" t="s">
        <v>30</v>
      </c>
      <c r="C195" s="35">
        <f t="shared" si="117"/>
        <v>0</v>
      </c>
      <c r="D195" s="50" t="s">
        <v>0</v>
      </c>
      <c r="E195" s="60"/>
      <c r="F195" s="60"/>
      <c r="G195" s="60"/>
      <c r="H195" s="60">
        <v>0</v>
      </c>
      <c r="I195" s="60">
        <v>0</v>
      </c>
      <c r="J195" s="60">
        <v>0</v>
      </c>
      <c r="K195" s="60">
        <v>0</v>
      </c>
      <c r="L195" s="60">
        <v>0</v>
      </c>
      <c r="M195" s="60">
        <v>0</v>
      </c>
      <c r="N195" s="60"/>
      <c r="O195" s="60"/>
      <c r="P195" s="60"/>
      <c r="Q195" s="60">
        <v>0</v>
      </c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</row>
    <row r="196" spans="2:37" outlineLevel="1" x14ac:dyDescent="0.3">
      <c r="B196" s="20" t="s">
        <v>31</v>
      </c>
      <c r="C196" s="35">
        <f t="shared" si="117"/>
        <v>0</v>
      </c>
      <c r="D196" s="50" t="s">
        <v>0</v>
      </c>
      <c r="E196" s="60"/>
      <c r="F196" s="60"/>
      <c r="G196" s="60"/>
      <c r="H196" s="60">
        <v>0</v>
      </c>
      <c r="I196" s="60">
        <v>0</v>
      </c>
      <c r="J196" s="60">
        <v>0</v>
      </c>
      <c r="K196" s="60">
        <v>0</v>
      </c>
      <c r="L196" s="60">
        <v>0</v>
      </c>
      <c r="M196" s="60">
        <v>0</v>
      </c>
      <c r="N196" s="60"/>
      <c r="O196" s="60"/>
      <c r="P196" s="60"/>
      <c r="Q196" s="60">
        <v>0</v>
      </c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</row>
    <row r="197" spans="2:37" outlineLevel="1" x14ac:dyDescent="0.3">
      <c r="B197" s="20" t="s">
        <v>41</v>
      </c>
      <c r="C197" s="35">
        <f t="shared" si="117"/>
        <v>0</v>
      </c>
      <c r="D197" s="50" t="s">
        <v>0</v>
      </c>
      <c r="E197" s="60"/>
      <c r="F197" s="60"/>
      <c r="G197" s="60"/>
      <c r="H197" s="60">
        <v>0</v>
      </c>
      <c r="I197" s="60">
        <v>0</v>
      </c>
      <c r="J197" s="60">
        <v>0</v>
      </c>
      <c r="K197" s="60">
        <v>0</v>
      </c>
      <c r="L197" s="60">
        <v>0</v>
      </c>
      <c r="M197" s="60">
        <v>0</v>
      </c>
      <c r="N197" s="60"/>
      <c r="O197" s="60"/>
      <c r="P197" s="60"/>
      <c r="Q197" s="60">
        <v>0</v>
      </c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</row>
    <row r="198" spans="2:37" outlineLevel="1" x14ac:dyDescent="0.3">
      <c r="B198" s="20" t="s">
        <v>33</v>
      </c>
      <c r="C198" s="35">
        <f t="shared" si="117"/>
        <v>124.84990000000001</v>
      </c>
      <c r="D198" s="50" t="s">
        <v>0</v>
      </c>
      <c r="E198" s="60"/>
      <c r="F198" s="60"/>
      <c r="G198" s="60"/>
      <c r="H198" s="60">
        <v>1.05</v>
      </c>
      <c r="I198" s="60">
        <v>1.05</v>
      </c>
      <c r="J198" s="60">
        <v>11.5969</v>
      </c>
      <c r="K198" s="60">
        <v>24.01</v>
      </c>
      <c r="L198" s="60">
        <v>33.417999999999999</v>
      </c>
      <c r="M198" s="60">
        <v>35.105000000000004</v>
      </c>
      <c r="N198" s="60">
        <v>7.98</v>
      </c>
      <c r="O198" s="60">
        <v>7.98</v>
      </c>
      <c r="P198" s="60">
        <v>2.66</v>
      </c>
      <c r="Q198" s="60">
        <v>0</v>
      </c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</row>
    <row r="199" spans="2:37" outlineLevel="1" x14ac:dyDescent="0.3">
      <c r="B199" s="20" t="s">
        <v>34</v>
      </c>
      <c r="C199" s="35">
        <f t="shared" si="117"/>
        <v>356.71400000000006</v>
      </c>
      <c r="D199" s="50" t="s">
        <v>0</v>
      </c>
      <c r="E199" s="60"/>
      <c r="F199" s="60"/>
      <c r="G199" s="60"/>
      <c r="H199" s="60">
        <v>3</v>
      </c>
      <c r="I199" s="60">
        <v>3</v>
      </c>
      <c r="J199" s="60">
        <v>33.134</v>
      </c>
      <c r="K199" s="60">
        <v>68.600000000000009</v>
      </c>
      <c r="L199" s="60">
        <v>95.48</v>
      </c>
      <c r="M199" s="60">
        <v>100.30000000000001</v>
      </c>
      <c r="N199" s="60">
        <v>22.8</v>
      </c>
      <c r="O199" s="60">
        <v>22.8</v>
      </c>
      <c r="P199" s="60">
        <v>7.6000000000000005</v>
      </c>
      <c r="Q199" s="60">
        <v>0</v>
      </c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</row>
    <row r="200" spans="2:37" outlineLevel="1" x14ac:dyDescent="0.3">
      <c r="B200" s="45" t="s">
        <v>3</v>
      </c>
      <c r="C200" s="35">
        <f t="shared" si="117"/>
        <v>2265.1339000000003</v>
      </c>
      <c r="D200" s="50" t="s">
        <v>0</v>
      </c>
      <c r="E200" s="61"/>
      <c r="F200" s="60"/>
      <c r="G200" s="60"/>
      <c r="H200" s="60">
        <f>SUM(H187:H199)</f>
        <v>19.05</v>
      </c>
      <c r="I200" s="60">
        <f t="shared" ref="I200:AK200" si="118">SUM(I187:I199)</f>
        <v>19.05</v>
      </c>
      <c r="J200" s="60">
        <f t="shared" si="118"/>
        <v>210.40089999999998</v>
      </c>
      <c r="K200" s="60">
        <f t="shared" si="118"/>
        <v>435.61</v>
      </c>
      <c r="L200" s="60">
        <f t="shared" si="118"/>
        <v>606.298</v>
      </c>
      <c r="M200" s="60">
        <f t="shared" si="118"/>
        <v>636.90499999999997</v>
      </c>
      <c r="N200" s="60">
        <f t="shared" si="118"/>
        <v>144.78</v>
      </c>
      <c r="O200" s="60">
        <f t="shared" si="118"/>
        <v>144.78</v>
      </c>
      <c r="P200" s="60">
        <f t="shared" si="118"/>
        <v>48.26</v>
      </c>
      <c r="Q200" s="60">
        <f t="shared" si="118"/>
        <v>0</v>
      </c>
      <c r="R200" s="60">
        <f t="shared" si="118"/>
        <v>0</v>
      </c>
      <c r="S200" s="60">
        <f t="shared" si="118"/>
        <v>0</v>
      </c>
      <c r="T200" s="60">
        <f t="shared" si="118"/>
        <v>0</v>
      </c>
      <c r="U200" s="60">
        <f t="shared" si="118"/>
        <v>0</v>
      </c>
      <c r="V200" s="60">
        <f t="shared" si="118"/>
        <v>0</v>
      </c>
      <c r="W200" s="60">
        <f t="shared" si="118"/>
        <v>0</v>
      </c>
      <c r="X200" s="60">
        <f t="shared" si="118"/>
        <v>0</v>
      </c>
      <c r="Y200" s="60">
        <f t="shared" si="118"/>
        <v>0</v>
      </c>
      <c r="Z200" s="60">
        <f t="shared" si="118"/>
        <v>0</v>
      </c>
      <c r="AA200" s="60">
        <f t="shared" si="118"/>
        <v>0</v>
      </c>
      <c r="AB200" s="60">
        <f t="shared" si="118"/>
        <v>0</v>
      </c>
      <c r="AC200" s="60">
        <f t="shared" si="118"/>
        <v>0</v>
      </c>
      <c r="AD200" s="60">
        <f t="shared" si="118"/>
        <v>0</v>
      </c>
      <c r="AE200" s="60">
        <f t="shared" si="118"/>
        <v>0</v>
      </c>
      <c r="AF200" s="60">
        <f t="shared" si="118"/>
        <v>0</v>
      </c>
      <c r="AG200" s="60">
        <f t="shared" si="118"/>
        <v>0</v>
      </c>
      <c r="AH200" s="60">
        <f t="shared" si="118"/>
        <v>0</v>
      </c>
      <c r="AI200" s="60">
        <f t="shared" si="118"/>
        <v>0</v>
      </c>
      <c r="AJ200" s="60">
        <f t="shared" si="118"/>
        <v>0</v>
      </c>
      <c r="AK200" s="60">
        <f t="shared" si="118"/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48C6-9DEB-48CC-9BDC-0BB24C7422E2}">
  <sheetPr codeName="Sheet5">
    <tabColor theme="9" tint="0.39997558519241921"/>
  </sheetPr>
  <dimension ref="A1:AK85"/>
  <sheetViews>
    <sheetView showGridLines="0" topLeftCell="A25" zoomScale="70" zoomScaleNormal="70" workbookViewId="0">
      <selection activeCell="G38" sqref="G38"/>
    </sheetView>
  </sheetViews>
  <sheetFormatPr defaultColWidth="0" defaultRowHeight="14.4" zeroHeight="1" outlineLevelRow="1" x14ac:dyDescent="0.3"/>
  <cols>
    <col min="1" max="1" width="56.21875" style="6" bestFit="1" customWidth="1"/>
    <col min="2" max="2" width="12.77734375" style="6" bestFit="1" customWidth="1"/>
    <col min="3" max="3" width="15.21875" style="6" bestFit="1" customWidth="1"/>
    <col min="4" max="4" width="11.5546875" style="6" bestFit="1" customWidth="1"/>
    <col min="5" max="5" width="10.5546875" style="6" bestFit="1" customWidth="1"/>
    <col min="6" max="6" width="11.5546875" style="6" bestFit="1" customWidth="1"/>
    <col min="7" max="7" width="10.5546875" style="6" bestFit="1" customWidth="1"/>
    <col min="8" max="10" width="11.5546875" style="6" bestFit="1" customWidth="1"/>
    <col min="11" max="16" width="10.5546875" style="6" bestFit="1" customWidth="1"/>
    <col min="17" max="21" width="10.44140625" style="6" bestFit="1" customWidth="1"/>
    <col min="22" max="23" width="9.5546875" style="6" bestFit="1" customWidth="1"/>
    <col min="24" max="28" width="9.77734375" style="6" bestFit="1" customWidth="1"/>
    <col min="29" max="33" width="9.77734375" style="6" customWidth="1"/>
    <col min="34" max="36" width="9.77734375" style="6" bestFit="1" customWidth="1"/>
    <col min="37" max="37" width="9.21875" style="6" customWidth="1"/>
    <col min="38" max="16384" width="9.21875" style="6" hidden="1"/>
  </cols>
  <sheetData>
    <row r="1" spans="1:36" ht="15" x14ac:dyDescent="0.3">
      <c r="A1" s="12" t="s">
        <v>209</v>
      </c>
    </row>
    <row r="2" spans="1:36" ht="15" outlineLevel="1" x14ac:dyDescent="0.3">
      <c r="A2" s="14"/>
      <c r="B2" s="15" t="s">
        <v>3</v>
      </c>
      <c r="C2" s="15" t="s">
        <v>4</v>
      </c>
      <c r="D2" s="15">
        <v>2022</v>
      </c>
      <c r="E2" s="15">
        <f>D2+1</f>
        <v>2023</v>
      </c>
      <c r="F2" s="15">
        <f t="shared" ref="F2:AB2" si="0">E2+1</f>
        <v>2024</v>
      </c>
      <c r="G2" s="15">
        <f t="shared" si="0"/>
        <v>2025</v>
      </c>
      <c r="H2" s="15">
        <f t="shared" si="0"/>
        <v>2026</v>
      </c>
      <c r="I2" s="15">
        <f t="shared" si="0"/>
        <v>2027</v>
      </c>
      <c r="J2" s="15">
        <f t="shared" si="0"/>
        <v>2028</v>
      </c>
      <c r="K2" s="15">
        <f t="shared" si="0"/>
        <v>2029</v>
      </c>
      <c r="L2" s="15">
        <f t="shared" si="0"/>
        <v>2030</v>
      </c>
      <c r="M2" s="15">
        <f t="shared" si="0"/>
        <v>2031</v>
      </c>
      <c r="N2" s="15">
        <f t="shared" si="0"/>
        <v>2032</v>
      </c>
      <c r="O2" s="15">
        <f t="shared" si="0"/>
        <v>2033</v>
      </c>
      <c r="P2" s="15">
        <f t="shared" si="0"/>
        <v>2034</v>
      </c>
      <c r="Q2" s="15">
        <f t="shared" si="0"/>
        <v>2035</v>
      </c>
      <c r="R2" s="15">
        <f t="shared" si="0"/>
        <v>2036</v>
      </c>
      <c r="S2" s="15">
        <f t="shared" si="0"/>
        <v>2037</v>
      </c>
      <c r="T2" s="15">
        <f t="shared" si="0"/>
        <v>2038</v>
      </c>
      <c r="U2" s="15">
        <f t="shared" si="0"/>
        <v>2039</v>
      </c>
      <c r="V2" s="15">
        <f t="shared" si="0"/>
        <v>2040</v>
      </c>
      <c r="W2" s="15">
        <f t="shared" si="0"/>
        <v>2041</v>
      </c>
      <c r="X2" s="15">
        <f t="shared" si="0"/>
        <v>2042</v>
      </c>
      <c r="Y2" s="15">
        <f t="shared" si="0"/>
        <v>2043</v>
      </c>
      <c r="Z2" s="15">
        <f t="shared" si="0"/>
        <v>2044</v>
      </c>
      <c r="AA2" s="15">
        <f t="shared" si="0"/>
        <v>2045</v>
      </c>
      <c r="AB2" s="15">
        <f t="shared" si="0"/>
        <v>2046</v>
      </c>
      <c r="AC2" s="15">
        <f t="shared" ref="AC2:AJ2" si="1">AB2+1</f>
        <v>2047</v>
      </c>
      <c r="AD2" s="15">
        <f t="shared" si="1"/>
        <v>2048</v>
      </c>
      <c r="AE2" s="15">
        <f t="shared" si="1"/>
        <v>2049</v>
      </c>
      <c r="AF2" s="15">
        <f t="shared" si="1"/>
        <v>2050</v>
      </c>
      <c r="AG2" s="15">
        <f t="shared" si="1"/>
        <v>2051</v>
      </c>
      <c r="AH2" s="15">
        <f t="shared" si="1"/>
        <v>2052</v>
      </c>
      <c r="AI2" s="15">
        <f t="shared" si="1"/>
        <v>2053</v>
      </c>
      <c r="AJ2" s="15">
        <f t="shared" si="1"/>
        <v>2054</v>
      </c>
    </row>
    <row r="3" spans="1:36" ht="15.6" outlineLevel="1" x14ac:dyDescent="0.3">
      <c r="A3" s="36" t="s">
        <v>137</v>
      </c>
      <c r="B3" s="44" t="s">
        <v>243</v>
      </c>
      <c r="C3" s="8" t="s">
        <v>75</v>
      </c>
      <c r="D3" s="52">
        <f>IF($B$3="yes",4.8%,0)</f>
        <v>4.8000000000000001E-2</v>
      </c>
      <c r="E3" s="52">
        <f t="shared" ref="E3:AJ3" si="2">IF($B$3="yes",4.8%,0)</f>
        <v>4.8000000000000001E-2</v>
      </c>
      <c r="F3" s="52">
        <f t="shared" si="2"/>
        <v>4.8000000000000001E-2</v>
      </c>
      <c r="G3" s="52">
        <f t="shared" si="2"/>
        <v>4.8000000000000001E-2</v>
      </c>
      <c r="H3" s="52">
        <f t="shared" si="2"/>
        <v>4.8000000000000001E-2</v>
      </c>
      <c r="I3" s="52">
        <f t="shared" si="2"/>
        <v>4.8000000000000001E-2</v>
      </c>
      <c r="J3" s="52">
        <f t="shared" si="2"/>
        <v>4.8000000000000001E-2</v>
      </c>
      <c r="K3" s="52">
        <f t="shared" si="2"/>
        <v>4.8000000000000001E-2</v>
      </c>
      <c r="L3" s="52">
        <f t="shared" si="2"/>
        <v>4.8000000000000001E-2</v>
      </c>
      <c r="M3" s="52">
        <f t="shared" si="2"/>
        <v>4.8000000000000001E-2</v>
      </c>
      <c r="N3" s="52">
        <f t="shared" si="2"/>
        <v>4.8000000000000001E-2</v>
      </c>
      <c r="O3" s="52">
        <f t="shared" si="2"/>
        <v>4.8000000000000001E-2</v>
      </c>
      <c r="P3" s="52">
        <f t="shared" si="2"/>
        <v>4.8000000000000001E-2</v>
      </c>
      <c r="Q3" s="52">
        <f t="shared" si="2"/>
        <v>4.8000000000000001E-2</v>
      </c>
      <c r="R3" s="52">
        <f t="shared" si="2"/>
        <v>4.8000000000000001E-2</v>
      </c>
      <c r="S3" s="52">
        <f t="shared" si="2"/>
        <v>4.8000000000000001E-2</v>
      </c>
      <c r="T3" s="52">
        <f t="shared" si="2"/>
        <v>4.8000000000000001E-2</v>
      </c>
      <c r="U3" s="52">
        <f t="shared" si="2"/>
        <v>4.8000000000000001E-2</v>
      </c>
      <c r="V3" s="52">
        <f t="shared" si="2"/>
        <v>4.8000000000000001E-2</v>
      </c>
      <c r="W3" s="52">
        <f t="shared" si="2"/>
        <v>4.8000000000000001E-2</v>
      </c>
      <c r="X3" s="52">
        <f t="shared" si="2"/>
        <v>4.8000000000000001E-2</v>
      </c>
      <c r="Y3" s="52">
        <f t="shared" si="2"/>
        <v>4.8000000000000001E-2</v>
      </c>
      <c r="Z3" s="52">
        <f t="shared" si="2"/>
        <v>4.8000000000000001E-2</v>
      </c>
      <c r="AA3" s="52">
        <f t="shared" si="2"/>
        <v>4.8000000000000001E-2</v>
      </c>
      <c r="AB3" s="52">
        <f t="shared" si="2"/>
        <v>4.8000000000000001E-2</v>
      </c>
      <c r="AC3" s="52">
        <f t="shared" si="2"/>
        <v>4.8000000000000001E-2</v>
      </c>
      <c r="AD3" s="52">
        <f t="shared" si="2"/>
        <v>4.8000000000000001E-2</v>
      </c>
      <c r="AE3" s="52">
        <f t="shared" si="2"/>
        <v>4.8000000000000001E-2</v>
      </c>
      <c r="AF3" s="52">
        <f t="shared" si="2"/>
        <v>4.8000000000000001E-2</v>
      </c>
      <c r="AG3" s="52">
        <f t="shared" si="2"/>
        <v>4.8000000000000001E-2</v>
      </c>
      <c r="AH3" s="52">
        <f t="shared" si="2"/>
        <v>4.8000000000000001E-2</v>
      </c>
      <c r="AI3" s="52">
        <f t="shared" si="2"/>
        <v>4.8000000000000001E-2</v>
      </c>
      <c r="AJ3" s="52">
        <f t="shared" si="2"/>
        <v>4.8000000000000001E-2</v>
      </c>
    </row>
    <row r="4" spans="1:36" ht="15.6" outlineLevel="1" x14ac:dyDescent="0.3">
      <c r="A4" s="53" t="s">
        <v>206</v>
      </c>
      <c r="B4" s="65">
        <f>SUM(D4:AJ4)</f>
        <v>19509.732078674384</v>
      </c>
      <c r="C4" s="53" t="s">
        <v>0</v>
      </c>
      <c r="D4" s="54">
        <f>('Model Inputs'!E24+'Model Inputs'!E26)*('Model Inputs'!D16-'Model Inputs'!D19)</f>
        <v>0</v>
      </c>
      <c r="E4" s="54">
        <f>('Model Inputs'!F24+'Model Inputs'!F26)*('Model Inputs'!E16-'Model Inputs'!E19)</f>
        <v>0</v>
      </c>
      <c r="F4" s="54">
        <f>('Model Inputs'!G24+'Model Inputs'!G26)*('Model Inputs'!F16-'Model Inputs'!F19)</f>
        <v>0</v>
      </c>
      <c r="G4" s="54">
        <f>('Model Inputs'!H24+'Model Inputs'!H26)*('Model Inputs'!G16-'Model Inputs'!G19)</f>
        <v>0</v>
      </c>
      <c r="H4" s="54">
        <f>('Model Inputs'!I24+'Model Inputs'!I26)*('Model Inputs'!H16-'Model Inputs'!H19)</f>
        <v>0</v>
      </c>
      <c r="I4" s="54">
        <f>('Model Inputs'!J24+'Model Inputs'!J26)*('Model Inputs'!I16-'Model Inputs'!I19)</f>
        <v>0</v>
      </c>
      <c r="J4" s="54">
        <f>('Model Inputs'!K24+'Model Inputs'!K26)*('Model Inputs'!J16-'Model Inputs'!J19)</f>
        <v>0</v>
      </c>
      <c r="K4" s="54">
        <f>('Model Inputs'!L24+'Model Inputs'!L26)*('Model Inputs'!K16-'Model Inputs'!K19)</f>
        <v>0</v>
      </c>
      <c r="L4" s="54">
        <f>('Model Inputs'!M24+'Model Inputs'!M26)*('Model Inputs'!L16-'Model Inputs'!L19)</f>
        <v>0</v>
      </c>
      <c r="M4" s="54">
        <f>('Model Inputs'!N24+'Model Inputs'!N26)*('Model Inputs'!M16-'Model Inputs'!M19)</f>
        <v>0</v>
      </c>
      <c r="N4" s="54">
        <f>('Model Inputs'!O24+'Model Inputs'!O26)*('Model Inputs'!N16-'Model Inputs'!N19)</f>
        <v>563.18321495217833</v>
      </c>
      <c r="O4" s="54">
        <f>('Model Inputs'!P24+'Model Inputs'!P26)*('Model Inputs'!O16-'Model Inputs'!O19)</f>
        <v>1150.2775703130487</v>
      </c>
      <c r="P4" s="54">
        <f>('Model Inputs'!Q24+'Model Inputs'!Q26)*('Model Inputs'!P16-'Model Inputs'!P19)</f>
        <v>1248.9037782113239</v>
      </c>
      <c r="Q4" s="54">
        <f>('Model Inputs'!R24+'Model Inputs'!R26)*('Model Inputs'!Q16-'Model Inputs'!Q19)</f>
        <v>1280.126372666607</v>
      </c>
      <c r="R4" s="54">
        <f>('Model Inputs'!S24+'Model Inputs'!S26)*('Model Inputs'!R16-'Model Inputs'!R19)</f>
        <v>1315.7244074133632</v>
      </c>
      <c r="S4" s="54">
        <f>('Model Inputs'!T24+'Model Inputs'!T26)*('Model Inputs'!S16-'Model Inputs'!S19)</f>
        <v>1344.9327702828539</v>
      </c>
      <c r="T4" s="54">
        <f>('Model Inputs'!U24+'Model Inputs'!U26)*('Model Inputs'!T16-'Model Inputs'!T19)</f>
        <v>1378.5560895399251</v>
      </c>
      <c r="U4" s="54">
        <f>('Model Inputs'!V24+'Model Inputs'!V26)*('Model Inputs'!U16-'Model Inputs'!U19)</f>
        <v>1413.019991778423</v>
      </c>
      <c r="V4" s="54">
        <f>('Model Inputs'!W24+'Model Inputs'!W26)*('Model Inputs'!V16-'Model Inputs'!V19)</f>
        <v>1452.3135614128093</v>
      </c>
      <c r="W4" s="54">
        <f>('Model Inputs'!X24+'Model Inputs'!X26)*('Model Inputs'!W16-'Model Inputs'!W19)</f>
        <v>1456.9178963018508</v>
      </c>
      <c r="X4" s="54">
        <f>('Model Inputs'!Y24+'Model Inputs'!Y26)*('Model Inputs'!X16-'Model Inputs'!X19)</f>
        <v>1189.7174996488707</v>
      </c>
      <c r="Y4" s="54">
        <f>('Model Inputs'!Z24+'Model Inputs'!Z26)*('Model Inputs'!Y16-'Model Inputs'!Y19)</f>
        <v>980.51366605442638</v>
      </c>
      <c r="Z4" s="54">
        <f>('Model Inputs'!AA24+'Model Inputs'!AA26)*('Model Inputs'!Z16-'Model Inputs'!Z19)</f>
        <v>806.93877978715011</v>
      </c>
      <c r="AA4" s="54">
        <f>('Model Inputs'!AB24+'Model Inputs'!AB26)*('Model Inputs'!AA16-'Model Inputs'!AA19)</f>
        <v>709.9272033883492</v>
      </c>
      <c r="AB4" s="54">
        <f>('Model Inputs'!AC24+'Model Inputs'!AC26)*('Model Inputs'!AB16-'Model Inputs'!AB19)</f>
        <v>619.24466709573483</v>
      </c>
      <c r="AC4" s="54">
        <f>('Model Inputs'!AD24+'Model Inputs'!AD26)*('Model Inputs'!AC16-'Model Inputs'!AC19)</f>
        <v>520.31307901100956</v>
      </c>
      <c r="AD4" s="54">
        <f>('Model Inputs'!AE24+'Model Inputs'!AE26)*('Model Inputs'!AD16-'Model Inputs'!AD19)</f>
        <v>478.27849253435767</v>
      </c>
      <c r="AE4" s="54">
        <f>('Model Inputs'!AF24+'Model Inputs'!AF26)*('Model Inputs'!AE16-'Model Inputs'!AE19)</f>
        <v>443.50872154457426</v>
      </c>
      <c r="AF4" s="54">
        <f>('Model Inputs'!AG24+'Model Inputs'!AG26)*('Model Inputs'!AF16-'Model Inputs'!AF19)</f>
        <v>411.39475499793252</v>
      </c>
      <c r="AG4" s="54">
        <f>('Model Inputs'!AH24+'Model Inputs'!AH26)*('Model Inputs'!AG16-'Model Inputs'!AG19)</f>
        <v>384.2972278006157</v>
      </c>
      <c r="AH4" s="54">
        <f>('Model Inputs'!AI24+'Model Inputs'!AI26)*('Model Inputs'!AH16-'Model Inputs'!AH19)</f>
        <v>361.64233393898121</v>
      </c>
      <c r="AI4" s="54">
        <f>('Model Inputs'!AJ24+'Model Inputs'!AJ26)*('Model Inputs'!AI16-'Model Inputs'!AI19)</f>
        <v>0</v>
      </c>
      <c r="AJ4" s="54">
        <f>('Model Inputs'!AK24+'Model Inputs'!AK26)*('Model Inputs'!AJ16-'Model Inputs'!AJ19)</f>
        <v>0</v>
      </c>
    </row>
    <row r="5" spans="1:36" ht="15.6" outlineLevel="1" x14ac:dyDescent="0.3">
      <c r="A5" s="53" t="s">
        <v>207</v>
      </c>
      <c r="B5" s="65">
        <f>SUM(D5:AJ5)</f>
        <v>0</v>
      </c>
      <c r="C5" s="53" t="s">
        <v>0</v>
      </c>
      <c r="D5" s="54">
        <f>'Model Inputs'!E27*('Model Inputs'!D17-'Model Inputs'!D20)</f>
        <v>0</v>
      </c>
      <c r="E5" s="54">
        <f>'Model Inputs'!F27*('Model Inputs'!E17-'Model Inputs'!E20)</f>
        <v>0</v>
      </c>
      <c r="F5" s="54">
        <f>'Model Inputs'!G27*('Model Inputs'!F17-'Model Inputs'!F20)</f>
        <v>0</v>
      </c>
      <c r="G5" s="54">
        <f>'Model Inputs'!H27*('Model Inputs'!G17-'Model Inputs'!G20)</f>
        <v>0</v>
      </c>
      <c r="H5" s="54">
        <f>'Model Inputs'!I27*('Model Inputs'!H17-'Model Inputs'!H20)</f>
        <v>0</v>
      </c>
      <c r="I5" s="54">
        <f>'Model Inputs'!J27*('Model Inputs'!I17-'Model Inputs'!I20)</f>
        <v>0</v>
      </c>
      <c r="J5" s="54">
        <f>'Model Inputs'!K27*('Model Inputs'!J17-'Model Inputs'!J20)</f>
        <v>0</v>
      </c>
      <c r="K5" s="54">
        <f>'Model Inputs'!L27*('Model Inputs'!K17-'Model Inputs'!K20)</f>
        <v>0</v>
      </c>
      <c r="L5" s="54">
        <f>'Model Inputs'!M27*('Model Inputs'!L17-'Model Inputs'!L20)</f>
        <v>0</v>
      </c>
      <c r="M5" s="54">
        <f>'Model Inputs'!N27*('Model Inputs'!M17-'Model Inputs'!M20)</f>
        <v>0</v>
      </c>
      <c r="N5" s="54">
        <f>'Model Inputs'!O27*('Model Inputs'!N17-'Model Inputs'!N20)</f>
        <v>0</v>
      </c>
      <c r="O5" s="54">
        <f>'Model Inputs'!P27*('Model Inputs'!O17-'Model Inputs'!O20)</f>
        <v>0</v>
      </c>
      <c r="P5" s="54">
        <f>'Model Inputs'!Q27*('Model Inputs'!P17-'Model Inputs'!P20)</f>
        <v>0</v>
      </c>
      <c r="Q5" s="54">
        <f>'Model Inputs'!R27*('Model Inputs'!Q17-'Model Inputs'!Q20)</f>
        <v>0</v>
      </c>
      <c r="R5" s="54">
        <f>'Model Inputs'!S27*('Model Inputs'!R17-'Model Inputs'!R20)</f>
        <v>0</v>
      </c>
      <c r="S5" s="54">
        <f>'Model Inputs'!T27*('Model Inputs'!S17-'Model Inputs'!S20)</f>
        <v>0</v>
      </c>
      <c r="T5" s="54">
        <f>'Model Inputs'!U27*('Model Inputs'!T17-'Model Inputs'!T20)</f>
        <v>0</v>
      </c>
      <c r="U5" s="54">
        <f>'Model Inputs'!V27*('Model Inputs'!U17-'Model Inputs'!U20)</f>
        <v>0</v>
      </c>
      <c r="V5" s="54">
        <f>'Model Inputs'!W27*('Model Inputs'!V17-'Model Inputs'!V20)</f>
        <v>0</v>
      </c>
      <c r="W5" s="54">
        <f>'Model Inputs'!X27*('Model Inputs'!W17-'Model Inputs'!W20)</f>
        <v>0</v>
      </c>
      <c r="X5" s="54">
        <f>'Model Inputs'!Y27*('Model Inputs'!X17-'Model Inputs'!X20)</f>
        <v>0</v>
      </c>
      <c r="Y5" s="54">
        <f>'Model Inputs'!Z27*('Model Inputs'!Y17-'Model Inputs'!Y20)</f>
        <v>0</v>
      </c>
      <c r="Z5" s="54">
        <f>'Model Inputs'!AA27*('Model Inputs'!Z17-'Model Inputs'!Z20)</f>
        <v>0</v>
      </c>
      <c r="AA5" s="54">
        <f>'Model Inputs'!AB27*('Model Inputs'!AA17-'Model Inputs'!AA20)</f>
        <v>0</v>
      </c>
      <c r="AB5" s="54">
        <f>'Model Inputs'!AC27*('Model Inputs'!AB17-'Model Inputs'!AB20)</f>
        <v>0</v>
      </c>
      <c r="AC5" s="54">
        <f>'Model Inputs'!AD27*('Model Inputs'!AC17-'Model Inputs'!AC20)</f>
        <v>0</v>
      </c>
      <c r="AD5" s="54">
        <f>'Model Inputs'!AE27*('Model Inputs'!AD17-'Model Inputs'!AD20)</f>
        <v>0</v>
      </c>
      <c r="AE5" s="54">
        <f>'Model Inputs'!AF27*('Model Inputs'!AE17-'Model Inputs'!AE20)</f>
        <v>0</v>
      </c>
      <c r="AF5" s="54">
        <f>'Model Inputs'!AG27*('Model Inputs'!AF17-'Model Inputs'!AF20)</f>
        <v>0</v>
      </c>
      <c r="AG5" s="54">
        <f>'Model Inputs'!AH27*('Model Inputs'!AG17-'Model Inputs'!AG20)</f>
        <v>0</v>
      </c>
      <c r="AH5" s="54">
        <f>'Model Inputs'!AI27*('Model Inputs'!AH17-'Model Inputs'!AH20)</f>
        <v>0</v>
      </c>
      <c r="AI5" s="54">
        <f>'Model Inputs'!AJ27*('Model Inputs'!AI17-'Model Inputs'!AI20)</f>
        <v>0</v>
      </c>
      <c r="AJ5" s="54">
        <f>'Model Inputs'!AK27*('Model Inputs'!AJ17-'Model Inputs'!AJ20)</f>
        <v>0</v>
      </c>
    </row>
    <row r="6" spans="1:36" ht="15.6" outlineLevel="1" x14ac:dyDescent="0.3">
      <c r="A6" s="8" t="s">
        <v>138</v>
      </c>
      <c r="B6" s="65">
        <f>SUM(D6:AJ6)</f>
        <v>19509.732078674384</v>
      </c>
      <c r="C6" s="8" t="s">
        <v>0</v>
      </c>
      <c r="D6" s="63">
        <f>SUM(D4:D5)</f>
        <v>0</v>
      </c>
      <c r="E6" s="63">
        <f t="shared" ref="E6:AB6" si="3">SUM(E4:E5)</f>
        <v>0</v>
      </c>
      <c r="F6" s="63">
        <f t="shared" si="3"/>
        <v>0</v>
      </c>
      <c r="G6" s="63">
        <f t="shared" si="3"/>
        <v>0</v>
      </c>
      <c r="H6" s="63">
        <f t="shared" si="3"/>
        <v>0</v>
      </c>
      <c r="I6" s="63">
        <f t="shared" si="3"/>
        <v>0</v>
      </c>
      <c r="J6" s="63">
        <f t="shared" si="3"/>
        <v>0</v>
      </c>
      <c r="K6" s="63">
        <f t="shared" si="3"/>
        <v>0</v>
      </c>
      <c r="L6" s="63">
        <f t="shared" si="3"/>
        <v>0</v>
      </c>
      <c r="M6" s="63">
        <f t="shared" si="3"/>
        <v>0</v>
      </c>
      <c r="N6" s="63">
        <f t="shared" si="3"/>
        <v>563.18321495217833</v>
      </c>
      <c r="O6" s="63">
        <f t="shared" si="3"/>
        <v>1150.2775703130487</v>
      </c>
      <c r="P6" s="63">
        <f t="shared" si="3"/>
        <v>1248.9037782113239</v>
      </c>
      <c r="Q6" s="63">
        <f t="shared" si="3"/>
        <v>1280.126372666607</v>
      </c>
      <c r="R6" s="63">
        <f t="shared" si="3"/>
        <v>1315.7244074133632</v>
      </c>
      <c r="S6" s="63">
        <f t="shared" si="3"/>
        <v>1344.9327702828539</v>
      </c>
      <c r="T6" s="63">
        <f t="shared" si="3"/>
        <v>1378.5560895399251</v>
      </c>
      <c r="U6" s="63">
        <f t="shared" si="3"/>
        <v>1413.019991778423</v>
      </c>
      <c r="V6" s="63">
        <f t="shared" si="3"/>
        <v>1452.3135614128093</v>
      </c>
      <c r="W6" s="63">
        <f t="shared" si="3"/>
        <v>1456.9178963018508</v>
      </c>
      <c r="X6" s="63">
        <f t="shared" si="3"/>
        <v>1189.7174996488707</v>
      </c>
      <c r="Y6" s="63">
        <f t="shared" si="3"/>
        <v>980.51366605442638</v>
      </c>
      <c r="Z6" s="63">
        <f t="shared" si="3"/>
        <v>806.93877978715011</v>
      </c>
      <c r="AA6" s="63">
        <f t="shared" si="3"/>
        <v>709.9272033883492</v>
      </c>
      <c r="AB6" s="63">
        <f t="shared" si="3"/>
        <v>619.24466709573483</v>
      </c>
      <c r="AC6" s="63">
        <f t="shared" ref="AC6:AJ6" si="4">SUM(AC4:AC5)</f>
        <v>520.31307901100956</v>
      </c>
      <c r="AD6" s="63">
        <f t="shared" si="4"/>
        <v>478.27849253435767</v>
      </c>
      <c r="AE6" s="63">
        <f t="shared" si="4"/>
        <v>443.50872154457426</v>
      </c>
      <c r="AF6" s="63">
        <f t="shared" si="4"/>
        <v>411.39475499793252</v>
      </c>
      <c r="AG6" s="63">
        <f t="shared" si="4"/>
        <v>384.2972278006157</v>
      </c>
      <c r="AH6" s="63">
        <f t="shared" si="4"/>
        <v>361.64233393898121</v>
      </c>
      <c r="AI6" s="63">
        <f t="shared" si="4"/>
        <v>0</v>
      </c>
      <c r="AJ6" s="63">
        <f t="shared" si="4"/>
        <v>0</v>
      </c>
    </row>
    <row r="7" spans="1:36" ht="15.6" outlineLevel="1" x14ac:dyDescent="0.3">
      <c r="A7" s="8" t="s">
        <v>139</v>
      </c>
      <c r="B7" s="65">
        <f>SUM(D7:AJ7)</f>
        <v>19509.732078674384</v>
      </c>
      <c r="C7" s="8" t="str">
        <f>C6</f>
        <v>mm$mod</v>
      </c>
      <c r="D7" s="63">
        <f>D6</f>
        <v>0</v>
      </c>
      <c r="E7" s="63">
        <f>E6</f>
        <v>0</v>
      </c>
      <c r="F7" s="63">
        <f t="shared" ref="F7:AB7" si="5">F6</f>
        <v>0</v>
      </c>
      <c r="G7" s="63">
        <f t="shared" si="5"/>
        <v>0</v>
      </c>
      <c r="H7" s="63">
        <f t="shared" si="5"/>
        <v>0</v>
      </c>
      <c r="I7" s="63">
        <f t="shared" si="5"/>
        <v>0</v>
      </c>
      <c r="J7" s="63">
        <f t="shared" si="5"/>
        <v>0</v>
      </c>
      <c r="K7" s="63">
        <f t="shared" si="5"/>
        <v>0</v>
      </c>
      <c r="L7" s="63">
        <f t="shared" si="5"/>
        <v>0</v>
      </c>
      <c r="M7" s="63">
        <f t="shared" si="5"/>
        <v>0</v>
      </c>
      <c r="N7" s="63">
        <f t="shared" si="5"/>
        <v>563.18321495217833</v>
      </c>
      <c r="O7" s="63">
        <f t="shared" si="5"/>
        <v>1150.2775703130487</v>
      </c>
      <c r="P7" s="63">
        <f t="shared" si="5"/>
        <v>1248.9037782113239</v>
      </c>
      <c r="Q7" s="63">
        <f t="shared" si="5"/>
        <v>1280.126372666607</v>
      </c>
      <c r="R7" s="63">
        <f t="shared" si="5"/>
        <v>1315.7244074133632</v>
      </c>
      <c r="S7" s="63">
        <f t="shared" si="5"/>
        <v>1344.9327702828539</v>
      </c>
      <c r="T7" s="63">
        <f t="shared" si="5"/>
        <v>1378.5560895399251</v>
      </c>
      <c r="U7" s="63">
        <f t="shared" si="5"/>
        <v>1413.019991778423</v>
      </c>
      <c r="V7" s="63">
        <f t="shared" si="5"/>
        <v>1452.3135614128093</v>
      </c>
      <c r="W7" s="63">
        <f t="shared" si="5"/>
        <v>1456.9178963018508</v>
      </c>
      <c r="X7" s="63">
        <f t="shared" si="5"/>
        <v>1189.7174996488707</v>
      </c>
      <c r="Y7" s="63">
        <f t="shared" si="5"/>
        <v>980.51366605442638</v>
      </c>
      <c r="Z7" s="63">
        <f t="shared" si="5"/>
        <v>806.93877978715011</v>
      </c>
      <c r="AA7" s="63">
        <f t="shared" si="5"/>
        <v>709.9272033883492</v>
      </c>
      <c r="AB7" s="63">
        <f t="shared" si="5"/>
        <v>619.24466709573483</v>
      </c>
      <c r="AC7" s="63">
        <f t="shared" ref="AC7:AJ7" si="6">AC6</f>
        <v>520.31307901100956</v>
      </c>
      <c r="AD7" s="63">
        <f t="shared" si="6"/>
        <v>478.27849253435767</v>
      </c>
      <c r="AE7" s="63">
        <f t="shared" si="6"/>
        <v>443.50872154457426</v>
      </c>
      <c r="AF7" s="63">
        <f t="shared" si="6"/>
        <v>411.39475499793252</v>
      </c>
      <c r="AG7" s="63">
        <f t="shared" si="6"/>
        <v>384.2972278006157</v>
      </c>
      <c r="AH7" s="63">
        <f t="shared" si="6"/>
        <v>361.64233393898121</v>
      </c>
      <c r="AI7" s="63">
        <f t="shared" si="6"/>
        <v>0</v>
      </c>
      <c r="AJ7" s="63">
        <f t="shared" si="6"/>
        <v>0</v>
      </c>
    </row>
    <row r="8" spans="1:36" ht="15.6" x14ac:dyDescent="0.3">
      <c r="A8" s="8"/>
      <c r="B8" s="66"/>
      <c r="C8" s="9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spans="1:36" ht="15.6" x14ac:dyDescent="0.3">
      <c r="A9" s="12" t="s">
        <v>140</v>
      </c>
      <c r="B9" s="66"/>
      <c r="C9" s="9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ht="15" outlineLevel="1" x14ac:dyDescent="0.3">
      <c r="A10" s="14"/>
      <c r="B10" s="15" t="str">
        <f>B2</f>
        <v>Total</v>
      </c>
      <c r="C10" s="15" t="str">
        <f t="shared" ref="C10:AB10" si="7">C2</f>
        <v>Unit</v>
      </c>
      <c r="D10" s="15">
        <f t="shared" si="7"/>
        <v>2022</v>
      </c>
      <c r="E10" s="15">
        <f t="shared" si="7"/>
        <v>2023</v>
      </c>
      <c r="F10" s="15">
        <f t="shared" si="7"/>
        <v>2024</v>
      </c>
      <c r="G10" s="15">
        <f t="shared" si="7"/>
        <v>2025</v>
      </c>
      <c r="H10" s="15">
        <f t="shared" si="7"/>
        <v>2026</v>
      </c>
      <c r="I10" s="15">
        <f t="shared" si="7"/>
        <v>2027</v>
      </c>
      <c r="J10" s="15">
        <f t="shared" si="7"/>
        <v>2028</v>
      </c>
      <c r="K10" s="15">
        <f t="shared" si="7"/>
        <v>2029</v>
      </c>
      <c r="L10" s="15">
        <f t="shared" si="7"/>
        <v>2030</v>
      </c>
      <c r="M10" s="15">
        <f t="shared" si="7"/>
        <v>2031</v>
      </c>
      <c r="N10" s="15">
        <f t="shared" si="7"/>
        <v>2032</v>
      </c>
      <c r="O10" s="15">
        <f t="shared" si="7"/>
        <v>2033</v>
      </c>
      <c r="P10" s="15">
        <f t="shared" si="7"/>
        <v>2034</v>
      </c>
      <c r="Q10" s="15">
        <f t="shared" si="7"/>
        <v>2035</v>
      </c>
      <c r="R10" s="15">
        <f t="shared" si="7"/>
        <v>2036</v>
      </c>
      <c r="S10" s="15">
        <f t="shared" si="7"/>
        <v>2037</v>
      </c>
      <c r="T10" s="15">
        <f t="shared" si="7"/>
        <v>2038</v>
      </c>
      <c r="U10" s="15">
        <f t="shared" si="7"/>
        <v>2039</v>
      </c>
      <c r="V10" s="15">
        <f t="shared" si="7"/>
        <v>2040</v>
      </c>
      <c r="W10" s="15">
        <f t="shared" si="7"/>
        <v>2041</v>
      </c>
      <c r="X10" s="15">
        <f t="shared" si="7"/>
        <v>2042</v>
      </c>
      <c r="Y10" s="15">
        <f t="shared" si="7"/>
        <v>2043</v>
      </c>
      <c r="Z10" s="15">
        <f t="shared" si="7"/>
        <v>2044</v>
      </c>
      <c r="AA10" s="15">
        <f t="shared" si="7"/>
        <v>2045</v>
      </c>
      <c r="AB10" s="15">
        <f t="shared" si="7"/>
        <v>2046</v>
      </c>
      <c r="AC10" s="15">
        <f t="shared" ref="AC10:AJ10" si="8">AC2</f>
        <v>2047</v>
      </c>
      <c r="AD10" s="15">
        <f t="shared" si="8"/>
        <v>2048</v>
      </c>
      <c r="AE10" s="15">
        <f t="shared" si="8"/>
        <v>2049</v>
      </c>
      <c r="AF10" s="15">
        <f t="shared" si="8"/>
        <v>2050</v>
      </c>
      <c r="AG10" s="15">
        <f t="shared" si="8"/>
        <v>2051</v>
      </c>
      <c r="AH10" s="15">
        <f t="shared" si="8"/>
        <v>2052</v>
      </c>
      <c r="AI10" s="15">
        <f t="shared" si="8"/>
        <v>2053</v>
      </c>
      <c r="AJ10" s="15">
        <f t="shared" si="8"/>
        <v>2054</v>
      </c>
    </row>
    <row r="11" spans="1:36" ht="15.6" outlineLevel="1" x14ac:dyDescent="0.3">
      <c r="A11" s="8" t="s">
        <v>87</v>
      </c>
      <c r="B11" s="65">
        <f>SUM(D11:AJ11)</f>
        <v>251.73705768487844</v>
      </c>
      <c r="C11" s="8" t="s">
        <v>0</v>
      </c>
      <c r="D11" s="63">
        <f>'Model Inputs'!E61</f>
        <v>0</v>
      </c>
      <c r="E11" s="63">
        <f>'Model Inputs'!F61</f>
        <v>0</v>
      </c>
      <c r="F11" s="63">
        <f>'Model Inputs'!G61</f>
        <v>0</v>
      </c>
      <c r="G11" s="63">
        <f>'Model Inputs'!H61</f>
        <v>0</v>
      </c>
      <c r="H11" s="63">
        <f>'Model Inputs'!I61</f>
        <v>0</v>
      </c>
      <c r="I11" s="63">
        <f>'Model Inputs'!J61</f>
        <v>0</v>
      </c>
      <c r="J11" s="63">
        <f>'Model Inputs'!K61</f>
        <v>0</v>
      </c>
      <c r="K11" s="63">
        <f>'Model Inputs'!L61</f>
        <v>0</v>
      </c>
      <c r="L11" s="63">
        <f>'Model Inputs'!M61</f>
        <v>0</v>
      </c>
      <c r="M11" s="63">
        <f>'Model Inputs'!N61</f>
        <v>0</v>
      </c>
      <c r="N11" s="63">
        <f>'Model Inputs'!O61</f>
        <v>0</v>
      </c>
      <c r="O11" s="63">
        <f>'Model Inputs'!P61</f>
        <v>0</v>
      </c>
      <c r="P11" s="63">
        <f>'Model Inputs'!Q61</f>
        <v>0</v>
      </c>
      <c r="Q11" s="63">
        <f>'Model Inputs'!R61</f>
        <v>0</v>
      </c>
      <c r="R11" s="63">
        <f>'Model Inputs'!S61</f>
        <v>0</v>
      </c>
      <c r="S11" s="63">
        <f>'Model Inputs'!T61</f>
        <v>0</v>
      </c>
      <c r="T11" s="63">
        <f>'Model Inputs'!U61</f>
        <v>0</v>
      </c>
      <c r="U11" s="63">
        <f>'Model Inputs'!V61</f>
        <v>0</v>
      </c>
      <c r="V11" s="63">
        <f>'Model Inputs'!W61</f>
        <v>0</v>
      </c>
      <c r="W11" s="63">
        <f>'Model Inputs'!X61</f>
        <v>0</v>
      </c>
      <c r="X11" s="63">
        <f>'Model Inputs'!Y61</f>
        <v>47.479464714545571</v>
      </c>
      <c r="Y11" s="63">
        <f>'Model Inputs'!Z61</f>
        <v>38.176116741221222</v>
      </c>
      <c r="Z11" s="63">
        <f>'Model Inputs'!AA61</f>
        <v>30.651717963633061</v>
      </c>
      <c r="AA11" s="63">
        <f>'Model Inputs'!AB61</f>
        <v>26.308990625957691</v>
      </c>
      <c r="AB11" s="63">
        <f>'Model Inputs'!AC61</f>
        <v>22.388694893097465</v>
      </c>
      <c r="AC11" s="63">
        <f>'Model Inputs'!AD61</f>
        <v>18.353013336904837</v>
      </c>
      <c r="AD11" s="63">
        <f>'Model Inputs'!AE61</f>
        <v>16.458855172768295</v>
      </c>
      <c r="AE11" s="63">
        <f>'Model Inputs'!AF61</f>
        <v>14.890081375344948</v>
      </c>
      <c r="AF11" s="63">
        <f>'Model Inputs'!AG61</f>
        <v>13.475031579494697</v>
      </c>
      <c r="AG11" s="63">
        <f>'Model Inputs'!AH61</f>
        <v>12.28045413474058</v>
      </c>
      <c r="AH11" s="63">
        <f>'Model Inputs'!AI61</f>
        <v>11.274637147170068</v>
      </c>
      <c r="AI11" s="63">
        <f>'Model Inputs'!AJ61</f>
        <v>0</v>
      </c>
      <c r="AJ11" s="63">
        <f>'Model Inputs'!AK61</f>
        <v>0</v>
      </c>
    </row>
    <row r="12" spans="1:36" ht="15.6" outlineLevel="1" x14ac:dyDescent="0.3">
      <c r="A12" s="8" t="s">
        <v>88</v>
      </c>
      <c r="B12" s="65">
        <f>SUM(D12:AJ12)</f>
        <v>873.57009307497231</v>
      </c>
      <c r="C12" s="8" t="s">
        <v>0</v>
      </c>
      <c r="D12" s="63">
        <f>'Model Inputs'!E59</f>
        <v>0</v>
      </c>
      <c r="E12" s="63">
        <f>'Model Inputs'!F59</f>
        <v>0</v>
      </c>
      <c r="F12" s="63">
        <f>'Model Inputs'!G59</f>
        <v>0</v>
      </c>
      <c r="G12" s="63">
        <f>'Model Inputs'!H59</f>
        <v>0</v>
      </c>
      <c r="H12" s="63">
        <f>'Model Inputs'!I59</f>
        <v>0</v>
      </c>
      <c r="I12" s="63">
        <f>'Model Inputs'!J59</f>
        <v>0</v>
      </c>
      <c r="J12" s="63">
        <f>'Model Inputs'!K59</f>
        <v>0</v>
      </c>
      <c r="K12" s="63">
        <f>'Model Inputs'!L59</f>
        <v>0</v>
      </c>
      <c r="L12" s="63">
        <f>'Model Inputs'!M59</f>
        <v>0</v>
      </c>
      <c r="M12" s="63">
        <f>'Model Inputs'!N59</f>
        <v>0</v>
      </c>
      <c r="N12" s="63">
        <f>'Model Inputs'!O59</f>
        <v>25.217158878455745</v>
      </c>
      <c r="O12" s="63">
        <f>'Model Inputs'!P59</f>
        <v>51.504965834912625</v>
      </c>
      <c r="P12" s="63">
        <f>'Model Inputs'!Q59</f>
        <v>55.921064696029426</v>
      </c>
      <c r="Q12" s="63">
        <f>'Model Inputs'!R59</f>
        <v>57.319091313430164</v>
      </c>
      <c r="R12" s="63">
        <f>'Model Inputs'!S59</f>
        <v>58.913033167762528</v>
      </c>
      <c r="S12" s="63">
        <f>'Model Inputs'!T59</f>
        <v>60.220870311172554</v>
      </c>
      <c r="T12" s="63">
        <f>'Model Inputs'!U59</f>
        <v>61.726392068951867</v>
      </c>
      <c r="U12" s="63">
        <f>'Model Inputs'!V59</f>
        <v>63.269551870675656</v>
      </c>
      <c r="V12" s="63">
        <f>'Model Inputs'!W59</f>
        <v>65.028965436394444</v>
      </c>
      <c r="W12" s="63">
        <f>'Model Inputs'!X59</f>
        <v>65.235129685157489</v>
      </c>
      <c r="X12" s="63">
        <f>'Model Inputs'!Y59</f>
        <v>53.270932820098686</v>
      </c>
      <c r="Y12" s="63">
        <f>'Model Inputs'!Z59</f>
        <v>43.903596987511627</v>
      </c>
      <c r="Z12" s="63">
        <f>'Model Inputs'!AA59</f>
        <v>36.131587154648507</v>
      </c>
      <c r="AA12" s="63">
        <f>'Model Inputs'!AB59</f>
        <v>31.787785226343996</v>
      </c>
      <c r="AB12" s="63">
        <f>'Model Inputs'!AC59</f>
        <v>27.72737315354037</v>
      </c>
      <c r="AC12" s="63">
        <f>'Model Inputs'!AD59</f>
        <v>23.297600552731772</v>
      </c>
      <c r="AD12" s="63">
        <f>'Model Inputs'!AE59</f>
        <v>21.415454889598106</v>
      </c>
      <c r="AE12" s="63">
        <f>'Model Inputs'!AF59</f>
        <v>19.858599472145116</v>
      </c>
      <c r="AF12" s="63">
        <f>'Model Inputs'!AG59</f>
        <v>18.420660671549218</v>
      </c>
      <c r="AG12" s="63">
        <f>'Model Inputs'!AH59</f>
        <v>17.207338558236525</v>
      </c>
      <c r="AH12" s="63">
        <f>'Model Inputs'!AI59</f>
        <v>16.192940325626026</v>
      </c>
      <c r="AI12" s="63">
        <f>'Model Inputs'!AJ59</f>
        <v>0</v>
      </c>
      <c r="AJ12" s="63">
        <f>'Model Inputs'!AK59</f>
        <v>0</v>
      </c>
    </row>
    <row r="13" spans="1:36" ht="15.6" outlineLevel="1" x14ac:dyDescent="0.3">
      <c r="A13" s="8" t="s">
        <v>89</v>
      </c>
      <c r="B13" s="65">
        <f>SUM(D13:AJ13)</f>
        <v>42.113019664612423</v>
      </c>
      <c r="C13" s="8" t="s">
        <v>0</v>
      </c>
      <c r="D13" s="63">
        <f>'Model Inputs'!E58</f>
        <v>0</v>
      </c>
      <c r="E13" s="63">
        <f>'Model Inputs'!F58</f>
        <v>0</v>
      </c>
      <c r="F13" s="63">
        <f>'Model Inputs'!G58</f>
        <v>0</v>
      </c>
      <c r="G13" s="63">
        <f>'Model Inputs'!H58</f>
        <v>0.53099999999999992</v>
      </c>
      <c r="H13" s="63">
        <f>'Model Inputs'!I58</f>
        <v>0.54052499999999992</v>
      </c>
      <c r="I13" s="63">
        <f>'Model Inputs'!J58</f>
        <v>2.6605244556250001</v>
      </c>
      <c r="J13" s="63">
        <f>'Model Inputs'!K58</f>
        <v>5.1410432515624995</v>
      </c>
      <c r="K13" s="63">
        <f>'Model Inputs'!L58</f>
        <v>7.1423954796015598</v>
      </c>
      <c r="L13" s="63">
        <f>'Model Inputs'!M58</f>
        <v>7.6559954783110342</v>
      </c>
      <c r="M13" s="63">
        <f>'Model Inputs'!N58</f>
        <v>2.1290041308886227</v>
      </c>
      <c r="N13" s="63">
        <f>'Model Inputs'!O58</f>
        <v>2.5492366173376744</v>
      </c>
      <c r="O13" s="63">
        <f>'Model Inputs'!P58</f>
        <v>1.8105757258619757</v>
      </c>
      <c r="P13" s="63">
        <f>'Model Inputs'!Q58</f>
        <v>0.83881597044044132</v>
      </c>
      <c r="Q13" s="63">
        <f>'Model Inputs'!R58</f>
        <v>0.85978636970145239</v>
      </c>
      <c r="R13" s="63">
        <f>'Model Inputs'!S58</f>
        <v>0.88369549751643783</v>
      </c>
      <c r="S13" s="63">
        <f>'Model Inputs'!T58</f>
        <v>0.90331305466758827</v>
      </c>
      <c r="T13" s="63">
        <f>'Model Inputs'!U58</f>
        <v>0.925895881034278</v>
      </c>
      <c r="U13" s="63">
        <f>'Model Inputs'!V58</f>
        <v>0.94904327806013478</v>
      </c>
      <c r="V13" s="63">
        <f>'Model Inputs'!W58</f>
        <v>0.97543448154591661</v>
      </c>
      <c r="W13" s="63">
        <f>'Model Inputs'!X58</f>
        <v>0.97852694527736228</v>
      </c>
      <c r="X13" s="63">
        <f>'Model Inputs'!Y58</f>
        <v>0.79906399230148029</v>
      </c>
      <c r="Y13" s="63">
        <f>'Model Inputs'!Z58</f>
        <v>0.65855395481267442</v>
      </c>
      <c r="Z13" s="63">
        <f>'Model Inputs'!AA58</f>
        <v>0.54197380731972755</v>
      </c>
      <c r="AA13" s="63">
        <f>'Model Inputs'!AB58</f>
        <v>0.4768167783951599</v>
      </c>
      <c r="AB13" s="63">
        <f>'Model Inputs'!AC58</f>
        <v>0.41591059730310553</v>
      </c>
      <c r="AC13" s="63">
        <f>'Model Inputs'!AD58</f>
        <v>0.34946400829097657</v>
      </c>
      <c r="AD13" s="63">
        <f>'Model Inputs'!AE58</f>
        <v>0.3212318233439716</v>
      </c>
      <c r="AE13" s="63">
        <f>'Model Inputs'!AF58</f>
        <v>0.29787899208217672</v>
      </c>
      <c r="AF13" s="63">
        <f>'Model Inputs'!AG58</f>
        <v>0.27630991007323824</v>
      </c>
      <c r="AG13" s="63">
        <f>'Model Inputs'!AH58</f>
        <v>0.25811007837354788</v>
      </c>
      <c r="AH13" s="63">
        <f>'Model Inputs'!AI58</f>
        <v>0.24289410488439037</v>
      </c>
      <c r="AI13" s="63">
        <f>'Model Inputs'!AJ58</f>
        <v>0</v>
      </c>
      <c r="AJ13" s="63">
        <f>'Model Inputs'!AK58</f>
        <v>0</v>
      </c>
    </row>
    <row r="14" spans="1:36" ht="15.6" outlineLevel="1" x14ac:dyDescent="0.3">
      <c r="A14" s="8" t="s">
        <v>90</v>
      </c>
      <c r="B14" s="65">
        <f>SUM(D14:AJ14)</f>
        <v>0</v>
      </c>
      <c r="C14" s="8" t="s">
        <v>0</v>
      </c>
      <c r="D14" s="63">
        <f>'Model Inputs'!E60</f>
        <v>0</v>
      </c>
      <c r="E14" s="63">
        <f>'Model Inputs'!F60</f>
        <v>0</v>
      </c>
      <c r="F14" s="63">
        <f>'Model Inputs'!G60</f>
        <v>0</v>
      </c>
      <c r="G14" s="63">
        <f>'Model Inputs'!H60</f>
        <v>0</v>
      </c>
      <c r="H14" s="63">
        <f>'Model Inputs'!I60</f>
        <v>0</v>
      </c>
      <c r="I14" s="63">
        <f>'Model Inputs'!J60</f>
        <v>0</v>
      </c>
      <c r="J14" s="63">
        <f>'Model Inputs'!K60</f>
        <v>0</v>
      </c>
      <c r="K14" s="63">
        <f>'Model Inputs'!L60</f>
        <v>0</v>
      </c>
      <c r="L14" s="63">
        <f>'Model Inputs'!M60</f>
        <v>0</v>
      </c>
      <c r="M14" s="63">
        <f>'Model Inputs'!N60</f>
        <v>0</v>
      </c>
      <c r="N14" s="63">
        <f>'Model Inputs'!O60</f>
        <v>0</v>
      </c>
      <c r="O14" s="63">
        <f>'Model Inputs'!P60</f>
        <v>0</v>
      </c>
      <c r="P14" s="63">
        <f>'Model Inputs'!Q60</f>
        <v>0</v>
      </c>
      <c r="Q14" s="63">
        <f>'Model Inputs'!R60</f>
        <v>0</v>
      </c>
      <c r="R14" s="63">
        <f>'Model Inputs'!S60</f>
        <v>0</v>
      </c>
      <c r="S14" s="63">
        <f>'Model Inputs'!T60</f>
        <v>0</v>
      </c>
      <c r="T14" s="63">
        <f>'Model Inputs'!U60</f>
        <v>0</v>
      </c>
      <c r="U14" s="63">
        <f>'Model Inputs'!V60</f>
        <v>0</v>
      </c>
      <c r="V14" s="63">
        <f>'Model Inputs'!W60</f>
        <v>0</v>
      </c>
      <c r="W14" s="63">
        <f>'Model Inputs'!X60</f>
        <v>0</v>
      </c>
      <c r="X14" s="63">
        <f>'Model Inputs'!Y60</f>
        <v>0</v>
      </c>
      <c r="Y14" s="63">
        <f>'Model Inputs'!Z60</f>
        <v>0</v>
      </c>
      <c r="Z14" s="63">
        <f>'Model Inputs'!AA60</f>
        <v>0</v>
      </c>
      <c r="AA14" s="63">
        <f>'Model Inputs'!AB60</f>
        <v>0</v>
      </c>
      <c r="AB14" s="63">
        <f>'Model Inputs'!AC60</f>
        <v>0</v>
      </c>
      <c r="AC14" s="63">
        <f>'Model Inputs'!AD60</f>
        <v>0</v>
      </c>
      <c r="AD14" s="63">
        <f>'Model Inputs'!AE60</f>
        <v>0</v>
      </c>
      <c r="AE14" s="63">
        <f>'Model Inputs'!AF60</f>
        <v>0</v>
      </c>
      <c r="AF14" s="63">
        <f>'Model Inputs'!AG60</f>
        <v>0</v>
      </c>
      <c r="AG14" s="63">
        <f>'Model Inputs'!AH60</f>
        <v>0</v>
      </c>
      <c r="AH14" s="63">
        <f>'Model Inputs'!AI60</f>
        <v>0</v>
      </c>
      <c r="AI14" s="63">
        <f>'Model Inputs'!AJ60</f>
        <v>0</v>
      </c>
      <c r="AJ14" s="63">
        <f>'Model Inputs'!AK60</f>
        <v>0</v>
      </c>
    </row>
    <row r="15" spans="1:36" ht="15.6" outlineLevel="1" x14ac:dyDescent="0.3">
      <c r="A15" s="9" t="s">
        <v>91</v>
      </c>
      <c r="B15" s="65">
        <f>SUM(D15:AJ15)</f>
        <v>1167.4201704244633</v>
      </c>
      <c r="C15" s="8" t="s">
        <v>0</v>
      </c>
      <c r="D15" s="63">
        <f>SUM(D11:D14)</f>
        <v>0</v>
      </c>
      <c r="E15" s="63">
        <f t="shared" ref="E15:AB15" si="9">SUM(E11:E14)</f>
        <v>0</v>
      </c>
      <c r="F15" s="63">
        <f t="shared" si="9"/>
        <v>0</v>
      </c>
      <c r="G15" s="63">
        <f t="shared" si="9"/>
        <v>0.53099999999999992</v>
      </c>
      <c r="H15" s="63">
        <f t="shared" si="9"/>
        <v>0.54052499999999992</v>
      </c>
      <c r="I15" s="63">
        <f t="shared" si="9"/>
        <v>2.6605244556250001</v>
      </c>
      <c r="J15" s="63">
        <f t="shared" si="9"/>
        <v>5.1410432515624995</v>
      </c>
      <c r="K15" s="63">
        <f t="shared" si="9"/>
        <v>7.1423954796015598</v>
      </c>
      <c r="L15" s="63">
        <f t="shared" si="9"/>
        <v>7.6559954783110342</v>
      </c>
      <c r="M15" s="63">
        <f t="shared" si="9"/>
        <v>2.1290041308886227</v>
      </c>
      <c r="N15" s="63">
        <f t="shared" si="9"/>
        <v>27.766395495793418</v>
      </c>
      <c r="O15" s="63">
        <f t="shared" si="9"/>
        <v>53.315541560774598</v>
      </c>
      <c r="P15" s="63">
        <f t="shared" si="9"/>
        <v>56.759880666469869</v>
      </c>
      <c r="Q15" s="63">
        <f t="shared" si="9"/>
        <v>58.178877683131617</v>
      </c>
      <c r="R15" s="63">
        <f t="shared" si="9"/>
        <v>59.796728665278962</v>
      </c>
      <c r="S15" s="63">
        <f t="shared" si="9"/>
        <v>61.124183365840139</v>
      </c>
      <c r="T15" s="63">
        <f t="shared" si="9"/>
        <v>62.652287949986146</v>
      </c>
      <c r="U15" s="63">
        <f t="shared" si="9"/>
        <v>64.218595148735787</v>
      </c>
      <c r="V15" s="63">
        <f t="shared" si="9"/>
        <v>66.004399917940361</v>
      </c>
      <c r="W15" s="63">
        <f t="shared" si="9"/>
        <v>66.213656630434855</v>
      </c>
      <c r="X15" s="63">
        <f t="shared" si="9"/>
        <v>101.54946152694575</v>
      </c>
      <c r="Y15" s="63">
        <f t="shared" si="9"/>
        <v>82.73826768354553</v>
      </c>
      <c r="Z15" s="63">
        <f t="shared" si="9"/>
        <v>67.325278925601282</v>
      </c>
      <c r="AA15" s="63">
        <f t="shared" si="9"/>
        <v>58.573592630696851</v>
      </c>
      <c r="AB15" s="63">
        <f t="shared" si="9"/>
        <v>50.531978643940938</v>
      </c>
      <c r="AC15" s="63">
        <f t="shared" ref="AC15:AJ15" si="10">SUM(AC11:AC14)</f>
        <v>42.000077897927589</v>
      </c>
      <c r="AD15" s="63">
        <f t="shared" si="10"/>
        <v>38.195541885710377</v>
      </c>
      <c r="AE15" s="63">
        <f t="shared" si="10"/>
        <v>35.04655983957224</v>
      </c>
      <c r="AF15" s="63">
        <f t="shared" si="10"/>
        <v>32.172002161117156</v>
      </c>
      <c r="AG15" s="63">
        <f t="shared" si="10"/>
        <v>29.745902771350654</v>
      </c>
      <c r="AH15" s="63">
        <f t="shared" si="10"/>
        <v>27.710471577680483</v>
      </c>
      <c r="AI15" s="63">
        <f t="shared" si="10"/>
        <v>0</v>
      </c>
      <c r="AJ15" s="63">
        <f t="shared" si="10"/>
        <v>0</v>
      </c>
    </row>
    <row r="16" spans="1:36" ht="15.6" outlineLevel="1" x14ac:dyDescent="0.3">
      <c r="A16" s="8" t="s">
        <v>92</v>
      </c>
      <c r="B16" s="65">
        <f t="shared" ref="B16:B26" si="11">SUM(D16:AJ16)</f>
        <v>79.695126810690368</v>
      </c>
      <c r="C16" s="8" t="s">
        <v>0</v>
      </c>
      <c r="D16" s="63">
        <v>0</v>
      </c>
      <c r="E16" s="63">
        <f>D24</f>
        <v>0</v>
      </c>
      <c r="F16" s="63">
        <f t="shared" ref="F16:AB16" si="12">E24</f>
        <v>0</v>
      </c>
      <c r="G16" s="63">
        <f t="shared" si="12"/>
        <v>0</v>
      </c>
      <c r="H16" s="63">
        <f t="shared" si="12"/>
        <v>0.53099999999999992</v>
      </c>
      <c r="I16" s="63">
        <f t="shared" si="12"/>
        <v>1.0715249999999998</v>
      </c>
      <c r="J16" s="63">
        <f t="shared" si="12"/>
        <v>3.7320494556249999</v>
      </c>
      <c r="K16" s="63">
        <f t="shared" si="12"/>
        <v>8.8730927071874994</v>
      </c>
      <c r="L16" s="63">
        <f t="shared" si="12"/>
        <v>16.01548818678906</v>
      </c>
      <c r="M16" s="63">
        <f t="shared" si="12"/>
        <v>23.671483665100094</v>
      </c>
      <c r="N16" s="63">
        <f t="shared" si="12"/>
        <v>25.800487795988715</v>
      </c>
      <c r="O16" s="63">
        <f t="shared" si="12"/>
        <v>0</v>
      </c>
      <c r="P16" s="63">
        <f t="shared" si="12"/>
        <v>0</v>
      </c>
      <c r="Q16" s="63">
        <f t="shared" si="12"/>
        <v>0</v>
      </c>
      <c r="R16" s="63">
        <f t="shared" si="12"/>
        <v>0</v>
      </c>
      <c r="S16" s="63">
        <f t="shared" si="12"/>
        <v>0</v>
      </c>
      <c r="T16" s="63">
        <f t="shared" si="12"/>
        <v>0</v>
      </c>
      <c r="U16" s="63">
        <f t="shared" si="12"/>
        <v>0</v>
      </c>
      <c r="V16" s="63">
        <f t="shared" si="12"/>
        <v>0</v>
      </c>
      <c r="W16" s="63">
        <f t="shared" si="12"/>
        <v>0</v>
      </c>
      <c r="X16" s="63">
        <f t="shared" si="12"/>
        <v>0</v>
      </c>
      <c r="Y16" s="63">
        <f t="shared" si="12"/>
        <v>0</v>
      </c>
      <c r="Z16" s="63">
        <f t="shared" si="12"/>
        <v>0</v>
      </c>
      <c r="AA16" s="63">
        <f t="shared" si="12"/>
        <v>0</v>
      </c>
      <c r="AB16" s="63">
        <f t="shared" si="12"/>
        <v>0</v>
      </c>
      <c r="AC16" s="63">
        <f t="shared" ref="AC16:AJ16" si="13">AB24</f>
        <v>0</v>
      </c>
      <c r="AD16" s="63">
        <f t="shared" si="13"/>
        <v>0</v>
      </c>
      <c r="AE16" s="63">
        <f t="shared" si="13"/>
        <v>0</v>
      </c>
      <c r="AF16" s="63">
        <f t="shared" si="13"/>
        <v>0</v>
      </c>
      <c r="AG16" s="63">
        <f t="shared" si="13"/>
        <v>0</v>
      </c>
      <c r="AH16" s="63">
        <f t="shared" si="13"/>
        <v>0</v>
      </c>
      <c r="AI16" s="63">
        <f t="shared" si="13"/>
        <v>0</v>
      </c>
      <c r="AJ16" s="63">
        <f t="shared" si="13"/>
        <v>0</v>
      </c>
    </row>
    <row r="17" spans="1:36" ht="15.6" outlineLevel="1" x14ac:dyDescent="0.3">
      <c r="A17" s="8" t="s">
        <v>93</v>
      </c>
      <c r="B17" s="65">
        <f t="shared" si="11"/>
        <v>0</v>
      </c>
      <c r="C17" s="8" t="s">
        <v>0</v>
      </c>
      <c r="D17" s="63">
        <f>IF(Intro!$G$19="Yes",D16*(Intro!$G$18+D3),0)</f>
        <v>0</v>
      </c>
      <c r="E17" s="63">
        <f>IF(Intro!$G$19="Yes",E16*(Intro!$G$18+E3),0)</f>
        <v>0</v>
      </c>
      <c r="F17" s="63">
        <f>IF(Intro!$G$19="Yes",F16*(Intro!$G$18+F3),0)</f>
        <v>0</v>
      </c>
      <c r="G17" s="63">
        <f>IF(Intro!$G$19="Yes",G16*(Intro!$G$18+G3),0)</f>
        <v>0</v>
      </c>
      <c r="H17" s="63">
        <f>IF(Intro!$G$19="Yes",H16*(Intro!$G$18+H3),0)</f>
        <v>0</v>
      </c>
      <c r="I17" s="63">
        <f>IF(Intro!$G$19="Yes",I16*(Intro!$G$18+I3),0)</f>
        <v>0</v>
      </c>
      <c r="J17" s="63">
        <f>IF(Intro!$G$19="Yes",J16*(Intro!$G$18+J3),0)</f>
        <v>0</v>
      </c>
      <c r="K17" s="63">
        <f>IF(Intro!$G$19="Yes",K16*(Intro!$G$18+K3),0)</f>
        <v>0</v>
      </c>
      <c r="L17" s="63">
        <f>IF(Intro!$G$19="Yes",L16*(Intro!$G$18+L3),0)</f>
        <v>0</v>
      </c>
      <c r="M17" s="63">
        <f>IF(Intro!$G$19="Yes",M16*(Intro!$G$18+M3),0)</f>
        <v>0</v>
      </c>
      <c r="N17" s="63">
        <f>IF(Intro!$G$19="Yes",N16*(Intro!$G$18+N3),0)</f>
        <v>0</v>
      </c>
      <c r="O17" s="63">
        <f>IF(Intro!$G$19="Yes",O16*(Intro!$G$18+O3),0)</f>
        <v>0</v>
      </c>
      <c r="P17" s="63">
        <f>IF(Intro!$G$19="Yes",P16*(Intro!$G$18+P3),0)</f>
        <v>0</v>
      </c>
      <c r="Q17" s="63">
        <f>IF(Intro!$G$19="Yes",Q16*(Intro!$G$18+Q3),0)</f>
        <v>0</v>
      </c>
      <c r="R17" s="63">
        <f>IF(Intro!$G$19="Yes",R16*(Intro!$G$18+R3),0)</f>
        <v>0</v>
      </c>
      <c r="S17" s="63">
        <f>IF(Intro!$G$19="Yes",S16*(Intro!$G$18+S3),0)</f>
        <v>0</v>
      </c>
      <c r="T17" s="63">
        <f>IF(Intro!$G$19="Yes",T16*(Intro!$G$18+T3),0)</f>
        <v>0</v>
      </c>
      <c r="U17" s="63">
        <f>IF(Intro!$G$19="Yes",U16*(Intro!$G$18+U3),0)</f>
        <v>0</v>
      </c>
      <c r="V17" s="63">
        <f>IF(Intro!$G$19="Yes",V16*(Intro!$G$18+V3),0)</f>
        <v>0</v>
      </c>
      <c r="W17" s="63">
        <f>IF(Intro!$G$19="Yes",W16*(Intro!$G$18+W3),0)</f>
        <v>0</v>
      </c>
      <c r="X17" s="63">
        <f>IF(Intro!$G$19="Yes",X16*(Intro!$G$18+X3),0)</f>
        <v>0</v>
      </c>
      <c r="Y17" s="63">
        <f>IF(Intro!$G$19="Yes",Y16*(Intro!$G$18+Y3),0)</f>
        <v>0</v>
      </c>
      <c r="Z17" s="63">
        <f>IF(Intro!$G$19="Yes",Z16*(Intro!$G$18+Z3),0)</f>
        <v>0</v>
      </c>
      <c r="AA17" s="63">
        <f>IF(Intro!$G$19="Yes",AA16*(Intro!$G$18+AA3),0)</f>
        <v>0</v>
      </c>
      <c r="AB17" s="63">
        <f>IF(Intro!$G$19="Yes",AB16*(Intro!$G$18+AB3),0)</f>
        <v>0</v>
      </c>
      <c r="AC17" s="63">
        <f>IF(Intro!$G$19="Yes",AC16*(Intro!$G$18+AC3),0)</f>
        <v>0</v>
      </c>
      <c r="AD17" s="63">
        <f>IF(Intro!$G$19="Yes",AD16*(Intro!$G$18+AD3),0)</f>
        <v>0</v>
      </c>
      <c r="AE17" s="63">
        <f>IF(Intro!$G$19="Yes",AE16*(Intro!$G$18+AE3),0)</f>
        <v>0</v>
      </c>
      <c r="AF17" s="63">
        <f>IF(Intro!$G$19="Yes",AF16*(Intro!$G$18+AF3),0)</f>
        <v>0</v>
      </c>
      <c r="AG17" s="63">
        <f>IF(Intro!$G$19="Yes",AG16*(Intro!$G$18+AG3),0)</f>
        <v>0</v>
      </c>
      <c r="AH17" s="63">
        <f>IF(Intro!$G$19="Yes",AH16*(Intro!$G$18+AH3),0)</f>
        <v>0</v>
      </c>
      <c r="AI17" s="63">
        <f>IF(Intro!$G$19="Yes",AI16*(Intro!$G$18+AI3),0)</f>
        <v>0</v>
      </c>
      <c r="AJ17" s="63">
        <f>IF(Intro!$G$19="Yes",AJ16*(Intro!$G$18+AJ3),0)</f>
        <v>0</v>
      </c>
    </row>
    <row r="18" spans="1:36" ht="15.6" outlineLevel="1" x14ac:dyDescent="0.3">
      <c r="A18" s="8" t="s">
        <v>94</v>
      </c>
      <c r="B18" s="65">
        <f t="shared" si="11"/>
        <v>0</v>
      </c>
      <c r="C18" s="8" t="s">
        <v>0</v>
      </c>
      <c r="D18" s="63">
        <v>0</v>
      </c>
      <c r="E18" s="63">
        <f>(D20-D21)</f>
        <v>0</v>
      </c>
      <c r="F18" s="63">
        <f t="shared" ref="F18:AB18" si="14">(E20-E21)</f>
        <v>0</v>
      </c>
      <c r="G18" s="63">
        <f t="shared" si="14"/>
        <v>0</v>
      </c>
      <c r="H18" s="63">
        <f t="shared" si="14"/>
        <v>0</v>
      </c>
      <c r="I18" s="63">
        <f t="shared" si="14"/>
        <v>0</v>
      </c>
      <c r="J18" s="63">
        <f t="shared" si="14"/>
        <v>0</v>
      </c>
      <c r="K18" s="63">
        <f t="shared" si="14"/>
        <v>0</v>
      </c>
      <c r="L18" s="63">
        <f t="shared" si="14"/>
        <v>0</v>
      </c>
      <c r="M18" s="63">
        <f t="shared" si="14"/>
        <v>0</v>
      </c>
      <c r="N18" s="63">
        <f t="shared" si="14"/>
        <v>0</v>
      </c>
      <c r="O18" s="63">
        <f t="shared" si="14"/>
        <v>0</v>
      </c>
      <c r="P18" s="63">
        <f t="shared" si="14"/>
        <v>0</v>
      </c>
      <c r="Q18" s="63">
        <f t="shared" si="14"/>
        <v>0</v>
      </c>
      <c r="R18" s="63">
        <f t="shared" si="14"/>
        <v>0</v>
      </c>
      <c r="S18" s="63">
        <f t="shared" si="14"/>
        <v>0</v>
      </c>
      <c r="T18" s="63">
        <f t="shared" si="14"/>
        <v>0</v>
      </c>
      <c r="U18" s="63">
        <f t="shared" si="14"/>
        <v>0</v>
      </c>
      <c r="V18" s="63">
        <f t="shared" si="14"/>
        <v>0</v>
      </c>
      <c r="W18" s="63">
        <f t="shared" si="14"/>
        <v>0</v>
      </c>
      <c r="X18" s="63">
        <f t="shared" si="14"/>
        <v>0</v>
      </c>
      <c r="Y18" s="63">
        <f t="shared" si="14"/>
        <v>0</v>
      </c>
      <c r="Z18" s="63">
        <f t="shared" si="14"/>
        <v>0</v>
      </c>
      <c r="AA18" s="63">
        <f t="shared" si="14"/>
        <v>0</v>
      </c>
      <c r="AB18" s="63">
        <f t="shared" si="14"/>
        <v>0</v>
      </c>
      <c r="AC18" s="63">
        <f t="shared" ref="AC18:AJ18" si="15">(AB20-AB21)</f>
        <v>0</v>
      </c>
      <c r="AD18" s="63">
        <f t="shared" si="15"/>
        <v>0</v>
      </c>
      <c r="AE18" s="63">
        <f t="shared" si="15"/>
        <v>0</v>
      </c>
      <c r="AF18" s="63">
        <f t="shared" si="15"/>
        <v>0</v>
      </c>
      <c r="AG18" s="63">
        <f t="shared" si="15"/>
        <v>0</v>
      </c>
      <c r="AH18" s="63">
        <f t="shared" si="15"/>
        <v>0</v>
      </c>
      <c r="AI18" s="63">
        <f t="shared" si="15"/>
        <v>0</v>
      </c>
      <c r="AJ18" s="63">
        <f t="shared" si="15"/>
        <v>0</v>
      </c>
    </row>
    <row r="19" spans="1:36" ht="15.6" outlineLevel="1" x14ac:dyDescent="0.3">
      <c r="A19" s="8" t="s">
        <v>95</v>
      </c>
      <c r="B19" s="65">
        <f t="shared" si="11"/>
        <v>0</v>
      </c>
      <c r="C19" s="8" t="s">
        <v>0</v>
      </c>
      <c r="D19" s="63">
        <f>IF(Intro!$G$19="yes",D18*(Intro!$G$18+D3),0)</f>
        <v>0</v>
      </c>
      <c r="E19" s="63">
        <f>IF(Intro!$G$19="yes",E18*(Intro!$G$18+E3),0)</f>
        <v>0</v>
      </c>
      <c r="F19" s="63">
        <f>IF(Intro!$G$19="yes",F18*(Intro!$G$18+F3),0)</f>
        <v>0</v>
      </c>
      <c r="G19" s="63">
        <f>IF(Intro!$G$19="yes",G18*(Intro!$G$18+G3),0)</f>
        <v>0</v>
      </c>
      <c r="H19" s="63">
        <f>IF(Intro!$G$19="yes",H18*(Intro!$G$18+H3),0)</f>
        <v>0</v>
      </c>
      <c r="I19" s="63">
        <f>IF(Intro!$G$19="yes",I18*(Intro!$G$18+I3),0)</f>
        <v>0</v>
      </c>
      <c r="J19" s="63">
        <f>IF(Intro!$G$19="yes",J18*(Intro!$G$18+J3),0)</f>
        <v>0</v>
      </c>
      <c r="K19" s="63">
        <f>IF(Intro!$G$19="yes",K18*(Intro!$G$18+K3),0)</f>
        <v>0</v>
      </c>
      <c r="L19" s="63">
        <f>IF(Intro!$G$19="yes",L18*(Intro!$G$18+L3),0)</f>
        <v>0</v>
      </c>
      <c r="M19" s="63">
        <f>IF(Intro!$G$19="yes",M18*(Intro!$G$18+M3),0)</f>
        <v>0</v>
      </c>
      <c r="N19" s="63">
        <f>IF(Intro!$G$19="yes",N18*(Intro!$G$18+N3),0)</f>
        <v>0</v>
      </c>
      <c r="O19" s="63">
        <f>IF(Intro!$G$19="yes",O18*(Intro!$G$18+O3),0)</f>
        <v>0</v>
      </c>
      <c r="P19" s="63">
        <f>IF(Intro!$G$19="yes",P18*(Intro!$G$18+P3),0)</f>
        <v>0</v>
      </c>
      <c r="Q19" s="63">
        <f>IF(Intro!$G$19="yes",Q18*(Intro!$G$18+Q3),0)</f>
        <v>0</v>
      </c>
      <c r="R19" s="63">
        <f>IF(Intro!$G$19="yes",R18*(Intro!$G$18+R3),0)</f>
        <v>0</v>
      </c>
      <c r="S19" s="63">
        <f>IF(Intro!$G$19="yes",S18*(Intro!$G$18+S3),0)</f>
        <v>0</v>
      </c>
      <c r="T19" s="63">
        <f>IF(Intro!$G$19="yes",T18*(Intro!$G$18+T3),0)</f>
        <v>0</v>
      </c>
      <c r="U19" s="63">
        <f>IF(Intro!$G$19="yes",U18*(Intro!$G$18+U3),0)</f>
        <v>0</v>
      </c>
      <c r="V19" s="63">
        <f>IF(Intro!$G$19="yes",V18*(Intro!$G$18+V3),0)</f>
        <v>0</v>
      </c>
      <c r="W19" s="63">
        <f>IF(Intro!$G$19="yes",W18*(Intro!$G$18+W3),0)</f>
        <v>0</v>
      </c>
      <c r="X19" s="63">
        <f>IF(Intro!$G$19="yes",X18*(Intro!$G$18+X3),0)</f>
        <v>0</v>
      </c>
      <c r="Y19" s="63">
        <f>IF(Intro!$G$19="yes",Y18*(Intro!$G$18+Y3),0)</f>
        <v>0</v>
      </c>
      <c r="Z19" s="63">
        <f>IF(Intro!$G$19="yes",Z18*(Intro!$G$18+Z3),0)</f>
        <v>0</v>
      </c>
      <c r="AA19" s="63">
        <f>IF(Intro!$G$19="yes",AA18*(Intro!$G$18+AA3),0)</f>
        <v>0</v>
      </c>
      <c r="AB19" s="63">
        <f>IF(Intro!$G$19="yes",AB18*(Intro!$G$18+AB3),0)</f>
        <v>0</v>
      </c>
      <c r="AC19" s="63">
        <f>IF(Intro!$G$19="yes",AC18*(Intro!$G$18+AC3),0)</f>
        <v>0</v>
      </c>
      <c r="AD19" s="63">
        <f>IF(Intro!$G$19="yes",AD18*(Intro!$G$18+AD3),0)</f>
        <v>0</v>
      </c>
      <c r="AE19" s="63">
        <f>IF(Intro!$G$19="yes",AE18*(Intro!$G$18+AE3),0)</f>
        <v>0</v>
      </c>
      <c r="AF19" s="63">
        <f>IF(Intro!$G$19="yes",AF18*(Intro!$G$18+AF3),0)</f>
        <v>0</v>
      </c>
      <c r="AG19" s="63">
        <f>IF(Intro!$G$19="yes",AG18*(Intro!$G$18+AG3),0)</f>
        <v>0</v>
      </c>
      <c r="AH19" s="63">
        <f>IF(Intro!$G$19="yes",AH18*(Intro!$G$18+AH3),0)</f>
        <v>0</v>
      </c>
      <c r="AI19" s="63">
        <f>IF(Intro!$G$19="yes",AI18*(Intro!$G$18+AI3),0)</f>
        <v>0</v>
      </c>
      <c r="AJ19" s="63">
        <f>IF(Intro!$G$19="yes",AJ18*(Intro!$G$18+AJ3),0)</f>
        <v>0</v>
      </c>
    </row>
    <row r="20" spans="1:36" ht="15.6" outlineLevel="1" x14ac:dyDescent="0.3">
      <c r="A20" s="8" t="s">
        <v>96</v>
      </c>
      <c r="B20" s="65">
        <f t="shared" si="11"/>
        <v>0</v>
      </c>
      <c r="C20" s="8" t="s">
        <v>0</v>
      </c>
      <c r="D20" s="63">
        <f>SUM(D17:D19)</f>
        <v>0</v>
      </c>
      <c r="E20" s="63">
        <f t="shared" ref="E20:AB20" si="16">SUM(E17:E19)</f>
        <v>0</v>
      </c>
      <c r="F20" s="63">
        <f t="shared" si="16"/>
        <v>0</v>
      </c>
      <c r="G20" s="63">
        <f t="shared" si="16"/>
        <v>0</v>
      </c>
      <c r="H20" s="63">
        <f t="shared" si="16"/>
        <v>0</v>
      </c>
      <c r="I20" s="63">
        <f t="shared" si="16"/>
        <v>0</v>
      </c>
      <c r="J20" s="63">
        <f t="shared" si="16"/>
        <v>0</v>
      </c>
      <c r="K20" s="63">
        <f t="shared" si="16"/>
        <v>0</v>
      </c>
      <c r="L20" s="63">
        <f t="shared" si="16"/>
        <v>0</v>
      </c>
      <c r="M20" s="63">
        <f t="shared" si="16"/>
        <v>0</v>
      </c>
      <c r="N20" s="63">
        <f t="shared" si="16"/>
        <v>0</v>
      </c>
      <c r="O20" s="63">
        <f t="shared" si="16"/>
        <v>0</v>
      </c>
      <c r="P20" s="63">
        <f t="shared" si="16"/>
        <v>0</v>
      </c>
      <c r="Q20" s="63">
        <f t="shared" si="16"/>
        <v>0</v>
      </c>
      <c r="R20" s="63">
        <f t="shared" si="16"/>
        <v>0</v>
      </c>
      <c r="S20" s="63">
        <f t="shared" si="16"/>
        <v>0</v>
      </c>
      <c r="T20" s="63">
        <f t="shared" si="16"/>
        <v>0</v>
      </c>
      <c r="U20" s="63">
        <f t="shared" si="16"/>
        <v>0</v>
      </c>
      <c r="V20" s="63">
        <f t="shared" si="16"/>
        <v>0</v>
      </c>
      <c r="W20" s="63">
        <f t="shared" si="16"/>
        <v>0</v>
      </c>
      <c r="X20" s="63">
        <f t="shared" si="16"/>
        <v>0</v>
      </c>
      <c r="Y20" s="63">
        <f t="shared" si="16"/>
        <v>0</v>
      </c>
      <c r="Z20" s="63">
        <f t="shared" si="16"/>
        <v>0</v>
      </c>
      <c r="AA20" s="63">
        <f t="shared" si="16"/>
        <v>0</v>
      </c>
      <c r="AB20" s="63">
        <f t="shared" si="16"/>
        <v>0</v>
      </c>
      <c r="AC20" s="63">
        <f t="shared" ref="AC20:AJ20" si="17">SUM(AC17:AC19)</f>
        <v>0</v>
      </c>
      <c r="AD20" s="63">
        <f t="shared" si="17"/>
        <v>0</v>
      </c>
      <c r="AE20" s="63">
        <f t="shared" si="17"/>
        <v>0</v>
      </c>
      <c r="AF20" s="63">
        <f t="shared" si="17"/>
        <v>0</v>
      </c>
      <c r="AG20" s="63">
        <f t="shared" si="17"/>
        <v>0</v>
      </c>
      <c r="AH20" s="63">
        <f t="shared" si="17"/>
        <v>0</v>
      </c>
      <c r="AI20" s="63">
        <f t="shared" si="17"/>
        <v>0</v>
      </c>
      <c r="AJ20" s="63">
        <f t="shared" si="17"/>
        <v>0</v>
      </c>
    </row>
    <row r="21" spans="1:36" ht="15.6" outlineLevel="1" x14ac:dyDescent="0.3">
      <c r="A21" s="9" t="s">
        <v>97</v>
      </c>
      <c r="B21" s="65">
        <f t="shared" si="11"/>
        <v>0</v>
      </c>
      <c r="C21" s="8" t="s">
        <v>0</v>
      </c>
      <c r="D21" s="64">
        <f>IF(D7&gt;=D20,D20,D7)</f>
        <v>0</v>
      </c>
      <c r="E21" s="64">
        <f t="shared" ref="E21:AB21" si="18">IF(E7&gt;=E20,E20,E7)</f>
        <v>0</v>
      </c>
      <c r="F21" s="64">
        <f t="shared" si="18"/>
        <v>0</v>
      </c>
      <c r="G21" s="64">
        <f t="shared" si="18"/>
        <v>0</v>
      </c>
      <c r="H21" s="64">
        <f t="shared" si="18"/>
        <v>0</v>
      </c>
      <c r="I21" s="64">
        <f>IF(I7&gt;=I20,I20,I7)</f>
        <v>0</v>
      </c>
      <c r="J21" s="64">
        <f t="shared" si="18"/>
        <v>0</v>
      </c>
      <c r="K21" s="64">
        <f t="shared" si="18"/>
        <v>0</v>
      </c>
      <c r="L21" s="64">
        <f t="shared" si="18"/>
        <v>0</v>
      </c>
      <c r="M21" s="64">
        <f t="shared" si="18"/>
        <v>0</v>
      </c>
      <c r="N21" s="64">
        <f t="shared" si="18"/>
        <v>0</v>
      </c>
      <c r="O21" s="64">
        <f t="shared" si="18"/>
        <v>0</v>
      </c>
      <c r="P21" s="64">
        <f t="shared" si="18"/>
        <v>0</v>
      </c>
      <c r="Q21" s="64">
        <f t="shared" si="18"/>
        <v>0</v>
      </c>
      <c r="R21" s="64">
        <f t="shared" si="18"/>
        <v>0</v>
      </c>
      <c r="S21" s="64">
        <f t="shared" si="18"/>
        <v>0</v>
      </c>
      <c r="T21" s="64">
        <f t="shared" si="18"/>
        <v>0</v>
      </c>
      <c r="U21" s="64">
        <f t="shared" si="18"/>
        <v>0</v>
      </c>
      <c r="V21" s="64">
        <f t="shared" si="18"/>
        <v>0</v>
      </c>
      <c r="W21" s="64">
        <f t="shared" si="18"/>
        <v>0</v>
      </c>
      <c r="X21" s="64">
        <f t="shared" si="18"/>
        <v>0</v>
      </c>
      <c r="Y21" s="64">
        <f t="shared" si="18"/>
        <v>0</v>
      </c>
      <c r="Z21" s="64">
        <f t="shared" si="18"/>
        <v>0</v>
      </c>
      <c r="AA21" s="64">
        <f t="shared" si="18"/>
        <v>0</v>
      </c>
      <c r="AB21" s="64">
        <f t="shared" si="18"/>
        <v>0</v>
      </c>
      <c r="AC21" s="64">
        <f t="shared" ref="AC21:AJ21" si="19">IF(AC7&gt;=AC20,AC20,AC7)</f>
        <v>0</v>
      </c>
      <c r="AD21" s="64">
        <f t="shared" si="19"/>
        <v>0</v>
      </c>
      <c r="AE21" s="64">
        <f t="shared" si="19"/>
        <v>0</v>
      </c>
      <c r="AF21" s="64">
        <f t="shared" si="19"/>
        <v>0</v>
      </c>
      <c r="AG21" s="64">
        <f t="shared" si="19"/>
        <v>0</v>
      </c>
      <c r="AH21" s="64">
        <f t="shared" si="19"/>
        <v>0</v>
      </c>
      <c r="AI21" s="64">
        <f t="shared" si="19"/>
        <v>0</v>
      </c>
      <c r="AJ21" s="64">
        <f t="shared" si="19"/>
        <v>0</v>
      </c>
    </row>
    <row r="22" spans="1:36" ht="15.6" outlineLevel="1" x14ac:dyDescent="0.3">
      <c r="A22" s="8" t="s">
        <v>98</v>
      </c>
      <c r="B22" s="65">
        <f t="shared" si="11"/>
        <v>1247.1152972351538</v>
      </c>
      <c r="C22" s="8" t="s">
        <v>0</v>
      </c>
      <c r="D22" s="63">
        <f>SUM(D15:D16)</f>
        <v>0</v>
      </c>
      <c r="E22" s="63">
        <f t="shared" ref="E22:AB22" si="20">SUM(E15:E16)</f>
        <v>0</v>
      </c>
      <c r="F22" s="63">
        <f t="shared" si="20"/>
        <v>0</v>
      </c>
      <c r="G22" s="63">
        <f t="shared" si="20"/>
        <v>0.53099999999999992</v>
      </c>
      <c r="H22" s="63">
        <f t="shared" si="20"/>
        <v>1.0715249999999998</v>
      </c>
      <c r="I22" s="63">
        <f t="shared" si="20"/>
        <v>3.7320494556249999</v>
      </c>
      <c r="J22" s="63">
        <f t="shared" si="20"/>
        <v>8.8730927071874994</v>
      </c>
      <c r="K22" s="63">
        <f t="shared" si="20"/>
        <v>16.01548818678906</v>
      </c>
      <c r="L22" s="63">
        <f t="shared" si="20"/>
        <v>23.671483665100094</v>
      </c>
      <c r="M22" s="63">
        <f t="shared" si="20"/>
        <v>25.800487795988715</v>
      </c>
      <c r="N22" s="63">
        <f t="shared" si="20"/>
        <v>53.566883291782133</v>
      </c>
      <c r="O22" s="63">
        <f t="shared" si="20"/>
        <v>53.315541560774598</v>
      </c>
      <c r="P22" s="63">
        <f t="shared" si="20"/>
        <v>56.759880666469869</v>
      </c>
      <c r="Q22" s="63">
        <f t="shared" si="20"/>
        <v>58.178877683131617</v>
      </c>
      <c r="R22" s="63">
        <f t="shared" si="20"/>
        <v>59.796728665278962</v>
      </c>
      <c r="S22" s="63">
        <f t="shared" si="20"/>
        <v>61.124183365840139</v>
      </c>
      <c r="T22" s="63">
        <f t="shared" si="20"/>
        <v>62.652287949986146</v>
      </c>
      <c r="U22" s="63">
        <f t="shared" si="20"/>
        <v>64.218595148735787</v>
      </c>
      <c r="V22" s="63">
        <f t="shared" si="20"/>
        <v>66.004399917940361</v>
      </c>
      <c r="W22" s="63">
        <f t="shared" si="20"/>
        <v>66.213656630434855</v>
      </c>
      <c r="X22" s="63">
        <f t="shared" si="20"/>
        <v>101.54946152694575</v>
      </c>
      <c r="Y22" s="63">
        <f t="shared" si="20"/>
        <v>82.73826768354553</v>
      </c>
      <c r="Z22" s="63">
        <f t="shared" si="20"/>
        <v>67.325278925601282</v>
      </c>
      <c r="AA22" s="63">
        <f t="shared" si="20"/>
        <v>58.573592630696851</v>
      </c>
      <c r="AB22" s="63">
        <f t="shared" si="20"/>
        <v>50.531978643940938</v>
      </c>
      <c r="AC22" s="63">
        <f t="shared" ref="AC22:AJ22" si="21">SUM(AC15:AC16)</f>
        <v>42.000077897927589</v>
      </c>
      <c r="AD22" s="63">
        <f t="shared" si="21"/>
        <v>38.195541885710377</v>
      </c>
      <c r="AE22" s="63">
        <f t="shared" si="21"/>
        <v>35.04655983957224</v>
      </c>
      <c r="AF22" s="63">
        <f t="shared" si="21"/>
        <v>32.172002161117156</v>
      </c>
      <c r="AG22" s="63">
        <f t="shared" si="21"/>
        <v>29.745902771350654</v>
      </c>
      <c r="AH22" s="63">
        <f t="shared" si="21"/>
        <v>27.710471577680483</v>
      </c>
      <c r="AI22" s="63">
        <f t="shared" si="21"/>
        <v>0</v>
      </c>
      <c r="AJ22" s="63">
        <f t="shared" si="21"/>
        <v>0</v>
      </c>
    </row>
    <row r="23" spans="1:36" ht="15.6" outlineLevel="1" x14ac:dyDescent="0.3">
      <c r="A23" s="9" t="s">
        <v>99</v>
      </c>
      <c r="B23" s="65">
        <f t="shared" si="11"/>
        <v>1167.4201704244633</v>
      </c>
      <c r="C23" s="8" t="s">
        <v>0</v>
      </c>
      <c r="D23" s="64">
        <f>IF(D7-D21&gt;=D22,D22,D7-D21)</f>
        <v>0</v>
      </c>
      <c r="E23" s="64">
        <f t="shared" ref="E23:AB23" si="22">IF(E7-E21&gt;=E22,E22,E7-E21)</f>
        <v>0</v>
      </c>
      <c r="F23" s="64">
        <f t="shared" si="22"/>
        <v>0</v>
      </c>
      <c r="G23" s="64">
        <f t="shared" si="22"/>
        <v>0</v>
      </c>
      <c r="H23" s="64">
        <f t="shared" si="22"/>
        <v>0</v>
      </c>
      <c r="I23" s="64">
        <f t="shared" si="22"/>
        <v>0</v>
      </c>
      <c r="J23" s="64">
        <f t="shared" si="22"/>
        <v>0</v>
      </c>
      <c r="K23" s="64">
        <f t="shared" si="22"/>
        <v>0</v>
      </c>
      <c r="L23" s="64">
        <f t="shared" si="22"/>
        <v>0</v>
      </c>
      <c r="M23" s="64">
        <f t="shared" si="22"/>
        <v>0</v>
      </c>
      <c r="N23" s="64">
        <f t="shared" si="22"/>
        <v>53.566883291782133</v>
      </c>
      <c r="O23" s="64">
        <f t="shared" si="22"/>
        <v>53.315541560774598</v>
      </c>
      <c r="P23" s="64">
        <f t="shared" si="22"/>
        <v>56.759880666469869</v>
      </c>
      <c r="Q23" s="64">
        <f t="shared" si="22"/>
        <v>58.178877683131617</v>
      </c>
      <c r="R23" s="64">
        <f t="shared" si="22"/>
        <v>59.796728665278962</v>
      </c>
      <c r="S23" s="64">
        <f t="shared" si="22"/>
        <v>61.124183365840139</v>
      </c>
      <c r="T23" s="64">
        <f t="shared" si="22"/>
        <v>62.652287949986146</v>
      </c>
      <c r="U23" s="64">
        <f t="shared" si="22"/>
        <v>64.218595148735787</v>
      </c>
      <c r="V23" s="64">
        <f t="shared" si="22"/>
        <v>66.004399917940361</v>
      </c>
      <c r="W23" s="64">
        <f t="shared" si="22"/>
        <v>66.213656630434855</v>
      </c>
      <c r="X23" s="64">
        <f t="shared" si="22"/>
        <v>101.54946152694575</v>
      </c>
      <c r="Y23" s="64">
        <f t="shared" si="22"/>
        <v>82.73826768354553</v>
      </c>
      <c r="Z23" s="64">
        <f t="shared" si="22"/>
        <v>67.325278925601282</v>
      </c>
      <c r="AA23" s="64">
        <f t="shared" si="22"/>
        <v>58.573592630696851</v>
      </c>
      <c r="AB23" s="64">
        <f t="shared" si="22"/>
        <v>50.531978643940938</v>
      </c>
      <c r="AC23" s="64">
        <f t="shared" ref="AC23:AJ23" si="23">IF(AC7-AC21&gt;=AC22,AC22,AC7-AC21)</f>
        <v>42.000077897927589</v>
      </c>
      <c r="AD23" s="64">
        <f t="shared" si="23"/>
        <v>38.195541885710377</v>
      </c>
      <c r="AE23" s="64">
        <f t="shared" si="23"/>
        <v>35.04655983957224</v>
      </c>
      <c r="AF23" s="64">
        <f t="shared" si="23"/>
        <v>32.172002161117156</v>
      </c>
      <c r="AG23" s="64">
        <f t="shared" si="23"/>
        <v>29.745902771350654</v>
      </c>
      <c r="AH23" s="64">
        <f t="shared" si="23"/>
        <v>27.710471577680483</v>
      </c>
      <c r="AI23" s="64">
        <f t="shared" si="23"/>
        <v>0</v>
      </c>
      <c r="AJ23" s="64">
        <f t="shared" si="23"/>
        <v>0</v>
      </c>
    </row>
    <row r="24" spans="1:36" ht="15.6" outlineLevel="1" x14ac:dyDescent="0.3">
      <c r="A24" s="8" t="s">
        <v>100</v>
      </c>
      <c r="B24" s="65">
        <f t="shared" si="11"/>
        <v>79.695126810690368</v>
      </c>
      <c r="C24" s="8" t="s">
        <v>0</v>
      </c>
      <c r="D24" s="63">
        <f>IF(D2='Model Inputs'!C87,0,D22-D23)</f>
        <v>0</v>
      </c>
      <c r="E24" s="63">
        <f>IF(E2='Model Inputs'!D87,0,E22-E23)</f>
        <v>0</v>
      </c>
      <c r="F24" s="63">
        <f>IF(F2='Model Inputs'!E87,0,F22-F23)</f>
        <v>0</v>
      </c>
      <c r="G24" s="63">
        <f>IF(G2='Model Inputs'!F87,0,G22-G23)</f>
        <v>0.53099999999999992</v>
      </c>
      <c r="H24" s="63">
        <f>IF(H2='Model Inputs'!G87,0,H22-H23)</f>
        <v>1.0715249999999998</v>
      </c>
      <c r="I24" s="63">
        <f>IF(I2='Model Inputs'!H87,0,I22-I23)</f>
        <v>3.7320494556249999</v>
      </c>
      <c r="J24" s="63">
        <f>IF(J2='Model Inputs'!I87,0,J22-J23)</f>
        <v>8.8730927071874994</v>
      </c>
      <c r="K24" s="63">
        <f>IF(K2='Model Inputs'!J87,0,K22-K23)</f>
        <v>16.01548818678906</v>
      </c>
      <c r="L24" s="63">
        <f>IF(L2='Model Inputs'!K87,0,L22-L23)</f>
        <v>23.671483665100094</v>
      </c>
      <c r="M24" s="63">
        <f>IF(M2='Model Inputs'!L87,0,M22-M23)</f>
        <v>25.800487795988715</v>
      </c>
      <c r="N24" s="63">
        <f>IF(N2='Model Inputs'!M87,0,N22-N23)</f>
        <v>0</v>
      </c>
      <c r="O24" s="63">
        <f>IF(O2='Model Inputs'!N87,0,O22-O23)</f>
        <v>0</v>
      </c>
      <c r="P24" s="63">
        <f>IF(P2='Model Inputs'!O87,0,P22-P23)</f>
        <v>0</v>
      </c>
      <c r="Q24" s="63">
        <f>IF(Q2='Model Inputs'!P87,0,Q22-Q23)</f>
        <v>0</v>
      </c>
      <c r="R24" s="63">
        <f>IF(R2='Model Inputs'!Q87,0,R22-R23)</f>
        <v>0</v>
      </c>
      <c r="S24" s="63">
        <f>IF(S2='Model Inputs'!R87,0,S22-S23)</f>
        <v>0</v>
      </c>
      <c r="T24" s="63">
        <f>IF(T2='Model Inputs'!S87,0,T22-T23)</f>
        <v>0</v>
      </c>
      <c r="U24" s="63">
        <f>IF(U2='Model Inputs'!T87,0,U22-U23)</f>
        <v>0</v>
      </c>
      <c r="V24" s="63">
        <f>IF(V2='Model Inputs'!U87,0,V22-V23)</f>
        <v>0</v>
      </c>
      <c r="W24" s="63">
        <f>IF(W2='Model Inputs'!V87,0,W22-W23)</f>
        <v>0</v>
      </c>
      <c r="X24" s="63">
        <f>IF(X2='Model Inputs'!W87,0,X22-X23)</f>
        <v>0</v>
      </c>
      <c r="Y24" s="63">
        <f>IF(Y2='Model Inputs'!X87,0,Y22-Y23)</f>
        <v>0</v>
      </c>
      <c r="Z24" s="63">
        <f>IF(Z2='Model Inputs'!Y87,0,Z22-Z23)</f>
        <v>0</v>
      </c>
      <c r="AA24" s="63">
        <f>IF(AA2='Model Inputs'!Z87,0,AA22-AA23)</f>
        <v>0</v>
      </c>
      <c r="AB24" s="63">
        <f>IF(AB2='Model Inputs'!AA87,0,AB22-AB23)</f>
        <v>0</v>
      </c>
      <c r="AC24" s="63">
        <f>IF(AC2='Model Inputs'!AB87,0,AC22-AC23)</f>
        <v>0</v>
      </c>
      <c r="AD24" s="63">
        <f>IF(AD2='Model Inputs'!AC87,0,AD22-AD23)</f>
        <v>0</v>
      </c>
      <c r="AE24" s="63">
        <f>IF(AE2='Model Inputs'!AD87,0,AE22-AE23)</f>
        <v>0</v>
      </c>
      <c r="AF24" s="63">
        <f>IF(AF2='Model Inputs'!AE87,0,AF22-AF23)</f>
        <v>0</v>
      </c>
      <c r="AG24" s="63">
        <f>IF(AG2='Model Inputs'!AF87,0,AG22-AG23)</f>
        <v>0</v>
      </c>
      <c r="AH24" s="63">
        <f>IF(AH2='Model Inputs'!AG87,0,AH22-AH23)</f>
        <v>0</v>
      </c>
      <c r="AI24" s="63">
        <f>IF(AI2='Model Inputs'!AH87,0,AI22-AI23)</f>
        <v>0</v>
      </c>
      <c r="AJ24" s="63">
        <f>IF(AJ2='Model Inputs'!AI87,0,AJ22-AJ23)</f>
        <v>0</v>
      </c>
    </row>
    <row r="25" spans="1:36" ht="15.6" outlineLevel="1" x14ac:dyDescent="0.3">
      <c r="A25" s="9" t="s">
        <v>101</v>
      </c>
      <c r="B25" s="65">
        <f t="shared" si="11"/>
        <v>1167.4201704244633</v>
      </c>
      <c r="C25" s="8" t="s">
        <v>0</v>
      </c>
      <c r="D25" s="64">
        <f>D21+D23</f>
        <v>0</v>
      </c>
      <c r="E25" s="64">
        <f t="shared" ref="E25:AB25" si="24">E21+E23</f>
        <v>0</v>
      </c>
      <c r="F25" s="64">
        <f t="shared" si="24"/>
        <v>0</v>
      </c>
      <c r="G25" s="64">
        <f t="shared" si="24"/>
        <v>0</v>
      </c>
      <c r="H25" s="64">
        <f t="shared" si="24"/>
        <v>0</v>
      </c>
      <c r="I25" s="64">
        <f t="shared" si="24"/>
        <v>0</v>
      </c>
      <c r="J25" s="64">
        <f t="shared" si="24"/>
        <v>0</v>
      </c>
      <c r="K25" s="64">
        <f t="shared" si="24"/>
        <v>0</v>
      </c>
      <c r="L25" s="64">
        <f t="shared" si="24"/>
        <v>0</v>
      </c>
      <c r="M25" s="64">
        <f t="shared" si="24"/>
        <v>0</v>
      </c>
      <c r="N25" s="64">
        <f t="shared" si="24"/>
        <v>53.566883291782133</v>
      </c>
      <c r="O25" s="64">
        <f t="shared" si="24"/>
        <v>53.315541560774598</v>
      </c>
      <c r="P25" s="64">
        <f t="shared" si="24"/>
        <v>56.759880666469869</v>
      </c>
      <c r="Q25" s="64">
        <f t="shared" si="24"/>
        <v>58.178877683131617</v>
      </c>
      <c r="R25" s="64">
        <f t="shared" si="24"/>
        <v>59.796728665278962</v>
      </c>
      <c r="S25" s="64">
        <f t="shared" si="24"/>
        <v>61.124183365840139</v>
      </c>
      <c r="T25" s="64">
        <f t="shared" si="24"/>
        <v>62.652287949986146</v>
      </c>
      <c r="U25" s="64">
        <f t="shared" si="24"/>
        <v>64.218595148735787</v>
      </c>
      <c r="V25" s="64">
        <f t="shared" si="24"/>
        <v>66.004399917940361</v>
      </c>
      <c r="W25" s="64">
        <f t="shared" si="24"/>
        <v>66.213656630434855</v>
      </c>
      <c r="X25" s="64">
        <f t="shared" si="24"/>
        <v>101.54946152694575</v>
      </c>
      <c r="Y25" s="64">
        <f t="shared" si="24"/>
        <v>82.73826768354553</v>
      </c>
      <c r="Z25" s="64">
        <f t="shared" si="24"/>
        <v>67.325278925601282</v>
      </c>
      <c r="AA25" s="64">
        <f t="shared" si="24"/>
        <v>58.573592630696851</v>
      </c>
      <c r="AB25" s="64">
        <f t="shared" si="24"/>
        <v>50.531978643940938</v>
      </c>
      <c r="AC25" s="64">
        <f t="shared" ref="AC25:AJ25" si="25">AC21+AC23</f>
        <v>42.000077897927589</v>
      </c>
      <c r="AD25" s="64">
        <f t="shared" si="25"/>
        <v>38.195541885710377</v>
      </c>
      <c r="AE25" s="64">
        <f t="shared" si="25"/>
        <v>35.04655983957224</v>
      </c>
      <c r="AF25" s="64">
        <f t="shared" si="25"/>
        <v>32.172002161117156</v>
      </c>
      <c r="AG25" s="64">
        <f t="shared" si="25"/>
        <v>29.745902771350654</v>
      </c>
      <c r="AH25" s="64">
        <f t="shared" si="25"/>
        <v>27.710471577680483</v>
      </c>
      <c r="AI25" s="64">
        <f t="shared" si="25"/>
        <v>0</v>
      </c>
      <c r="AJ25" s="64">
        <f t="shared" si="25"/>
        <v>0</v>
      </c>
    </row>
    <row r="26" spans="1:36" ht="15.6" outlineLevel="1" x14ac:dyDescent="0.3">
      <c r="A26" s="9" t="s">
        <v>102</v>
      </c>
      <c r="B26" s="65">
        <f t="shared" si="11"/>
        <v>12839.618335774947</v>
      </c>
      <c r="C26" s="8" t="s">
        <v>0</v>
      </c>
      <c r="D26" s="63">
        <f>(D6-D25)*Intro!$G$13</f>
        <v>0</v>
      </c>
      <c r="E26" s="63">
        <f>(E6-E25)*Intro!$G$14</f>
        <v>0</v>
      </c>
      <c r="F26" s="63">
        <f>(F6-F25)*Intro!$G$14</f>
        <v>0</v>
      </c>
      <c r="G26" s="63">
        <f>(G6-G25)*Intro!$G$14</f>
        <v>0</v>
      </c>
      <c r="H26" s="63">
        <f>(H6-H25)*Intro!$G$14</f>
        <v>0</v>
      </c>
      <c r="I26" s="63">
        <f>(I6-I25)*Intro!$G$14</f>
        <v>0</v>
      </c>
      <c r="J26" s="63">
        <f>(J6-J25)*Intro!$G$14</f>
        <v>0</v>
      </c>
      <c r="K26" s="63">
        <f>(K6-K25)*Intro!$G$14</f>
        <v>0</v>
      </c>
      <c r="L26" s="63">
        <f>(L6-L25)*Intro!$G$14</f>
        <v>0</v>
      </c>
      <c r="M26" s="63">
        <f>(M6-M25)*Intro!$G$14</f>
        <v>0</v>
      </c>
      <c r="N26" s="63">
        <f>(N6-N25)*Intro!$G$14</f>
        <v>356.73143216227732</v>
      </c>
      <c r="O26" s="63">
        <f>(O6-O25)*Intro!$G$14</f>
        <v>767.8734201265919</v>
      </c>
      <c r="P26" s="63">
        <f>(P6-P25)*Intro!$G$14</f>
        <v>834.50072828139787</v>
      </c>
      <c r="Q26" s="63">
        <f>(Q6-Q25)*Intro!$G$14</f>
        <v>855.36324648843276</v>
      </c>
      <c r="R26" s="63">
        <f>(R6-R25)*Intro!$G$14</f>
        <v>879.14937512365884</v>
      </c>
      <c r="S26" s="63">
        <f>(S6-S25)*Intro!$G$14</f>
        <v>898.66601084190961</v>
      </c>
      <c r="T26" s="63">
        <f>(T6-T25)*Intro!$G$14</f>
        <v>921.13266111295718</v>
      </c>
      <c r="U26" s="63">
        <f>(U6-U25)*Intro!$G$14</f>
        <v>944.16097764078097</v>
      </c>
      <c r="V26" s="63">
        <f>(V6-V25)*Intro!$G$14</f>
        <v>970.41641304640814</v>
      </c>
      <c r="W26" s="63">
        <f>(W6-W25)*Intro!$G$14</f>
        <v>973.49296776999108</v>
      </c>
      <c r="X26" s="63">
        <f>(X6-X25)*Intro!$G$14</f>
        <v>761.71762668534734</v>
      </c>
      <c r="Y26" s="63">
        <f>(Y6-Y25)*Intro!$G$14</f>
        <v>628.44277885961651</v>
      </c>
      <c r="Z26" s="63">
        <f>(Z6-Z25)*Intro!$G$14</f>
        <v>517.72945060308416</v>
      </c>
      <c r="AA26" s="63">
        <f>(AA6-AA25)*Intro!$G$14</f>
        <v>455.94752753035664</v>
      </c>
      <c r="AB26" s="63">
        <f>(AB6-AB25)*Intro!$G$14</f>
        <v>398.09888191625566</v>
      </c>
      <c r="AC26" s="63">
        <f>(AC6-AC25)*Intro!$G$14</f>
        <v>334.81910077915734</v>
      </c>
      <c r="AD26" s="63">
        <f>(AD6-AD25)*Intro!$G$14</f>
        <v>308.05806545405306</v>
      </c>
      <c r="AE26" s="63">
        <f>(AE6-AE25)*Intro!$G$14</f>
        <v>285.92351319350138</v>
      </c>
      <c r="AF26" s="63">
        <f>(AF6-AF25)*Intro!$G$14</f>
        <v>265.4559269857707</v>
      </c>
      <c r="AG26" s="63">
        <f>(AG6-AG25)*Intro!$G$14</f>
        <v>248.18592752048554</v>
      </c>
      <c r="AH26" s="63">
        <f>(AH6-AH25)*Intro!$G$14</f>
        <v>233.75230365291048</v>
      </c>
      <c r="AI26" s="63">
        <f>(AI6-AI25)*Intro!$G$14</f>
        <v>0</v>
      </c>
      <c r="AJ26" s="63">
        <f>(AJ6-AJ25)*Intro!$G$14</f>
        <v>0</v>
      </c>
    </row>
    <row r="27" spans="1:36" ht="15.6" x14ac:dyDescent="0.3">
      <c r="A27" s="9"/>
      <c r="B27" s="65"/>
      <c r="C27" s="8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</row>
    <row r="28" spans="1:36" ht="16.5" customHeight="1" x14ac:dyDescent="0.3">
      <c r="A28" s="12" t="s">
        <v>141</v>
      </c>
      <c r="B28" s="67"/>
      <c r="C28" s="51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</row>
    <row r="29" spans="1:36" ht="16.5" customHeight="1" outlineLevel="1" x14ac:dyDescent="0.3">
      <c r="A29" s="14"/>
      <c r="B29" s="15" t="str">
        <f>B2</f>
        <v>Total</v>
      </c>
      <c r="C29" s="15" t="str">
        <f t="shared" ref="C29:AB29" si="26">C2</f>
        <v>Unit</v>
      </c>
      <c r="D29" s="15">
        <f t="shared" si="26"/>
        <v>2022</v>
      </c>
      <c r="E29" s="15">
        <f t="shared" si="26"/>
        <v>2023</v>
      </c>
      <c r="F29" s="15">
        <f t="shared" si="26"/>
        <v>2024</v>
      </c>
      <c r="G29" s="15">
        <f t="shared" si="26"/>
        <v>2025</v>
      </c>
      <c r="H29" s="15">
        <f t="shared" si="26"/>
        <v>2026</v>
      </c>
      <c r="I29" s="15">
        <f t="shared" si="26"/>
        <v>2027</v>
      </c>
      <c r="J29" s="15">
        <f t="shared" si="26"/>
        <v>2028</v>
      </c>
      <c r="K29" s="15">
        <f t="shared" si="26"/>
        <v>2029</v>
      </c>
      <c r="L29" s="15">
        <f t="shared" si="26"/>
        <v>2030</v>
      </c>
      <c r="M29" s="15">
        <f t="shared" si="26"/>
        <v>2031</v>
      </c>
      <c r="N29" s="15">
        <f t="shared" si="26"/>
        <v>2032</v>
      </c>
      <c r="O29" s="15">
        <f t="shared" si="26"/>
        <v>2033</v>
      </c>
      <c r="P29" s="15">
        <f t="shared" si="26"/>
        <v>2034</v>
      </c>
      <c r="Q29" s="15">
        <f t="shared" si="26"/>
        <v>2035</v>
      </c>
      <c r="R29" s="15">
        <f t="shared" si="26"/>
        <v>2036</v>
      </c>
      <c r="S29" s="15">
        <f t="shared" si="26"/>
        <v>2037</v>
      </c>
      <c r="T29" s="15">
        <f t="shared" si="26"/>
        <v>2038</v>
      </c>
      <c r="U29" s="15">
        <f t="shared" si="26"/>
        <v>2039</v>
      </c>
      <c r="V29" s="15">
        <f t="shared" si="26"/>
        <v>2040</v>
      </c>
      <c r="W29" s="15">
        <f t="shared" si="26"/>
        <v>2041</v>
      </c>
      <c r="X29" s="15">
        <f t="shared" si="26"/>
        <v>2042</v>
      </c>
      <c r="Y29" s="15">
        <f t="shared" si="26"/>
        <v>2043</v>
      </c>
      <c r="Z29" s="15">
        <f t="shared" si="26"/>
        <v>2044</v>
      </c>
      <c r="AA29" s="15">
        <f t="shared" si="26"/>
        <v>2045</v>
      </c>
      <c r="AB29" s="15">
        <f t="shared" si="26"/>
        <v>2046</v>
      </c>
      <c r="AC29" s="15">
        <f t="shared" ref="AC29:AJ29" si="27">AC2</f>
        <v>2047</v>
      </c>
      <c r="AD29" s="15">
        <f t="shared" si="27"/>
        <v>2048</v>
      </c>
      <c r="AE29" s="15">
        <f t="shared" si="27"/>
        <v>2049</v>
      </c>
      <c r="AF29" s="15">
        <f t="shared" si="27"/>
        <v>2050</v>
      </c>
      <c r="AG29" s="15">
        <f t="shared" si="27"/>
        <v>2051</v>
      </c>
      <c r="AH29" s="15">
        <f t="shared" si="27"/>
        <v>2052</v>
      </c>
      <c r="AI29" s="15">
        <f t="shared" si="27"/>
        <v>2053</v>
      </c>
      <c r="AJ29" s="15">
        <f t="shared" si="27"/>
        <v>2054</v>
      </c>
    </row>
    <row r="30" spans="1:36" ht="15.6" outlineLevel="1" x14ac:dyDescent="0.3">
      <c r="A30" s="8" t="s">
        <v>103</v>
      </c>
      <c r="B30" s="65">
        <f>SUM(D30:AJ30)</f>
        <v>2517.3705768487844</v>
      </c>
      <c r="C30" s="8" t="s">
        <v>0</v>
      </c>
      <c r="D30" s="63">
        <f>'Model Inputs'!E65</f>
        <v>0</v>
      </c>
      <c r="E30" s="63">
        <f>'Model Inputs'!F65</f>
        <v>0</v>
      </c>
      <c r="F30" s="63">
        <f>'Model Inputs'!G65</f>
        <v>0</v>
      </c>
      <c r="G30" s="63">
        <f>'Model Inputs'!H65</f>
        <v>19.05</v>
      </c>
      <c r="H30" s="63">
        <f>'Model Inputs'!I65</f>
        <v>19.526249999999997</v>
      </c>
      <c r="I30" s="63">
        <f>'Model Inputs'!J65</f>
        <v>221.0524455625</v>
      </c>
      <c r="J30" s="63">
        <f>'Model Inputs'!K65</f>
        <v>469.10432515624996</v>
      </c>
      <c r="K30" s="63">
        <f>'Model Inputs'!L65</f>
        <v>669.23954796015596</v>
      </c>
      <c r="L30" s="63">
        <f>'Model Inputs'!M65</f>
        <v>720.59954783110345</v>
      </c>
      <c r="M30" s="63">
        <f>'Model Inputs'!N65</f>
        <v>167.90041308886225</v>
      </c>
      <c r="N30" s="63">
        <f>'Model Inputs'!O65</f>
        <v>172.09792341608383</v>
      </c>
      <c r="O30" s="63">
        <f>'Model Inputs'!P65</f>
        <v>58.800123833828636</v>
      </c>
      <c r="P30" s="63">
        <f>'Model Inputs'!Q65</f>
        <v>0</v>
      </c>
      <c r="Q30" s="63">
        <f>'Model Inputs'!R65</f>
        <v>0</v>
      </c>
      <c r="R30" s="63">
        <f>'Model Inputs'!S65</f>
        <v>0</v>
      </c>
      <c r="S30" s="63">
        <f>'Model Inputs'!T65</f>
        <v>0</v>
      </c>
      <c r="T30" s="63">
        <f>'Model Inputs'!U65</f>
        <v>0</v>
      </c>
      <c r="U30" s="63">
        <f>'Model Inputs'!V65</f>
        <v>0</v>
      </c>
      <c r="V30" s="63">
        <f>'Model Inputs'!W65</f>
        <v>0</v>
      </c>
      <c r="W30" s="63">
        <f>'Model Inputs'!X65</f>
        <v>0</v>
      </c>
      <c r="X30" s="63">
        <f>'Model Inputs'!Y65</f>
        <v>0</v>
      </c>
      <c r="Y30" s="63">
        <f>'Model Inputs'!Z65</f>
        <v>0</v>
      </c>
      <c r="Z30" s="63">
        <f>'Model Inputs'!AA65</f>
        <v>0</v>
      </c>
      <c r="AA30" s="63">
        <f>'Model Inputs'!AB65</f>
        <v>0</v>
      </c>
      <c r="AB30" s="63">
        <f>'Model Inputs'!AC65</f>
        <v>0</v>
      </c>
      <c r="AC30" s="63">
        <f>'Model Inputs'!AD65</f>
        <v>0</v>
      </c>
      <c r="AD30" s="63">
        <f>'Model Inputs'!AE65</f>
        <v>0</v>
      </c>
      <c r="AE30" s="63">
        <f>'Model Inputs'!AF65</f>
        <v>0</v>
      </c>
      <c r="AF30" s="63">
        <f>'Model Inputs'!AG65</f>
        <v>0</v>
      </c>
      <c r="AG30" s="63">
        <f>'Model Inputs'!AH65</f>
        <v>0</v>
      </c>
      <c r="AH30" s="63">
        <f>'Model Inputs'!AI65</f>
        <v>0</v>
      </c>
      <c r="AI30" s="63">
        <f>'Model Inputs'!AJ65</f>
        <v>0</v>
      </c>
      <c r="AJ30" s="63">
        <f>'Model Inputs'!AK65</f>
        <v>0</v>
      </c>
    </row>
    <row r="31" spans="1:36" ht="15.6" outlineLevel="1" x14ac:dyDescent="0.3">
      <c r="A31" s="8" t="s">
        <v>104</v>
      </c>
      <c r="B31" s="65">
        <f t="shared" ref="B31:B44" si="28">SUM(D31:AJ31)</f>
        <v>0</v>
      </c>
      <c r="C31" s="8" t="s">
        <v>0</v>
      </c>
      <c r="D31" s="63">
        <v>0</v>
      </c>
      <c r="E31" s="63">
        <f>D40</f>
        <v>0</v>
      </c>
      <c r="F31" s="63">
        <f>E40</f>
        <v>0</v>
      </c>
      <c r="G31" s="63">
        <f>F40</f>
        <v>0</v>
      </c>
      <c r="H31" s="63">
        <f>G40</f>
        <v>0</v>
      </c>
      <c r="I31" s="63">
        <f>H40</f>
        <v>0</v>
      </c>
      <c r="J31" s="63">
        <f t="shared" ref="J31:AB31" si="29">I40</f>
        <v>0</v>
      </c>
      <c r="K31" s="63">
        <f t="shared" si="29"/>
        <v>0</v>
      </c>
      <c r="L31" s="63">
        <f t="shared" si="29"/>
        <v>0</v>
      </c>
      <c r="M31" s="63">
        <f t="shared" si="29"/>
        <v>0</v>
      </c>
      <c r="N31" s="63">
        <f t="shared" si="29"/>
        <v>0</v>
      </c>
      <c r="O31" s="63">
        <f t="shared" si="29"/>
        <v>0</v>
      </c>
      <c r="P31" s="63">
        <f t="shared" si="29"/>
        <v>0</v>
      </c>
      <c r="Q31" s="63">
        <f t="shared" si="29"/>
        <v>0</v>
      </c>
      <c r="R31" s="63">
        <f t="shared" si="29"/>
        <v>0</v>
      </c>
      <c r="S31" s="63">
        <f t="shared" si="29"/>
        <v>0</v>
      </c>
      <c r="T31" s="63">
        <f t="shared" si="29"/>
        <v>0</v>
      </c>
      <c r="U31" s="63">
        <f t="shared" si="29"/>
        <v>0</v>
      </c>
      <c r="V31" s="63">
        <f t="shared" si="29"/>
        <v>0</v>
      </c>
      <c r="W31" s="63">
        <f t="shared" si="29"/>
        <v>0</v>
      </c>
      <c r="X31" s="63">
        <f t="shared" si="29"/>
        <v>0</v>
      </c>
      <c r="Y31" s="63">
        <f t="shared" si="29"/>
        <v>0</v>
      </c>
      <c r="Z31" s="63">
        <f t="shared" si="29"/>
        <v>0</v>
      </c>
      <c r="AA31" s="63">
        <f t="shared" si="29"/>
        <v>0</v>
      </c>
      <c r="AB31" s="63">
        <f t="shared" si="29"/>
        <v>0</v>
      </c>
      <c r="AC31" s="63">
        <f t="shared" ref="AC31:AJ31" si="30">AB40</f>
        <v>0</v>
      </c>
      <c r="AD31" s="63">
        <f t="shared" si="30"/>
        <v>0</v>
      </c>
      <c r="AE31" s="63">
        <f t="shared" si="30"/>
        <v>0</v>
      </c>
      <c r="AF31" s="63">
        <f t="shared" si="30"/>
        <v>0</v>
      </c>
      <c r="AG31" s="63">
        <f t="shared" si="30"/>
        <v>0</v>
      </c>
      <c r="AH31" s="63">
        <f t="shared" si="30"/>
        <v>0</v>
      </c>
      <c r="AI31" s="63">
        <f t="shared" si="30"/>
        <v>0</v>
      </c>
      <c r="AJ31" s="63">
        <f t="shared" si="30"/>
        <v>0</v>
      </c>
    </row>
    <row r="32" spans="1:36" ht="15.6" outlineLevel="1" x14ac:dyDescent="0.3">
      <c r="A32" s="8" t="s">
        <v>105</v>
      </c>
      <c r="B32" s="65">
        <f t="shared" si="28"/>
        <v>0</v>
      </c>
      <c r="C32" s="8" t="s">
        <v>0</v>
      </c>
      <c r="D32" s="63">
        <f>IF(Intro!$G$19="yes",D37*(Intro!$G$18+D3),0)</f>
        <v>0</v>
      </c>
      <c r="E32" s="63">
        <f>IF(Intro!$G$19="yes",E37*(Intro!$G$18+E3),0)</f>
        <v>0</v>
      </c>
      <c r="F32" s="63">
        <f>IF(Intro!$G$19="yes",F37*(Intro!$G$18+F3),0)</f>
        <v>0</v>
      </c>
      <c r="G32" s="63">
        <f>IF(Intro!$G$19="yes",G37*(Intro!$G$18+G3),0)</f>
        <v>0</v>
      </c>
      <c r="H32" s="63">
        <f>IF(Intro!$G$19="yes",H37*(Intro!$G$18+H3),0)</f>
        <v>0</v>
      </c>
      <c r="I32" s="63">
        <f>IF(Intro!$G$19="yes",I37*(Intro!$G$18+I3),0)</f>
        <v>0</v>
      </c>
      <c r="J32" s="63">
        <f>IF(Intro!$G$19="yes",J37*(Intro!$G$18+J3),0)</f>
        <v>0</v>
      </c>
      <c r="K32" s="63">
        <f>IF(Intro!$G$19="yes",K37*(Intro!$G$18+K3),0)</f>
        <v>0</v>
      </c>
      <c r="L32" s="63">
        <f>IF(Intro!$G$19="yes",L37*(Intro!$G$18+L3),0)</f>
        <v>0</v>
      </c>
      <c r="M32" s="63">
        <f>IF(Intro!$G$19="yes",M37*(Intro!$G$18+M3),0)</f>
        <v>0</v>
      </c>
      <c r="N32" s="63">
        <f>IF(Intro!$G$19="yes",N37*(Intro!$G$18+N3),0)</f>
        <v>0</v>
      </c>
      <c r="O32" s="63">
        <f>IF(Intro!$G$19="yes",O37*(Intro!$G$18+O3),0)</f>
        <v>0</v>
      </c>
      <c r="P32" s="63">
        <f>IF(Intro!$G$19="yes",P37*(Intro!$G$18+P3),0)</f>
        <v>0</v>
      </c>
      <c r="Q32" s="63">
        <f>IF(Intro!$G$19="yes",Q37*(Intro!$G$18+Q3),0)</f>
        <v>0</v>
      </c>
      <c r="R32" s="63">
        <f>IF(Intro!$G$19="yes",R37*(Intro!$G$18+R3),0)</f>
        <v>0</v>
      </c>
      <c r="S32" s="63">
        <f>IF(Intro!$G$19="yes",S37*(Intro!$G$18+S3),0)</f>
        <v>0</v>
      </c>
      <c r="T32" s="63">
        <f>IF(Intro!$G$19="yes",T37*(Intro!$G$18+T3),0)</f>
        <v>0</v>
      </c>
      <c r="U32" s="63">
        <f>IF(Intro!$G$19="yes",U37*(Intro!$G$18+U3),0)</f>
        <v>0</v>
      </c>
      <c r="V32" s="63">
        <f>IF(Intro!$G$19="yes",V37*(Intro!$G$18+V3),0)</f>
        <v>0</v>
      </c>
      <c r="W32" s="63">
        <f>IF(Intro!$G$19="yes",W37*(Intro!$G$18+W3),0)</f>
        <v>0</v>
      </c>
      <c r="X32" s="63">
        <f>IF(Intro!$G$19="yes",X37*(Intro!$G$18+X3),0)</f>
        <v>0</v>
      </c>
      <c r="Y32" s="63">
        <f>IF(Intro!$G$19="yes",Y37*(Intro!$G$18+Y3),0)</f>
        <v>0</v>
      </c>
      <c r="Z32" s="63">
        <f>IF(Intro!$G$19="yes",Z37*(Intro!$G$18+Z3),0)</f>
        <v>0</v>
      </c>
      <c r="AA32" s="63">
        <f>IF(Intro!$G$19="yes",AA37*(Intro!$G$18+AA3),0)</f>
        <v>0</v>
      </c>
      <c r="AB32" s="63">
        <f>IF(Intro!$G$19="yes",AB37*(Intro!$G$18+AB3),0)</f>
        <v>0</v>
      </c>
      <c r="AC32" s="63">
        <f>IF(Intro!$G$19="yes",AC37*(Intro!$G$18+AC3),0)</f>
        <v>0</v>
      </c>
      <c r="AD32" s="63">
        <f>IF(Intro!$G$19="yes",AD37*(Intro!$G$18+AD3),0)</f>
        <v>0</v>
      </c>
      <c r="AE32" s="63">
        <f>IF(Intro!$G$19="yes",AE37*(Intro!$G$18+AE3),0)</f>
        <v>0</v>
      </c>
      <c r="AF32" s="63">
        <f>IF(Intro!$G$19="yes",AF37*(Intro!$G$18+AF3),0)</f>
        <v>0</v>
      </c>
      <c r="AG32" s="63">
        <f>IF(Intro!$G$19="yes",AG37*(Intro!$G$18+AG3),0)</f>
        <v>0</v>
      </c>
      <c r="AH32" s="63">
        <f>IF(Intro!$G$19="yes",AH37*(Intro!$G$18+AH3),0)</f>
        <v>0</v>
      </c>
      <c r="AI32" s="63">
        <f>IF(Intro!$G$19="yes",AI37*(Intro!$G$18+AI3),0)</f>
        <v>0</v>
      </c>
      <c r="AJ32" s="63">
        <f>IF(Intro!$G$19="yes",AJ37*(Intro!$G$18+AJ3),0)</f>
        <v>0</v>
      </c>
    </row>
    <row r="33" spans="1:36" ht="15.6" outlineLevel="1" x14ac:dyDescent="0.3">
      <c r="A33" s="8" t="s">
        <v>95</v>
      </c>
      <c r="B33" s="65">
        <f t="shared" si="28"/>
        <v>0</v>
      </c>
      <c r="C33" s="8" t="s">
        <v>0</v>
      </c>
      <c r="D33" s="63">
        <f>IF(Intro!$G$19="yes",D32*(Intro!$G$18+D3),0)</f>
        <v>0</v>
      </c>
      <c r="E33" s="63">
        <f>IF(Intro!$G$19="yes",E32*(Intro!$G$18+E3),0)</f>
        <v>0</v>
      </c>
      <c r="F33" s="63">
        <f>IF(Intro!$G$19="yes",F32*(Intro!$G$18+F3),0)</f>
        <v>0</v>
      </c>
      <c r="G33" s="63">
        <f>IF(Intro!$G$19="yes",G32*(Intro!$G$18+G3),0)</f>
        <v>0</v>
      </c>
      <c r="H33" s="63">
        <f>IF(Intro!$G$19="yes",H32*(Intro!$G$18+H3),0)</f>
        <v>0</v>
      </c>
      <c r="I33" s="63">
        <f>IF(Intro!$G$19="yes",I32*(Intro!$G$18+I3),0)</f>
        <v>0</v>
      </c>
      <c r="J33" s="63">
        <f>IF(Intro!$G$19="yes",J32*(Intro!$G$18+J3),0)</f>
        <v>0</v>
      </c>
      <c r="K33" s="63">
        <f>IF(Intro!$G$19="yes",K32*(Intro!$G$18+K3),0)</f>
        <v>0</v>
      </c>
      <c r="L33" s="63">
        <f>IF(Intro!$G$19="yes",L32*(Intro!$G$18+L3),0)</f>
        <v>0</v>
      </c>
      <c r="M33" s="63">
        <f>IF(Intro!$G$19="yes",M32*(Intro!$G$18+M3),0)</f>
        <v>0</v>
      </c>
      <c r="N33" s="63">
        <f>IF(Intro!$G$19="yes",N32*(Intro!$G$18+N3),0)</f>
        <v>0</v>
      </c>
      <c r="O33" s="63">
        <f>IF(Intro!$G$19="yes",O32*(Intro!$G$18+O3),0)</f>
        <v>0</v>
      </c>
      <c r="P33" s="63">
        <f>IF(Intro!$G$19="yes",P32*(Intro!$G$18+P3),0)</f>
        <v>0</v>
      </c>
      <c r="Q33" s="63">
        <f>IF(Intro!$G$19="yes",Q32*(Intro!$G$18+Q3),0)</f>
        <v>0</v>
      </c>
      <c r="R33" s="63">
        <f>IF(Intro!$G$19="yes",R32*(Intro!$G$18+R3),0)</f>
        <v>0</v>
      </c>
      <c r="S33" s="63">
        <f>IF(Intro!$G$19="yes",S32*(Intro!$G$18+S3),0)</f>
        <v>0</v>
      </c>
      <c r="T33" s="63">
        <f>IF(Intro!$G$19="yes",T32*(Intro!$G$18+T3),0)</f>
        <v>0</v>
      </c>
      <c r="U33" s="63">
        <f>IF(Intro!$G$19="yes",U32*(Intro!$G$18+U3),0)</f>
        <v>0</v>
      </c>
      <c r="V33" s="63">
        <f>IF(Intro!$G$19="yes",V32*(Intro!$G$18+V3),0)</f>
        <v>0</v>
      </c>
      <c r="W33" s="63">
        <f>IF(Intro!$G$19="yes",W32*(Intro!$G$18+W3),0)</f>
        <v>0</v>
      </c>
      <c r="X33" s="63">
        <f>IF(Intro!$G$19="yes",X32*(Intro!$G$18+X3),0)</f>
        <v>0</v>
      </c>
      <c r="Y33" s="63">
        <f>IF(Intro!$G$19="yes",Y32*(Intro!$G$18+Y3),0)</f>
        <v>0</v>
      </c>
      <c r="Z33" s="63">
        <f>IF(Intro!$G$19="yes",Z32*(Intro!$G$18+Z3),0)</f>
        <v>0</v>
      </c>
      <c r="AA33" s="63">
        <f>IF(Intro!$G$19="yes",AA32*(Intro!$G$18+AA3),0)</f>
        <v>0</v>
      </c>
      <c r="AB33" s="63">
        <f>IF(Intro!$G$19="yes",AB32*(Intro!$G$18+AB3),0)</f>
        <v>0</v>
      </c>
      <c r="AC33" s="63">
        <f>IF(Intro!$G$19="yes",AC32*(Intro!$G$18+AC3),0)</f>
        <v>0</v>
      </c>
      <c r="AD33" s="63">
        <f>IF(Intro!$G$19="yes",AD32*(Intro!$G$18+AD3),0)</f>
        <v>0</v>
      </c>
      <c r="AE33" s="63">
        <f>IF(Intro!$G$19="yes",AE32*(Intro!$G$18+AE3),0)</f>
        <v>0</v>
      </c>
      <c r="AF33" s="63">
        <f>IF(Intro!$G$19="yes",AF32*(Intro!$G$18+AF3),0)</f>
        <v>0</v>
      </c>
      <c r="AG33" s="63">
        <f>IF(Intro!$G$19="yes",AG32*(Intro!$G$18+AG3),0)</f>
        <v>0</v>
      </c>
      <c r="AH33" s="63">
        <f>IF(Intro!$G$19="yes",AH32*(Intro!$G$18+AH3),0)</f>
        <v>0</v>
      </c>
      <c r="AI33" s="63">
        <f>IF(Intro!$G$19="yes",AI32*(Intro!$G$18+AI3),0)</f>
        <v>0</v>
      </c>
      <c r="AJ33" s="63">
        <f>IF(Intro!$G$19="yes",AJ32*(Intro!$G$18+AJ3),0)</f>
        <v>0</v>
      </c>
    </row>
    <row r="34" spans="1:36" ht="15.6" outlineLevel="1" x14ac:dyDescent="0.3">
      <c r="A34" s="8" t="s">
        <v>96</v>
      </c>
      <c r="B34" s="65">
        <f t="shared" si="28"/>
        <v>0</v>
      </c>
      <c r="C34" s="8" t="s">
        <v>0</v>
      </c>
      <c r="D34" s="63">
        <f>SUM(D31:D33)</f>
        <v>0</v>
      </c>
      <c r="E34" s="63">
        <f t="shared" ref="E34:AB34" si="31">SUM(E31:E33)</f>
        <v>0</v>
      </c>
      <c r="F34" s="63">
        <f t="shared" si="31"/>
        <v>0</v>
      </c>
      <c r="G34" s="63">
        <f t="shared" si="31"/>
        <v>0</v>
      </c>
      <c r="H34" s="63">
        <f t="shared" si="31"/>
        <v>0</v>
      </c>
      <c r="I34" s="63">
        <f t="shared" si="31"/>
        <v>0</v>
      </c>
      <c r="J34" s="63">
        <f t="shared" si="31"/>
        <v>0</v>
      </c>
      <c r="K34" s="63">
        <f t="shared" si="31"/>
        <v>0</v>
      </c>
      <c r="L34" s="63">
        <f t="shared" si="31"/>
        <v>0</v>
      </c>
      <c r="M34" s="63">
        <f t="shared" si="31"/>
        <v>0</v>
      </c>
      <c r="N34" s="63">
        <f t="shared" si="31"/>
        <v>0</v>
      </c>
      <c r="O34" s="63">
        <f t="shared" si="31"/>
        <v>0</v>
      </c>
      <c r="P34" s="63">
        <f t="shared" si="31"/>
        <v>0</v>
      </c>
      <c r="Q34" s="63">
        <f t="shared" si="31"/>
        <v>0</v>
      </c>
      <c r="R34" s="63">
        <f t="shared" si="31"/>
        <v>0</v>
      </c>
      <c r="S34" s="63">
        <f t="shared" si="31"/>
        <v>0</v>
      </c>
      <c r="T34" s="63">
        <f t="shared" si="31"/>
        <v>0</v>
      </c>
      <c r="U34" s="63">
        <f t="shared" si="31"/>
        <v>0</v>
      </c>
      <c r="V34" s="63">
        <f t="shared" si="31"/>
        <v>0</v>
      </c>
      <c r="W34" s="63">
        <f t="shared" si="31"/>
        <v>0</v>
      </c>
      <c r="X34" s="63">
        <f t="shared" si="31"/>
        <v>0</v>
      </c>
      <c r="Y34" s="63">
        <f t="shared" si="31"/>
        <v>0</v>
      </c>
      <c r="Z34" s="63">
        <f t="shared" si="31"/>
        <v>0</v>
      </c>
      <c r="AA34" s="63">
        <f t="shared" si="31"/>
        <v>0</v>
      </c>
      <c r="AB34" s="63">
        <f t="shared" si="31"/>
        <v>0</v>
      </c>
      <c r="AC34" s="63">
        <f t="shared" ref="AC34:AJ34" si="32">SUM(AC31:AC33)</f>
        <v>0</v>
      </c>
      <c r="AD34" s="63">
        <f t="shared" si="32"/>
        <v>0</v>
      </c>
      <c r="AE34" s="63">
        <f t="shared" si="32"/>
        <v>0</v>
      </c>
      <c r="AF34" s="63">
        <f t="shared" si="32"/>
        <v>0</v>
      </c>
      <c r="AG34" s="63">
        <f t="shared" si="32"/>
        <v>0</v>
      </c>
      <c r="AH34" s="63">
        <f t="shared" si="32"/>
        <v>0</v>
      </c>
      <c r="AI34" s="63">
        <f t="shared" si="32"/>
        <v>0</v>
      </c>
      <c r="AJ34" s="63">
        <f t="shared" si="32"/>
        <v>0</v>
      </c>
    </row>
    <row r="35" spans="1:36" ht="15.6" outlineLevel="1" x14ac:dyDescent="0.3">
      <c r="A35" s="9" t="s">
        <v>97</v>
      </c>
      <c r="B35" s="65">
        <f t="shared" si="28"/>
        <v>0</v>
      </c>
      <c r="C35" s="8" t="s">
        <v>0</v>
      </c>
      <c r="D35" s="64">
        <f>IF(D26&gt;=D34,D34,D26)</f>
        <v>0</v>
      </c>
      <c r="E35" s="64">
        <f t="shared" ref="E35:AB35" si="33">IF(E26&gt;=E34,E34,E26)</f>
        <v>0</v>
      </c>
      <c r="F35" s="64">
        <f t="shared" si="33"/>
        <v>0</v>
      </c>
      <c r="G35" s="64">
        <f t="shared" si="33"/>
        <v>0</v>
      </c>
      <c r="H35" s="64">
        <f t="shared" si="33"/>
        <v>0</v>
      </c>
      <c r="I35" s="64">
        <f t="shared" si="33"/>
        <v>0</v>
      </c>
      <c r="J35" s="64">
        <f t="shared" si="33"/>
        <v>0</v>
      </c>
      <c r="K35" s="64">
        <f t="shared" si="33"/>
        <v>0</v>
      </c>
      <c r="L35" s="64">
        <f t="shared" si="33"/>
        <v>0</v>
      </c>
      <c r="M35" s="64">
        <f t="shared" si="33"/>
        <v>0</v>
      </c>
      <c r="N35" s="64">
        <f t="shared" si="33"/>
        <v>0</v>
      </c>
      <c r="O35" s="64">
        <f t="shared" si="33"/>
        <v>0</v>
      </c>
      <c r="P35" s="64">
        <f t="shared" si="33"/>
        <v>0</v>
      </c>
      <c r="Q35" s="64">
        <f t="shared" si="33"/>
        <v>0</v>
      </c>
      <c r="R35" s="64">
        <f t="shared" si="33"/>
        <v>0</v>
      </c>
      <c r="S35" s="64">
        <f t="shared" si="33"/>
        <v>0</v>
      </c>
      <c r="T35" s="64">
        <f t="shared" si="33"/>
        <v>0</v>
      </c>
      <c r="U35" s="64">
        <f t="shared" si="33"/>
        <v>0</v>
      </c>
      <c r="V35" s="64">
        <f t="shared" si="33"/>
        <v>0</v>
      </c>
      <c r="W35" s="64">
        <f t="shared" si="33"/>
        <v>0</v>
      </c>
      <c r="X35" s="64">
        <f t="shared" si="33"/>
        <v>0</v>
      </c>
      <c r="Y35" s="64">
        <f t="shared" si="33"/>
        <v>0</v>
      </c>
      <c r="Z35" s="64">
        <f t="shared" si="33"/>
        <v>0</v>
      </c>
      <c r="AA35" s="64">
        <f t="shared" si="33"/>
        <v>0</v>
      </c>
      <c r="AB35" s="64">
        <f t="shared" si="33"/>
        <v>0</v>
      </c>
      <c r="AC35" s="64">
        <f t="shared" ref="AC35:AJ35" si="34">IF(AC26&gt;=AC34,AC34,AC26)</f>
        <v>0</v>
      </c>
      <c r="AD35" s="64">
        <f t="shared" si="34"/>
        <v>0</v>
      </c>
      <c r="AE35" s="64">
        <f t="shared" si="34"/>
        <v>0</v>
      </c>
      <c r="AF35" s="64">
        <f t="shared" si="34"/>
        <v>0</v>
      </c>
      <c r="AG35" s="64">
        <f t="shared" si="34"/>
        <v>0</v>
      </c>
      <c r="AH35" s="64">
        <f t="shared" si="34"/>
        <v>0</v>
      </c>
      <c r="AI35" s="64">
        <f t="shared" si="34"/>
        <v>0</v>
      </c>
      <c r="AJ35" s="64">
        <f t="shared" si="34"/>
        <v>0</v>
      </c>
    </row>
    <row r="36" spans="1:36" ht="15.6" outlineLevel="1" x14ac:dyDescent="0.3">
      <c r="A36" s="8" t="s">
        <v>106</v>
      </c>
      <c r="B36" s="65">
        <f t="shared" si="28"/>
        <v>12839.618335774947</v>
      </c>
      <c r="C36" s="8" t="s">
        <v>0</v>
      </c>
      <c r="D36" s="63">
        <f>D26-D35</f>
        <v>0</v>
      </c>
      <c r="E36" s="63">
        <f t="shared" ref="E36:AB36" si="35">E26-E35</f>
        <v>0</v>
      </c>
      <c r="F36" s="63">
        <f t="shared" si="35"/>
        <v>0</v>
      </c>
      <c r="G36" s="63">
        <f t="shared" si="35"/>
        <v>0</v>
      </c>
      <c r="H36" s="63">
        <f t="shared" si="35"/>
        <v>0</v>
      </c>
      <c r="I36" s="63">
        <f t="shared" si="35"/>
        <v>0</v>
      </c>
      <c r="J36" s="63">
        <f t="shared" si="35"/>
        <v>0</v>
      </c>
      <c r="K36" s="63">
        <f t="shared" si="35"/>
        <v>0</v>
      </c>
      <c r="L36" s="63">
        <f t="shared" si="35"/>
        <v>0</v>
      </c>
      <c r="M36" s="63">
        <f t="shared" si="35"/>
        <v>0</v>
      </c>
      <c r="N36" s="63">
        <f t="shared" si="35"/>
        <v>356.73143216227732</v>
      </c>
      <c r="O36" s="63">
        <f t="shared" si="35"/>
        <v>767.8734201265919</v>
      </c>
      <c r="P36" s="63">
        <f t="shared" si="35"/>
        <v>834.50072828139787</v>
      </c>
      <c r="Q36" s="63">
        <f t="shared" si="35"/>
        <v>855.36324648843276</v>
      </c>
      <c r="R36" s="63">
        <f t="shared" si="35"/>
        <v>879.14937512365884</v>
      </c>
      <c r="S36" s="63">
        <f t="shared" si="35"/>
        <v>898.66601084190961</v>
      </c>
      <c r="T36" s="63">
        <f t="shared" si="35"/>
        <v>921.13266111295718</v>
      </c>
      <c r="U36" s="63">
        <f t="shared" si="35"/>
        <v>944.16097764078097</v>
      </c>
      <c r="V36" s="63">
        <f t="shared" si="35"/>
        <v>970.41641304640814</v>
      </c>
      <c r="W36" s="63">
        <f t="shared" si="35"/>
        <v>973.49296776999108</v>
      </c>
      <c r="X36" s="63">
        <f t="shared" si="35"/>
        <v>761.71762668534734</v>
      </c>
      <c r="Y36" s="63">
        <f t="shared" si="35"/>
        <v>628.44277885961651</v>
      </c>
      <c r="Z36" s="63">
        <f t="shared" si="35"/>
        <v>517.72945060308416</v>
      </c>
      <c r="AA36" s="63">
        <f t="shared" si="35"/>
        <v>455.94752753035664</v>
      </c>
      <c r="AB36" s="63">
        <f t="shared" si="35"/>
        <v>398.09888191625566</v>
      </c>
      <c r="AC36" s="63">
        <f t="shared" ref="AC36:AJ36" si="36">AC26-AC35</f>
        <v>334.81910077915734</v>
      </c>
      <c r="AD36" s="63">
        <f t="shared" si="36"/>
        <v>308.05806545405306</v>
      </c>
      <c r="AE36" s="63">
        <f t="shared" si="36"/>
        <v>285.92351319350138</v>
      </c>
      <c r="AF36" s="63">
        <f t="shared" si="36"/>
        <v>265.4559269857707</v>
      </c>
      <c r="AG36" s="63">
        <f t="shared" si="36"/>
        <v>248.18592752048554</v>
      </c>
      <c r="AH36" s="63">
        <f t="shared" si="36"/>
        <v>233.75230365291048</v>
      </c>
      <c r="AI36" s="63">
        <f t="shared" si="36"/>
        <v>0</v>
      </c>
      <c r="AJ36" s="63">
        <f t="shared" si="36"/>
        <v>0</v>
      </c>
    </row>
    <row r="37" spans="1:36" ht="15.6" outlineLevel="1" x14ac:dyDescent="0.3">
      <c r="A37" s="8" t="s">
        <v>107</v>
      </c>
      <c r="B37" s="65"/>
      <c r="C37" s="8" t="s">
        <v>0</v>
      </c>
      <c r="D37" s="63">
        <v>0</v>
      </c>
      <c r="E37" s="63">
        <f>D41</f>
        <v>0</v>
      </c>
      <c r="F37" s="63">
        <f t="shared" ref="F37:AB37" si="37">E41</f>
        <v>0</v>
      </c>
      <c r="G37" s="63">
        <f t="shared" si="37"/>
        <v>0</v>
      </c>
      <c r="H37" s="63">
        <f t="shared" si="37"/>
        <v>215.45000000000002</v>
      </c>
      <c r="I37" s="63">
        <f t="shared" si="37"/>
        <v>234.97625000000002</v>
      </c>
      <c r="J37" s="63">
        <f t="shared" si="37"/>
        <v>456.02869556250005</v>
      </c>
      <c r="K37" s="63">
        <f t="shared" si="37"/>
        <v>925.13302071875</v>
      </c>
      <c r="L37" s="63">
        <f t="shared" si="37"/>
        <v>1594.372568678906</v>
      </c>
      <c r="M37" s="63">
        <f t="shared" si="37"/>
        <v>2314.9721165100095</v>
      </c>
      <c r="N37" s="63">
        <f t="shared" si="37"/>
        <v>2482.8725295988716</v>
      </c>
      <c r="O37" s="63">
        <f t="shared" si="37"/>
        <v>2298.2390208526776</v>
      </c>
      <c r="P37" s="63">
        <f t="shared" si="37"/>
        <v>1589.1657245599145</v>
      </c>
      <c r="Q37" s="63">
        <f t="shared" si="37"/>
        <v>754.66499627851658</v>
      </c>
      <c r="R37" s="63">
        <f t="shared" si="37"/>
        <v>0</v>
      </c>
      <c r="S37" s="63">
        <f t="shared" si="37"/>
        <v>0</v>
      </c>
      <c r="T37" s="63">
        <f t="shared" si="37"/>
        <v>0</v>
      </c>
      <c r="U37" s="63">
        <f t="shared" si="37"/>
        <v>0</v>
      </c>
      <c r="V37" s="63">
        <f t="shared" si="37"/>
        <v>0</v>
      </c>
      <c r="W37" s="63">
        <f t="shared" si="37"/>
        <v>0</v>
      </c>
      <c r="X37" s="63">
        <f t="shared" si="37"/>
        <v>0</v>
      </c>
      <c r="Y37" s="63">
        <f t="shared" si="37"/>
        <v>0</v>
      </c>
      <c r="Z37" s="63">
        <f t="shared" si="37"/>
        <v>0</v>
      </c>
      <c r="AA37" s="63">
        <f t="shared" si="37"/>
        <v>0</v>
      </c>
      <c r="AB37" s="63">
        <f t="shared" si="37"/>
        <v>0</v>
      </c>
      <c r="AC37" s="63">
        <f t="shared" ref="AC37:AJ37" si="38">AB41</f>
        <v>0</v>
      </c>
      <c r="AD37" s="63">
        <f t="shared" si="38"/>
        <v>0</v>
      </c>
      <c r="AE37" s="63">
        <f t="shared" si="38"/>
        <v>0</v>
      </c>
      <c r="AF37" s="63">
        <f t="shared" si="38"/>
        <v>0</v>
      </c>
      <c r="AG37" s="63">
        <f t="shared" si="38"/>
        <v>0</v>
      </c>
      <c r="AH37" s="63">
        <f t="shared" si="38"/>
        <v>0</v>
      </c>
      <c r="AI37" s="63">
        <f t="shared" si="38"/>
        <v>0</v>
      </c>
      <c r="AJ37" s="63">
        <f t="shared" si="38"/>
        <v>0</v>
      </c>
    </row>
    <row r="38" spans="1:36" ht="15.6" outlineLevel="1" x14ac:dyDescent="0.3">
      <c r="A38" s="8" t="s">
        <v>108</v>
      </c>
      <c r="B38" s="65"/>
      <c r="C38" s="8" t="s">
        <v>0</v>
      </c>
      <c r="D38" s="63">
        <f>D37+D30</f>
        <v>0</v>
      </c>
      <c r="E38" s="63">
        <f t="shared" ref="E38:AB38" si="39">E37+E30</f>
        <v>0</v>
      </c>
      <c r="F38" s="63">
        <f t="shared" si="39"/>
        <v>0</v>
      </c>
      <c r="G38" s="63">
        <f>G37+G30+196.4</f>
        <v>215.45000000000002</v>
      </c>
      <c r="H38" s="63">
        <f t="shared" si="39"/>
        <v>234.97625000000002</v>
      </c>
      <c r="I38" s="63">
        <f t="shared" si="39"/>
        <v>456.02869556250005</v>
      </c>
      <c r="J38" s="63">
        <f t="shared" si="39"/>
        <v>925.13302071875</v>
      </c>
      <c r="K38" s="63">
        <f t="shared" si="39"/>
        <v>1594.372568678906</v>
      </c>
      <c r="L38" s="63">
        <f t="shared" si="39"/>
        <v>2314.9721165100095</v>
      </c>
      <c r="M38" s="63">
        <f t="shared" si="39"/>
        <v>2482.8725295988716</v>
      </c>
      <c r="N38" s="63">
        <f t="shared" si="39"/>
        <v>2654.9704530149552</v>
      </c>
      <c r="O38" s="63">
        <f t="shared" si="39"/>
        <v>2357.0391446865065</v>
      </c>
      <c r="P38" s="63">
        <f t="shared" si="39"/>
        <v>1589.1657245599145</v>
      </c>
      <c r="Q38" s="63">
        <f t="shared" si="39"/>
        <v>754.66499627851658</v>
      </c>
      <c r="R38" s="63">
        <f t="shared" si="39"/>
        <v>0</v>
      </c>
      <c r="S38" s="63">
        <f t="shared" si="39"/>
        <v>0</v>
      </c>
      <c r="T38" s="63">
        <f t="shared" si="39"/>
        <v>0</v>
      </c>
      <c r="U38" s="63">
        <f t="shared" si="39"/>
        <v>0</v>
      </c>
      <c r="V38" s="63">
        <f t="shared" si="39"/>
        <v>0</v>
      </c>
      <c r="W38" s="63">
        <f t="shared" si="39"/>
        <v>0</v>
      </c>
      <c r="X38" s="63">
        <f t="shared" si="39"/>
        <v>0</v>
      </c>
      <c r="Y38" s="63">
        <f t="shared" si="39"/>
        <v>0</v>
      </c>
      <c r="Z38" s="63">
        <f t="shared" si="39"/>
        <v>0</v>
      </c>
      <c r="AA38" s="63">
        <f t="shared" si="39"/>
        <v>0</v>
      </c>
      <c r="AB38" s="63">
        <f t="shared" si="39"/>
        <v>0</v>
      </c>
      <c r="AC38" s="63">
        <f t="shared" ref="AC38:AJ38" si="40">AC37+AC30</f>
        <v>0</v>
      </c>
      <c r="AD38" s="63">
        <f t="shared" si="40"/>
        <v>0</v>
      </c>
      <c r="AE38" s="63">
        <f t="shared" si="40"/>
        <v>0</v>
      </c>
      <c r="AF38" s="63">
        <f t="shared" si="40"/>
        <v>0</v>
      </c>
      <c r="AG38" s="63">
        <f t="shared" si="40"/>
        <v>0</v>
      </c>
      <c r="AH38" s="63">
        <f t="shared" si="40"/>
        <v>0</v>
      </c>
      <c r="AI38" s="63">
        <f t="shared" si="40"/>
        <v>0</v>
      </c>
      <c r="AJ38" s="63">
        <f t="shared" si="40"/>
        <v>0</v>
      </c>
    </row>
    <row r="39" spans="1:36" ht="15.6" outlineLevel="1" x14ac:dyDescent="0.3">
      <c r="A39" s="9" t="s">
        <v>109</v>
      </c>
      <c r="B39" s="65">
        <f>SUM(D39:AJ39)</f>
        <v>2713.7705768487835</v>
      </c>
      <c r="C39" s="8" t="s">
        <v>0</v>
      </c>
      <c r="D39" s="64">
        <f>IF(D36&gt;=D38,D38,D36)</f>
        <v>0</v>
      </c>
      <c r="E39" s="64">
        <f t="shared" ref="E39:AB39" si="41">IF(E36&gt;=E38,E38,E36)</f>
        <v>0</v>
      </c>
      <c r="F39" s="64">
        <f t="shared" si="41"/>
        <v>0</v>
      </c>
      <c r="G39" s="64">
        <f t="shared" si="41"/>
        <v>0</v>
      </c>
      <c r="H39" s="64">
        <f t="shared" si="41"/>
        <v>0</v>
      </c>
      <c r="I39" s="64">
        <f t="shared" si="41"/>
        <v>0</v>
      </c>
      <c r="J39" s="64">
        <f t="shared" si="41"/>
        <v>0</v>
      </c>
      <c r="K39" s="64">
        <f t="shared" si="41"/>
        <v>0</v>
      </c>
      <c r="L39" s="64">
        <f t="shared" si="41"/>
        <v>0</v>
      </c>
      <c r="M39" s="64">
        <f t="shared" si="41"/>
        <v>0</v>
      </c>
      <c r="N39" s="64">
        <f t="shared" si="41"/>
        <v>356.73143216227732</v>
      </c>
      <c r="O39" s="64">
        <f t="shared" si="41"/>
        <v>767.8734201265919</v>
      </c>
      <c r="P39" s="64">
        <f t="shared" si="41"/>
        <v>834.50072828139787</v>
      </c>
      <c r="Q39" s="64">
        <f t="shared" si="41"/>
        <v>754.66499627851658</v>
      </c>
      <c r="R39" s="64">
        <f t="shared" si="41"/>
        <v>0</v>
      </c>
      <c r="S39" s="64">
        <f t="shared" si="41"/>
        <v>0</v>
      </c>
      <c r="T39" s="64">
        <f t="shared" si="41"/>
        <v>0</v>
      </c>
      <c r="U39" s="64">
        <f t="shared" si="41"/>
        <v>0</v>
      </c>
      <c r="V39" s="64">
        <f t="shared" si="41"/>
        <v>0</v>
      </c>
      <c r="W39" s="64">
        <f t="shared" si="41"/>
        <v>0</v>
      </c>
      <c r="X39" s="64">
        <f t="shared" si="41"/>
        <v>0</v>
      </c>
      <c r="Y39" s="64">
        <f t="shared" si="41"/>
        <v>0</v>
      </c>
      <c r="Z39" s="64">
        <f t="shared" si="41"/>
        <v>0</v>
      </c>
      <c r="AA39" s="64">
        <f t="shared" si="41"/>
        <v>0</v>
      </c>
      <c r="AB39" s="64">
        <f t="shared" si="41"/>
        <v>0</v>
      </c>
      <c r="AC39" s="64">
        <f t="shared" ref="AC39:AJ39" si="42">IF(AC36&gt;=AC38,AC38,AC36)</f>
        <v>0</v>
      </c>
      <c r="AD39" s="64">
        <f t="shared" si="42"/>
        <v>0</v>
      </c>
      <c r="AE39" s="64">
        <f t="shared" si="42"/>
        <v>0</v>
      </c>
      <c r="AF39" s="64">
        <f t="shared" si="42"/>
        <v>0</v>
      </c>
      <c r="AG39" s="64">
        <f t="shared" si="42"/>
        <v>0</v>
      </c>
      <c r="AH39" s="64">
        <f t="shared" si="42"/>
        <v>0</v>
      </c>
      <c r="AI39" s="64">
        <f t="shared" si="42"/>
        <v>0</v>
      </c>
      <c r="AJ39" s="64">
        <f t="shared" si="42"/>
        <v>0</v>
      </c>
    </row>
    <row r="40" spans="1:36" ht="15.6" outlineLevel="1" x14ac:dyDescent="0.3">
      <c r="A40" s="8" t="s">
        <v>110</v>
      </c>
      <c r="B40" s="65">
        <f t="shared" si="28"/>
        <v>0</v>
      </c>
      <c r="C40" s="8" t="s">
        <v>0</v>
      </c>
      <c r="D40" s="63">
        <f>IF(D26&gt;=D34,0,D34-D26)</f>
        <v>0</v>
      </c>
      <c r="E40" s="63">
        <f t="shared" ref="E40:AB40" si="43">IF(E26&gt;=E34,0,E34-E26)</f>
        <v>0</v>
      </c>
      <c r="F40" s="63">
        <f t="shared" si="43"/>
        <v>0</v>
      </c>
      <c r="G40" s="63">
        <f t="shared" si="43"/>
        <v>0</v>
      </c>
      <c r="H40" s="63">
        <f t="shared" si="43"/>
        <v>0</v>
      </c>
      <c r="I40" s="63">
        <f t="shared" si="43"/>
        <v>0</v>
      </c>
      <c r="J40" s="63">
        <f t="shared" si="43"/>
        <v>0</v>
      </c>
      <c r="K40" s="63">
        <f t="shared" si="43"/>
        <v>0</v>
      </c>
      <c r="L40" s="63">
        <f t="shared" si="43"/>
        <v>0</v>
      </c>
      <c r="M40" s="63">
        <f t="shared" si="43"/>
        <v>0</v>
      </c>
      <c r="N40" s="63">
        <f t="shared" si="43"/>
        <v>0</v>
      </c>
      <c r="O40" s="63">
        <f t="shared" si="43"/>
        <v>0</v>
      </c>
      <c r="P40" s="63">
        <f t="shared" si="43"/>
        <v>0</v>
      </c>
      <c r="Q40" s="63">
        <f t="shared" si="43"/>
        <v>0</v>
      </c>
      <c r="R40" s="63">
        <f t="shared" si="43"/>
        <v>0</v>
      </c>
      <c r="S40" s="63">
        <f t="shared" si="43"/>
        <v>0</v>
      </c>
      <c r="T40" s="63">
        <f t="shared" si="43"/>
        <v>0</v>
      </c>
      <c r="U40" s="63">
        <f t="shared" si="43"/>
        <v>0</v>
      </c>
      <c r="V40" s="63">
        <f t="shared" si="43"/>
        <v>0</v>
      </c>
      <c r="W40" s="63">
        <f t="shared" si="43"/>
        <v>0</v>
      </c>
      <c r="X40" s="63">
        <f t="shared" si="43"/>
        <v>0</v>
      </c>
      <c r="Y40" s="63">
        <f t="shared" si="43"/>
        <v>0</v>
      </c>
      <c r="Z40" s="63">
        <f t="shared" si="43"/>
        <v>0</v>
      </c>
      <c r="AA40" s="63">
        <f t="shared" si="43"/>
        <v>0</v>
      </c>
      <c r="AB40" s="63">
        <f t="shared" si="43"/>
        <v>0</v>
      </c>
      <c r="AC40" s="63">
        <f t="shared" ref="AC40:AJ40" si="44">IF(AC26&gt;=AC34,0,AC34-AC26)</f>
        <v>0</v>
      </c>
      <c r="AD40" s="63">
        <f t="shared" si="44"/>
        <v>0</v>
      </c>
      <c r="AE40" s="63">
        <f t="shared" si="44"/>
        <v>0</v>
      </c>
      <c r="AF40" s="63">
        <f t="shared" si="44"/>
        <v>0</v>
      </c>
      <c r="AG40" s="63">
        <f t="shared" si="44"/>
        <v>0</v>
      </c>
      <c r="AH40" s="63">
        <f t="shared" si="44"/>
        <v>0</v>
      </c>
      <c r="AI40" s="63">
        <f t="shared" si="44"/>
        <v>0</v>
      </c>
      <c r="AJ40" s="63">
        <f t="shared" si="44"/>
        <v>0</v>
      </c>
    </row>
    <row r="41" spans="1:36" ht="15.6" outlineLevel="1" x14ac:dyDescent="0.3">
      <c r="A41" s="8" t="s">
        <v>111</v>
      </c>
      <c r="B41" s="65"/>
      <c r="C41" s="8" t="s">
        <v>0</v>
      </c>
      <c r="D41" s="63">
        <f>IF(D36&gt;=D38,0,D38-D36)</f>
        <v>0</v>
      </c>
      <c r="E41" s="63">
        <f t="shared" ref="E41:AB41" si="45">IF(E36&gt;=E38,0,E38-E36)</f>
        <v>0</v>
      </c>
      <c r="F41" s="63">
        <f t="shared" si="45"/>
        <v>0</v>
      </c>
      <c r="G41" s="63">
        <f t="shared" si="45"/>
        <v>215.45000000000002</v>
      </c>
      <c r="H41" s="63">
        <f t="shared" si="45"/>
        <v>234.97625000000002</v>
      </c>
      <c r="I41" s="63">
        <f t="shared" si="45"/>
        <v>456.02869556250005</v>
      </c>
      <c r="J41" s="63">
        <f t="shared" si="45"/>
        <v>925.13302071875</v>
      </c>
      <c r="K41" s="63">
        <f t="shared" si="45"/>
        <v>1594.372568678906</v>
      </c>
      <c r="L41" s="63">
        <f t="shared" si="45"/>
        <v>2314.9721165100095</v>
      </c>
      <c r="M41" s="63">
        <f t="shared" si="45"/>
        <v>2482.8725295988716</v>
      </c>
      <c r="N41" s="63">
        <f t="shared" si="45"/>
        <v>2298.2390208526776</v>
      </c>
      <c r="O41" s="63">
        <f t="shared" si="45"/>
        <v>1589.1657245599145</v>
      </c>
      <c r="P41" s="63">
        <f t="shared" si="45"/>
        <v>754.66499627851658</v>
      </c>
      <c r="Q41" s="63">
        <f t="shared" si="45"/>
        <v>0</v>
      </c>
      <c r="R41" s="63">
        <f t="shared" si="45"/>
        <v>0</v>
      </c>
      <c r="S41" s="63">
        <f t="shared" si="45"/>
        <v>0</v>
      </c>
      <c r="T41" s="63">
        <f t="shared" si="45"/>
        <v>0</v>
      </c>
      <c r="U41" s="63">
        <f t="shared" si="45"/>
        <v>0</v>
      </c>
      <c r="V41" s="63">
        <f t="shared" si="45"/>
        <v>0</v>
      </c>
      <c r="W41" s="63">
        <f t="shared" si="45"/>
        <v>0</v>
      </c>
      <c r="X41" s="63">
        <f t="shared" si="45"/>
        <v>0</v>
      </c>
      <c r="Y41" s="63">
        <f t="shared" si="45"/>
        <v>0</v>
      </c>
      <c r="Z41" s="63">
        <f t="shared" si="45"/>
        <v>0</v>
      </c>
      <c r="AA41" s="63">
        <f t="shared" si="45"/>
        <v>0</v>
      </c>
      <c r="AB41" s="63">
        <f t="shared" si="45"/>
        <v>0</v>
      </c>
      <c r="AC41" s="63">
        <f t="shared" ref="AC41:AJ41" si="46">IF(AC36&gt;=AC38,0,AC38-AC36)</f>
        <v>0</v>
      </c>
      <c r="AD41" s="63">
        <f t="shared" si="46"/>
        <v>0</v>
      </c>
      <c r="AE41" s="63">
        <f t="shared" si="46"/>
        <v>0</v>
      </c>
      <c r="AF41" s="63">
        <f t="shared" si="46"/>
        <v>0</v>
      </c>
      <c r="AG41" s="63">
        <f t="shared" si="46"/>
        <v>0</v>
      </c>
      <c r="AH41" s="63">
        <f t="shared" si="46"/>
        <v>0</v>
      </c>
      <c r="AI41" s="63">
        <f t="shared" si="46"/>
        <v>0</v>
      </c>
      <c r="AJ41" s="63">
        <f t="shared" si="46"/>
        <v>0</v>
      </c>
    </row>
    <row r="42" spans="1:36" ht="15.6" outlineLevel="1" x14ac:dyDescent="0.3">
      <c r="A42" s="8" t="s">
        <v>112</v>
      </c>
      <c r="B42" s="65">
        <f>COUNTIF($D$42:$AJ$42,"=0")+D2</f>
        <v>2032</v>
      </c>
      <c r="C42" s="8" t="s">
        <v>113</v>
      </c>
      <c r="D42" s="69">
        <f>IF(OR(SUM('Model Inputs'!$E28:E28)=0,D40&gt;0),0,1)</f>
        <v>0</v>
      </c>
      <c r="E42" s="69">
        <f>IF(OR(SUM('Model Inputs'!$E28:F28)=0,E40&gt;0),0,1)</f>
        <v>0</v>
      </c>
      <c r="F42" s="69">
        <f>IF(OR(SUM('Model Inputs'!$E28:G28)=0,F40&gt;0),0,1)</f>
        <v>0</v>
      </c>
      <c r="G42" s="69">
        <f>IF(OR(SUM('Model Inputs'!$E28:H28)=0,G40&gt;0),0,1)</f>
        <v>0</v>
      </c>
      <c r="H42" s="69">
        <f>IF(OR(SUM('Model Inputs'!$E28:I28)=0,H40&gt;0),0,1)</f>
        <v>0</v>
      </c>
      <c r="I42" s="69">
        <f>IF(OR(SUM('Model Inputs'!$E28:J28)=0,I40&gt;0),0,1)</f>
        <v>0</v>
      </c>
      <c r="J42" s="69">
        <f>IF(OR(SUM('Model Inputs'!$E28:K28)=0,J40&gt;0),0,1)</f>
        <v>0</v>
      </c>
      <c r="K42" s="69">
        <f>IF(OR(SUM('Model Inputs'!$E28:L28)=0,K40&gt;0),0,1)</f>
        <v>0</v>
      </c>
      <c r="L42" s="69">
        <f>IF(OR(SUM('Model Inputs'!$E28:M28)=0,L40&gt;0),0,1)</f>
        <v>0</v>
      </c>
      <c r="M42" s="69">
        <f>IF(OR(SUM('Model Inputs'!$E28:N28)=0,M40&gt;0),0,1)</f>
        <v>0</v>
      </c>
      <c r="N42" s="69">
        <f>IF(OR(SUM('Model Inputs'!$E28:O28)=0,N40&gt;0),0,1)</f>
        <v>1</v>
      </c>
      <c r="O42" s="69">
        <f>IF(OR(SUM('Model Inputs'!$E28:P28)=0,O40&gt;0),0,1)</f>
        <v>1</v>
      </c>
      <c r="P42" s="69">
        <f>IF(OR(SUM('Model Inputs'!$E28:Q28)=0,P40&gt;0),0,1)</f>
        <v>1</v>
      </c>
      <c r="Q42" s="69">
        <f>IF(OR(SUM('Model Inputs'!$E28:R28)=0,Q40&gt;0),0,1)</f>
        <v>1</v>
      </c>
      <c r="R42" s="69">
        <f>IF(OR(SUM('Model Inputs'!$E28:S28)=0,R40&gt;0),0,1)</f>
        <v>1</v>
      </c>
      <c r="S42" s="69">
        <f>IF(OR(SUM('Model Inputs'!$E28:T28)=0,S40&gt;0),0,1)</f>
        <v>1</v>
      </c>
      <c r="T42" s="69">
        <f>IF(OR(SUM('Model Inputs'!$E28:U28)=0,T40&gt;0),0,1)</f>
        <v>1</v>
      </c>
      <c r="U42" s="69">
        <f>IF(OR(SUM('Model Inputs'!$E28:V28)=0,U40&gt;0),0,1)</f>
        <v>1</v>
      </c>
      <c r="V42" s="69">
        <f>IF(OR(SUM('Model Inputs'!$E28:W28)=0,V40&gt;0),0,1)</f>
        <v>1</v>
      </c>
      <c r="W42" s="69">
        <f>IF(OR(SUM('Model Inputs'!$E28:X28)=0,W40&gt;0),0,1)</f>
        <v>1</v>
      </c>
      <c r="X42" s="69">
        <f>IF(OR(SUM('Model Inputs'!$E28:Y28)=0,X40&gt;0),0,1)</f>
        <v>1</v>
      </c>
      <c r="Y42" s="69">
        <f>IF(OR(SUM('Model Inputs'!$E28:Z28)=0,Y40&gt;0),0,1)</f>
        <v>1</v>
      </c>
      <c r="Z42" s="69">
        <f>IF(OR(SUM('Model Inputs'!$E28:AA28)=0,Z40&gt;0),0,1)</f>
        <v>1</v>
      </c>
      <c r="AA42" s="69">
        <f>IF(OR(SUM('Model Inputs'!$E28:AB28)=0,AA40&gt;0),0,1)</f>
        <v>1</v>
      </c>
      <c r="AB42" s="69">
        <f>IF(OR(SUM('Model Inputs'!$E28:AC28)=0,AB40&gt;0),0,1)</f>
        <v>1</v>
      </c>
      <c r="AC42" s="69">
        <f>IF(OR(SUM('Model Inputs'!$E28:AD28)=0,AC40&gt;0),0,1)</f>
        <v>1</v>
      </c>
      <c r="AD42" s="69">
        <f>IF(OR(SUM('Model Inputs'!$E28:AE28)=0,AD40&gt;0),0,1)</f>
        <v>1</v>
      </c>
      <c r="AE42" s="69">
        <f>IF(OR(SUM('Model Inputs'!$E28:AF28)=0,AE40&gt;0),0,1)</f>
        <v>1</v>
      </c>
      <c r="AF42" s="69">
        <f>IF(OR(SUM('Model Inputs'!$E28:AG28)=0,AF40&gt;0),0,1)</f>
        <v>1</v>
      </c>
      <c r="AG42" s="69">
        <f>IF(OR(SUM('Model Inputs'!$E28:AH28)=0,AG40&gt;0),0,1)</f>
        <v>1</v>
      </c>
      <c r="AH42" s="69">
        <f>IF(OR(SUM('Model Inputs'!$E28:AI28)=0,AH40&gt;0),0,1)</f>
        <v>1</v>
      </c>
      <c r="AI42" s="69">
        <f>IF(OR(SUM('Model Inputs'!$E28:AJ28)=0,AI40&gt;0),0,1)</f>
        <v>1</v>
      </c>
      <c r="AJ42" s="69">
        <f>IF(OR(SUM('Model Inputs'!$E28:AK28)=0,AJ40&gt;0),0,1)</f>
        <v>1</v>
      </c>
    </row>
    <row r="43" spans="1:36" ht="15.6" outlineLevel="1" x14ac:dyDescent="0.3">
      <c r="A43" s="9" t="s">
        <v>114</v>
      </c>
      <c r="B43" s="65">
        <f t="shared" si="28"/>
        <v>2713.7705768487835</v>
      </c>
      <c r="C43" s="8" t="s">
        <v>0</v>
      </c>
      <c r="D43" s="64">
        <f>D35+D39</f>
        <v>0</v>
      </c>
      <c r="E43" s="64">
        <f t="shared" ref="E43:AB43" si="47">E35+E39</f>
        <v>0</v>
      </c>
      <c r="F43" s="64">
        <f t="shared" si="47"/>
        <v>0</v>
      </c>
      <c r="G43" s="64">
        <f t="shared" si="47"/>
        <v>0</v>
      </c>
      <c r="H43" s="64">
        <f t="shared" si="47"/>
        <v>0</v>
      </c>
      <c r="I43" s="64">
        <f t="shared" si="47"/>
        <v>0</v>
      </c>
      <c r="J43" s="64">
        <f t="shared" si="47"/>
        <v>0</v>
      </c>
      <c r="K43" s="64">
        <f t="shared" si="47"/>
        <v>0</v>
      </c>
      <c r="L43" s="64">
        <f t="shared" si="47"/>
        <v>0</v>
      </c>
      <c r="M43" s="64">
        <f t="shared" si="47"/>
        <v>0</v>
      </c>
      <c r="N43" s="64">
        <f t="shared" si="47"/>
        <v>356.73143216227732</v>
      </c>
      <c r="O43" s="64">
        <f t="shared" si="47"/>
        <v>767.8734201265919</v>
      </c>
      <c r="P43" s="64">
        <f t="shared" si="47"/>
        <v>834.50072828139787</v>
      </c>
      <c r="Q43" s="64">
        <f t="shared" si="47"/>
        <v>754.66499627851658</v>
      </c>
      <c r="R43" s="64">
        <f t="shared" si="47"/>
        <v>0</v>
      </c>
      <c r="S43" s="64">
        <f t="shared" si="47"/>
        <v>0</v>
      </c>
      <c r="T43" s="64">
        <f t="shared" si="47"/>
        <v>0</v>
      </c>
      <c r="U43" s="64">
        <f t="shared" si="47"/>
        <v>0</v>
      </c>
      <c r="V43" s="64">
        <f t="shared" si="47"/>
        <v>0</v>
      </c>
      <c r="W43" s="64">
        <f t="shared" si="47"/>
        <v>0</v>
      </c>
      <c r="X43" s="64">
        <f t="shared" si="47"/>
        <v>0</v>
      </c>
      <c r="Y43" s="64">
        <f t="shared" si="47"/>
        <v>0</v>
      </c>
      <c r="Z43" s="64">
        <f t="shared" si="47"/>
        <v>0</v>
      </c>
      <c r="AA43" s="64">
        <f t="shared" si="47"/>
        <v>0</v>
      </c>
      <c r="AB43" s="64">
        <f t="shared" si="47"/>
        <v>0</v>
      </c>
      <c r="AC43" s="64">
        <f t="shared" ref="AC43:AJ43" si="48">AC35+AC39</f>
        <v>0</v>
      </c>
      <c r="AD43" s="64">
        <f t="shared" si="48"/>
        <v>0</v>
      </c>
      <c r="AE43" s="64">
        <f t="shared" si="48"/>
        <v>0</v>
      </c>
      <c r="AF43" s="64">
        <f t="shared" si="48"/>
        <v>0</v>
      </c>
      <c r="AG43" s="64">
        <f t="shared" si="48"/>
        <v>0</v>
      </c>
      <c r="AH43" s="64">
        <f t="shared" si="48"/>
        <v>0</v>
      </c>
      <c r="AI43" s="64">
        <f t="shared" si="48"/>
        <v>0</v>
      </c>
      <c r="AJ43" s="64">
        <f t="shared" si="48"/>
        <v>0</v>
      </c>
    </row>
    <row r="44" spans="1:36" ht="15.6" outlineLevel="1" x14ac:dyDescent="0.3">
      <c r="A44" s="8" t="s">
        <v>115</v>
      </c>
      <c r="B44" s="65">
        <f t="shared" si="28"/>
        <v>15628.541331401135</v>
      </c>
      <c r="C44" s="8" t="s">
        <v>0</v>
      </c>
      <c r="D44" s="63">
        <f>D6-D25-D43</f>
        <v>0</v>
      </c>
      <c r="E44" s="63">
        <f t="shared" ref="E44:AB44" si="49">E6-E25-E43</f>
        <v>0</v>
      </c>
      <c r="F44" s="63">
        <f t="shared" si="49"/>
        <v>0</v>
      </c>
      <c r="G44" s="63">
        <f t="shared" si="49"/>
        <v>0</v>
      </c>
      <c r="H44" s="63">
        <f t="shared" si="49"/>
        <v>0</v>
      </c>
      <c r="I44" s="63">
        <f t="shared" si="49"/>
        <v>0</v>
      </c>
      <c r="J44" s="63">
        <f t="shared" si="49"/>
        <v>0</v>
      </c>
      <c r="K44" s="63">
        <f t="shared" si="49"/>
        <v>0</v>
      </c>
      <c r="L44" s="63">
        <f t="shared" si="49"/>
        <v>0</v>
      </c>
      <c r="M44" s="63">
        <f t="shared" si="49"/>
        <v>0</v>
      </c>
      <c r="N44" s="63">
        <f t="shared" si="49"/>
        <v>152.8848994981189</v>
      </c>
      <c r="O44" s="63">
        <f t="shared" si="49"/>
        <v>329.08860862568224</v>
      </c>
      <c r="P44" s="63">
        <f t="shared" si="49"/>
        <v>357.64316926345623</v>
      </c>
      <c r="Q44" s="63">
        <f t="shared" si="49"/>
        <v>467.28249870495893</v>
      </c>
      <c r="R44" s="63">
        <f t="shared" si="49"/>
        <v>1255.9276787480842</v>
      </c>
      <c r="S44" s="63">
        <f t="shared" si="49"/>
        <v>1283.8085869170138</v>
      </c>
      <c r="T44" s="63">
        <f t="shared" si="49"/>
        <v>1315.9038015899389</v>
      </c>
      <c r="U44" s="63">
        <f t="shared" si="49"/>
        <v>1348.8013966296871</v>
      </c>
      <c r="V44" s="63">
        <f t="shared" si="49"/>
        <v>1386.3091614948689</v>
      </c>
      <c r="W44" s="63">
        <f t="shared" si="49"/>
        <v>1390.704239671416</v>
      </c>
      <c r="X44" s="63">
        <f t="shared" si="49"/>
        <v>1088.1680381219248</v>
      </c>
      <c r="Y44" s="63">
        <f t="shared" si="49"/>
        <v>897.77539837088079</v>
      </c>
      <c r="Z44" s="63">
        <f t="shared" si="49"/>
        <v>739.6135008615488</v>
      </c>
      <c r="AA44" s="63">
        <f t="shared" si="49"/>
        <v>651.3536107576524</v>
      </c>
      <c r="AB44" s="63">
        <f t="shared" si="49"/>
        <v>568.71268845179384</v>
      </c>
      <c r="AC44" s="63">
        <f t="shared" ref="AC44:AJ44" si="50">AC6-AC25-AC43</f>
        <v>478.31300111308195</v>
      </c>
      <c r="AD44" s="63">
        <f t="shared" si="50"/>
        <v>440.08295064864728</v>
      </c>
      <c r="AE44" s="63">
        <f t="shared" si="50"/>
        <v>408.46216170500202</v>
      </c>
      <c r="AF44" s="63">
        <f t="shared" si="50"/>
        <v>379.22275283681535</v>
      </c>
      <c r="AG44" s="63">
        <f t="shared" si="50"/>
        <v>354.55132502926506</v>
      </c>
      <c r="AH44" s="63">
        <f t="shared" si="50"/>
        <v>333.93186236130072</v>
      </c>
      <c r="AI44" s="63">
        <f t="shared" si="50"/>
        <v>0</v>
      </c>
      <c r="AJ44" s="63">
        <f t="shared" si="50"/>
        <v>0</v>
      </c>
    </row>
    <row r="45" spans="1:36" ht="15.6" x14ac:dyDescent="0.3">
      <c r="A45" s="8"/>
      <c r="B45" s="65"/>
      <c r="C45" s="8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36" ht="15.6" x14ac:dyDescent="0.3">
      <c r="A46" s="12" t="s">
        <v>142</v>
      </c>
      <c r="B46" s="66"/>
      <c r="C46" s="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</row>
    <row r="47" spans="1:36" ht="15" outlineLevel="1" x14ac:dyDescent="0.3">
      <c r="A47" s="14"/>
      <c r="B47" s="15" t="str">
        <f>B2</f>
        <v>Total</v>
      </c>
      <c r="C47" s="15" t="str">
        <f t="shared" ref="C47:AB47" si="51">C2</f>
        <v>Unit</v>
      </c>
      <c r="D47" s="15">
        <f t="shared" si="51"/>
        <v>2022</v>
      </c>
      <c r="E47" s="15">
        <f t="shared" si="51"/>
        <v>2023</v>
      </c>
      <c r="F47" s="15">
        <f t="shared" si="51"/>
        <v>2024</v>
      </c>
      <c r="G47" s="15">
        <f t="shared" si="51"/>
        <v>2025</v>
      </c>
      <c r="H47" s="15">
        <f t="shared" si="51"/>
        <v>2026</v>
      </c>
      <c r="I47" s="15">
        <f t="shared" si="51"/>
        <v>2027</v>
      </c>
      <c r="J47" s="15">
        <f t="shared" si="51"/>
        <v>2028</v>
      </c>
      <c r="K47" s="15">
        <f t="shared" si="51"/>
        <v>2029</v>
      </c>
      <c r="L47" s="15">
        <f t="shared" si="51"/>
        <v>2030</v>
      </c>
      <c r="M47" s="15">
        <f t="shared" si="51"/>
        <v>2031</v>
      </c>
      <c r="N47" s="15">
        <f t="shared" si="51"/>
        <v>2032</v>
      </c>
      <c r="O47" s="15">
        <f t="shared" si="51"/>
        <v>2033</v>
      </c>
      <c r="P47" s="15">
        <f t="shared" si="51"/>
        <v>2034</v>
      </c>
      <c r="Q47" s="15">
        <f t="shared" si="51"/>
        <v>2035</v>
      </c>
      <c r="R47" s="15">
        <f t="shared" si="51"/>
        <v>2036</v>
      </c>
      <c r="S47" s="15">
        <f t="shared" si="51"/>
        <v>2037</v>
      </c>
      <c r="T47" s="15">
        <f t="shared" si="51"/>
        <v>2038</v>
      </c>
      <c r="U47" s="15">
        <f t="shared" si="51"/>
        <v>2039</v>
      </c>
      <c r="V47" s="15">
        <f t="shared" si="51"/>
        <v>2040</v>
      </c>
      <c r="W47" s="15">
        <f t="shared" si="51"/>
        <v>2041</v>
      </c>
      <c r="X47" s="15">
        <f t="shared" si="51"/>
        <v>2042</v>
      </c>
      <c r="Y47" s="15">
        <f t="shared" si="51"/>
        <v>2043</v>
      </c>
      <c r="Z47" s="15">
        <f t="shared" si="51"/>
        <v>2044</v>
      </c>
      <c r="AA47" s="15">
        <f t="shared" si="51"/>
        <v>2045</v>
      </c>
      <c r="AB47" s="15">
        <f t="shared" si="51"/>
        <v>2046</v>
      </c>
      <c r="AC47" s="15">
        <f t="shared" ref="AC47:AJ47" si="52">AC2</f>
        <v>2047</v>
      </c>
      <c r="AD47" s="15">
        <f t="shared" si="52"/>
        <v>2048</v>
      </c>
      <c r="AE47" s="15">
        <f t="shared" si="52"/>
        <v>2049</v>
      </c>
      <c r="AF47" s="15">
        <f t="shared" si="52"/>
        <v>2050</v>
      </c>
      <c r="AG47" s="15">
        <f t="shared" si="52"/>
        <v>2051</v>
      </c>
      <c r="AH47" s="15">
        <f t="shared" si="52"/>
        <v>2052</v>
      </c>
      <c r="AI47" s="15">
        <f t="shared" si="52"/>
        <v>2053</v>
      </c>
      <c r="AJ47" s="15">
        <f t="shared" si="52"/>
        <v>2054</v>
      </c>
    </row>
    <row r="48" spans="1:36" ht="15.6" outlineLevel="1" x14ac:dyDescent="0.3">
      <c r="A48" s="8" t="s">
        <v>143</v>
      </c>
      <c r="B48" s="65">
        <f>SUM(D48:AJ48)</f>
        <v>15628.541331401135</v>
      </c>
      <c r="C48" s="8" t="s">
        <v>0</v>
      </c>
      <c r="D48" s="63">
        <f>D44</f>
        <v>0</v>
      </c>
      <c r="E48" s="63">
        <f>E44</f>
        <v>0</v>
      </c>
      <c r="F48" s="63">
        <f t="shared" ref="F48:AB48" si="53">F44</f>
        <v>0</v>
      </c>
      <c r="G48" s="63">
        <f t="shared" si="53"/>
        <v>0</v>
      </c>
      <c r="H48" s="63">
        <f t="shared" si="53"/>
        <v>0</v>
      </c>
      <c r="I48" s="63">
        <f t="shared" si="53"/>
        <v>0</v>
      </c>
      <c r="J48" s="63">
        <f t="shared" si="53"/>
        <v>0</v>
      </c>
      <c r="K48" s="63">
        <f t="shared" si="53"/>
        <v>0</v>
      </c>
      <c r="L48" s="63">
        <f t="shared" si="53"/>
        <v>0</v>
      </c>
      <c r="M48" s="63">
        <f t="shared" si="53"/>
        <v>0</v>
      </c>
      <c r="N48" s="63">
        <f t="shared" si="53"/>
        <v>152.8848994981189</v>
      </c>
      <c r="O48" s="63">
        <f t="shared" si="53"/>
        <v>329.08860862568224</v>
      </c>
      <c r="P48" s="63">
        <f t="shared" si="53"/>
        <v>357.64316926345623</v>
      </c>
      <c r="Q48" s="63">
        <f t="shared" si="53"/>
        <v>467.28249870495893</v>
      </c>
      <c r="R48" s="63">
        <f t="shared" si="53"/>
        <v>1255.9276787480842</v>
      </c>
      <c r="S48" s="63">
        <f t="shared" si="53"/>
        <v>1283.8085869170138</v>
      </c>
      <c r="T48" s="63">
        <f t="shared" si="53"/>
        <v>1315.9038015899389</v>
      </c>
      <c r="U48" s="63">
        <f t="shared" si="53"/>
        <v>1348.8013966296871</v>
      </c>
      <c r="V48" s="63">
        <f t="shared" si="53"/>
        <v>1386.3091614948689</v>
      </c>
      <c r="W48" s="63">
        <f t="shared" si="53"/>
        <v>1390.704239671416</v>
      </c>
      <c r="X48" s="63">
        <f t="shared" si="53"/>
        <v>1088.1680381219248</v>
      </c>
      <c r="Y48" s="63">
        <f t="shared" si="53"/>
        <v>897.77539837088079</v>
      </c>
      <c r="Z48" s="63">
        <f t="shared" si="53"/>
        <v>739.6135008615488</v>
      </c>
      <c r="AA48" s="63">
        <f t="shared" si="53"/>
        <v>651.3536107576524</v>
      </c>
      <c r="AB48" s="63">
        <f t="shared" si="53"/>
        <v>568.71268845179384</v>
      </c>
      <c r="AC48" s="63">
        <f t="shared" ref="AC48:AJ48" si="54">AC44</f>
        <v>478.31300111308195</v>
      </c>
      <c r="AD48" s="63">
        <f t="shared" si="54"/>
        <v>440.08295064864728</v>
      </c>
      <c r="AE48" s="63">
        <f t="shared" si="54"/>
        <v>408.46216170500202</v>
      </c>
      <c r="AF48" s="63">
        <f t="shared" si="54"/>
        <v>379.22275283681535</v>
      </c>
      <c r="AG48" s="63">
        <f t="shared" si="54"/>
        <v>354.55132502926506</v>
      </c>
      <c r="AH48" s="63">
        <f t="shared" si="54"/>
        <v>333.93186236130072</v>
      </c>
      <c r="AI48" s="63">
        <f t="shared" si="54"/>
        <v>0</v>
      </c>
      <c r="AJ48" s="63">
        <f t="shared" si="54"/>
        <v>0</v>
      </c>
    </row>
    <row r="49" spans="1:36" ht="15.6" outlineLevel="1" x14ac:dyDescent="0.3">
      <c r="A49" s="8" t="s">
        <v>144</v>
      </c>
      <c r="B49" s="65"/>
      <c r="C49" s="8" t="s">
        <v>75</v>
      </c>
      <c r="D49" s="63">
        <v>0</v>
      </c>
      <c r="E49" s="63">
        <f>IF(SUM($D$30:D30)=0,0,(SUM($D$51:D51)+SUM($D$43:D43))/SUM($D$30:D30))</f>
        <v>0</v>
      </c>
      <c r="F49" s="63">
        <f>IF(SUM($D$30:E30)=0,0,(SUM($D$51:E51)+SUM($D$43:E43))/SUM($D$30:E30))</f>
        <v>0</v>
      </c>
      <c r="G49" s="63">
        <f>IF(SUM($D$30:F30)=0,0,(SUM($D$51:F51)+SUM($D$43:F43))/SUM($D$30:F30))</f>
        <v>0</v>
      </c>
      <c r="H49" s="63">
        <f>IF(SUM($D$30:G30)=0,0,(SUM($D$51:G51)+SUM($D$43:G43))/SUM($D$30:G30))</f>
        <v>0</v>
      </c>
      <c r="I49" s="63">
        <f>IF(SUM($D$30:H30)=0,0,(SUM($D$51:H51)+SUM($D$43:H43))/SUM($D$30:H30))</f>
        <v>0</v>
      </c>
      <c r="J49" s="63">
        <f>IF(SUM($D$30:I30)=0,0,(SUM($D$51:I51)+SUM($D$43:I43))/SUM($D$30:I30))</f>
        <v>0</v>
      </c>
      <c r="K49" s="63">
        <f>IF(SUM($D$30:J30)=0,0,(SUM($D$51:J51)+SUM($D$43:J43))/SUM($D$30:J30))</f>
        <v>0</v>
      </c>
      <c r="L49" s="63">
        <f>IF(SUM($D$30:K30)=0,0,(SUM($D$51:K51)+SUM($D$43:K43))/SUM($D$30:K30))</f>
        <v>0</v>
      </c>
      <c r="M49" s="63">
        <f>IF(SUM($D$30:L30)=0,0,(SUM($D$51:L51)+SUM($D$43:L43))/SUM($D$30:L30))</f>
        <v>0</v>
      </c>
      <c r="N49" s="63">
        <f>IF(SUM($D$30:M30)=0,0,(SUM($D$51:M51)+SUM($D$43:M43))/SUM($D$30:M30))</f>
        <v>0</v>
      </c>
      <c r="O49" s="63">
        <f>IF(SUM($D$30:N30)=0,0,(SUM($D$51:N51)+SUM($D$43:N43))/SUM($D$30:N30))</f>
        <v>0.17618933042172283</v>
      </c>
      <c r="P49" s="63">
        <f>IF(SUM($D$30:O30)=0,0,(SUM($D$51:O51)+SUM($D$43:O43))/SUM($D$30:O30))</f>
        <v>0.54246745350468095</v>
      </c>
      <c r="Q49" s="63">
        <f>IF(SUM($D$30:P30)=0,0,(SUM($D$51:P51)+SUM($D$43:P43))/SUM($D$30:P30))</f>
        <v>0.9449994931782324</v>
      </c>
      <c r="R49" s="63">
        <f>IF(SUM($D$30:Q30)=0,0,(SUM($D$51:Q51)+SUM($D$43:Q43))/SUM($D$30:Q30))</f>
        <v>1.3375941531460733</v>
      </c>
      <c r="S49" s="63">
        <f>IF(SUM($D$30:R30)=0,0,(SUM($D$51:R51)+SUM($D$43:R43))/SUM($D$30:R30))</f>
        <v>1.5765581673291711</v>
      </c>
      <c r="T49" s="63">
        <f>IF(SUM($D$30:S30)=0,0,(SUM($D$51:S51)+SUM($D$43:S43))/SUM($D$30:S30))</f>
        <v>1.7915790051008056</v>
      </c>
      <c r="U49" s="63">
        <f>IF(SUM($D$30:T30)=0,0,(SUM($D$51:T51)+SUM($D$43:T43))/SUM($D$30:T30))</f>
        <v>1.9849999086702967</v>
      </c>
      <c r="V49" s="63">
        <f>IF(SUM($D$30:U30)=0,0,(SUM($D$51:U51)+SUM($D$43:U43))/SUM($D$30:U30))</f>
        <v>2.1583840601845679</v>
      </c>
      <c r="W49" s="63">
        <f>IF(SUM($D$30:V30)=0,0,(SUM($D$51:V51)+SUM($D$43:V43))/SUM($D$30:V30))</f>
        <v>2.3136739923038356</v>
      </c>
      <c r="X49" s="63">
        <f>IF(SUM($D$30:W30)=0,0,(SUM($D$51:W51)+SUM($D$43:W43))/SUM($D$30:W30))</f>
        <v>2.4488669192378154</v>
      </c>
      <c r="Y49" s="63">
        <f>IF(SUM($D$30:X30)=0,0,(SUM($D$51:X51)+SUM($D$43:X43))/SUM($D$30:X30))</f>
        <v>2.5406243831372306</v>
      </c>
      <c r="Z49" s="63">
        <f>IF(SUM($D$30:Y30)=0,0,(SUM($D$51:Y51)+SUM($D$43:Y43))/SUM($D$30:Y30))</f>
        <v>2.6119508224487373</v>
      </c>
      <c r="AA49" s="63">
        <f>IF(SUM($D$30:Z30)=0,0,(SUM($D$51:Z51)+SUM($D$43:Z43))/SUM($D$30:Z30))</f>
        <v>2.6707116189451661</v>
      </c>
      <c r="AB49" s="63">
        <f>IF(SUM($D$30:AA30)=0,0,(SUM($D$51:AA51)+SUM($D$43:AA43))/SUM($D$30:AA30))</f>
        <v>2.7224603457117285</v>
      </c>
      <c r="AC49" s="63">
        <f>IF(SUM($D$30:AB30)=0,0,(SUM($D$51:AB51)+SUM($D$43:AB43))/SUM($D$30:AB30))</f>
        <v>2.7676434183734973</v>
      </c>
      <c r="AD49" s="63">
        <f>IF(SUM($D$30:AC30)=0,0,(SUM($D$51:AC51)+SUM($D$43:AC43))/SUM($D$30:AC30))</f>
        <v>2.8056444187436398</v>
      </c>
      <c r="AE49" s="63">
        <f>IF(SUM($D$30:AD30)=0,0,(SUM($D$51:AD51)+SUM($D$43:AD43))/SUM($D$30:AD30))</f>
        <v>2.8406081189390666</v>
      </c>
      <c r="AF49" s="63">
        <f>IF(SUM($D$30:AE30)=0,0,(SUM($D$51:AE51)+SUM($D$43:AE43))/SUM($D$30:AE30))</f>
        <v>2.8730596114178826</v>
      </c>
      <c r="AG49" s="63">
        <f>IF(SUM($D$30:AF30)=0,0,(SUM($D$51:AF51)+SUM($D$43:AF43))/SUM($D$30:AF30))</f>
        <v>2.9031880920098443</v>
      </c>
      <c r="AH49" s="63">
        <f>IF(SUM($D$30:AG30)=0,0,(SUM($D$51:AG51)+SUM($D$43:AG43))/SUM($D$30:AG30))</f>
        <v>2.9313564775697554</v>
      </c>
      <c r="AI49" s="63">
        <f>IF(SUM($D$30:AH30)=0,0,(SUM($D$51:AH51)+SUM($D$43:AH43))/SUM($D$30:AH30))</f>
        <v>2.9578866885313309</v>
      </c>
      <c r="AJ49" s="63">
        <f>IF(SUM($D$30:AI30)=0,0,(SUM($D$51:AI51)+SUM($D$43:AI43))/SUM($D$30:AI30))</f>
        <v>2.9578866885313309</v>
      </c>
    </row>
    <row r="50" spans="1:36" ht="15.6" outlineLevel="1" x14ac:dyDescent="0.3">
      <c r="A50" s="8" t="s">
        <v>145</v>
      </c>
      <c r="B50" s="65"/>
      <c r="C50" s="8" t="s">
        <v>146</v>
      </c>
      <c r="D50" s="71">
        <f>IF(D49&lt;1.25,50%,IF(AND(D49&gt;=1.25,D49&lt;=2.5),20%+((2.5-D49)/(2.5-1.25)*(50%-20%)),20%))</f>
        <v>0.5</v>
      </c>
      <c r="E50" s="71">
        <f t="shared" ref="E50:AB50" si="55">IF(E49&lt;1.25,50%,IF(AND(E49&gt;=1.25,E49&lt;=2.5),20%+((2.5-E49)/(2.5-1.25)*(50%-20%)),20%))</f>
        <v>0.5</v>
      </c>
      <c r="F50" s="71">
        <f t="shared" si="55"/>
        <v>0.5</v>
      </c>
      <c r="G50" s="71">
        <f t="shared" si="55"/>
        <v>0.5</v>
      </c>
      <c r="H50" s="71">
        <f t="shared" si="55"/>
        <v>0.5</v>
      </c>
      <c r="I50" s="71">
        <f t="shared" si="55"/>
        <v>0.5</v>
      </c>
      <c r="J50" s="71">
        <f t="shared" si="55"/>
        <v>0.5</v>
      </c>
      <c r="K50" s="71">
        <f t="shared" si="55"/>
        <v>0.5</v>
      </c>
      <c r="L50" s="71">
        <f t="shared" si="55"/>
        <v>0.5</v>
      </c>
      <c r="M50" s="71">
        <f t="shared" si="55"/>
        <v>0.5</v>
      </c>
      <c r="N50" s="71">
        <f t="shared" si="55"/>
        <v>0.5</v>
      </c>
      <c r="O50" s="71">
        <f t="shared" si="55"/>
        <v>0.5</v>
      </c>
      <c r="P50" s="71">
        <f t="shared" si="55"/>
        <v>0.5</v>
      </c>
      <c r="Q50" s="71">
        <f t="shared" si="55"/>
        <v>0.5</v>
      </c>
      <c r="R50" s="71">
        <f t="shared" si="55"/>
        <v>0.47897740324494242</v>
      </c>
      <c r="S50" s="71">
        <f t="shared" si="55"/>
        <v>0.42162603984099895</v>
      </c>
      <c r="T50" s="71">
        <f t="shared" si="55"/>
        <v>0.37002103877580667</v>
      </c>
      <c r="U50" s="71">
        <f t="shared" si="55"/>
        <v>0.32360002191912879</v>
      </c>
      <c r="V50" s="71">
        <f t="shared" si="55"/>
        <v>0.28198782555570373</v>
      </c>
      <c r="W50" s="71">
        <f t="shared" si="55"/>
        <v>0.24471824184707947</v>
      </c>
      <c r="X50" s="71">
        <f t="shared" si="55"/>
        <v>0.21227193938292432</v>
      </c>
      <c r="Y50" s="71">
        <f t="shared" si="55"/>
        <v>0.2</v>
      </c>
      <c r="Z50" s="71">
        <f t="shared" si="55"/>
        <v>0.2</v>
      </c>
      <c r="AA50" s="71">
        <f t="shared" si="55"/>
        <v>0.2</v>
      </c>
      <c r="AB50" s="71">
        <f t="shared" si="55"/>
        <v>0.2</v>
      </c>
      <c r="AC50" s="71">
        <f t="shared" ref="AC50:AJ50" si="56">IF(AC49&lt;1.25,50%,IF(AND(AC49&gt;=1.25,AC49&lt;=2.5),20%+((2.5-AC49)/(2.5-1.25)*(50%-20%)),20%))</f>
        <v>0.2</v>
      </c>
      <c r="AD50" s="71">
        <f t="shared" si="56"/>
        <v>0.2</v>
      </c>
      <c r="AE50" s="71">
        <f t="shared" si="56"/>
        <v>0.2</v>
      </c>
      <c r="AF50" s="71">
        <f t="shared" si="56"/>
        <v>0.2</v>
      </c>
      <c r="AG50" s="71">
        <f t="shared" si="56"/>
        <v>0.2</v>
      </c>
      <c r="AH50" s="71">
        <f t="shared" si="56"/>
        <v>0.2</v>
      </c>
      <c r="AI50" s="71">
        <f t="shared" si="56"/>
        <v>0.2</v>
      </c>
      <c r="AJ50" s="71">
        <f t="shared" si="56"/>
        <v>0.2</v>
      </c>
    </row>
    <row r="51" spans="1:36" ht="15.6" outlineLevel="1" x14ac:dyDescent="0.3">
      <c r="A51" s="8" t="s">
        <v>147</v>
      </c>
      <c r="B51" s="65">
        <f>SUM(D51:AJ51)</f>
        <v>4732.3263425126725</v>
      </c>
      <c r="C51" s="8" t="s">
        <v>0</v>
      </c>
      <c r="D51" s="63">
        <f>D50*D48</f>
        <v>0</v>
      </c>
      <c r="E51" s="63">
        <f t="shared" ref="E51:AB51" si="57">E50*E48</f>
        <v>0</v>
      </c>
      <c r="F51" s="63">
        <f t="shared" si="57"/>
        <v>0</v>
      </c>
      <c r="G51" s="63">
        <f t="shared" si="57"/>
        <v>0</v>
      </c>
      <c r="H51" s="63">
        <f t="shared" si="57"/>
        <v>0</v>
      </c>
      <c r="I51" s="63">
        <f t="shared" si="57"/>
        <v>0</v>
      </c>
      <c r="J51" s="63">
        <f t="shared" si="57"/>
        <v>0</v>
      </c>
      <c r="K51" s="63">
        <f t="shared" si="57"/>
        <v>0</v>
      </c>
      <c r="L51" s="63">
        <f>L50*L48</f>
        <v>0</v>
      </c>
      <c r="M51" s="63">
        <f t="shared" si="57"/>
        <v>0</v>
      </c>
      <c r="N51" s="63">
        <f t="shared" si="57"/>
        <v>76.442449749059449</v>
      </c>
      <c r="O51" s="63">
        <f t="shared" si="57"/>
        <v>164.54430431284112</v>
      </c>
      <c r="P51" s="63">
        <f t="shared" si="57"/>
        <v>178.82158463172811</v>
      </c>
      <c r="Q51" s="63">
        <f t="shared" si="57"/>
        <v>233.64124935247946</v>
      </c>
      <c r="R51" s="63">
        <f t="shared" si="57"/>
        <v>601.56097823020559</v>
      </c>
      <c r="S51" s="63">
        <f t="shared" si="57"/>
        <v>541.28713041568938</v>
      </c>
      <c r="T51" s="63">
        <f t="shared" si="57"/>
        <v>486.91209159334215</v>
      </c>
      <c r="U51" s="63">
        <f t="shared" si="57"/>
        <v>436.47216151391825</v>
      </c>
      <c r="V51" s="63">
        <f t="shared" si="57"/>
        <v>390.922305997889</v>
      </c>
      <c r="W51" s="63">
        <f t="shared" si="57"/>
        <v>340.33069646166831</v>
      </c>
      <c r="X51" s="63">
        <f t="shared" si="57"/>
        <v>230.98753982665292</v>
      </c>
      <c r="Y51" s="63">
        <f t="shared" si="57"/>
        <v>179.55507967417617</v>
      </c>
      <c r="Z51" s="63">
        <f t="shared" si="57"/>
        <v>147.92270017230976</v>
      </c>
      <c r="AA51" s="63">
        <f t="shared" si="57"/>
        <v>130.27072215153049</v>
      </c>
      <c r="AB51" s="63">
        <f t="shared" si="57"/>
        <v>113.74253769035877</v>
      </c>
      <c r="AC51" s="63">
        <f t="shared" ref="AC51:AJ51" si="58">AC50*AC48</f>
        <v>95.662600222616391</v>
      </c>
      <c r="AD51" s="63">
        <f t="shared" si="58"/>
        <v>88.016590129729465</v>
      </c>
      <c r="AE51" s="63">
        <f t="shared" si="58"/>
        <v>81.692432341000412</v>
      </c>
      <c r="AF51" s="63">
        <f t="shared" si="58"/>
        <v>75.844550567363072</v>
      </c>
      <c r="AG51" s="63">
        <f t="shared" si="58"/>
        <v>70.91026500585302</v>
      </c>
      <c r="AH51" s="63">
        <f t="shared" si="58"/>
        <v>66.78637247226014</v>
      </c>
      <c r="AI51" s="63">
        <f t="shared" si="58"/>
        <v>0</v>
      </c>
      <c r="AJ51" s="63">
        <f t="shared" si="58"/>
        <v>0</v>
      </c>
    </row>
    <row r="52" spans="1:36" ht="15.6" outlineLevel="1" x14ac:dyDescent="0.3">
      <c r="A52" s="8" t="s">
        <v>148</v>
      </c>
      <c r="B52" s="65">
        <f>SUM(D52:AJ52)</f>
        <v>10896.214988888465</v>
      </c>
      <c r="C52" s="8" t="s">
        <v>0</v>
      </c>
      <c r="D52" s="63">
        <f>(100%-D50)*D48</f>
        <v>0</v>
      </c>
      <c r="E52" s="63">
        <f t="shared" ref="E52:AB52" si="59">(100%-E50)*E48</f>
        <v>0</v>
      </c>
      <c r="F52" s="63">
        <f t="shared" si="59"/>
        <v>0</v>
      </c>
      <c r="G52" s="63">
        <f t="shared" si="59"/>
        <v>0</v>
      </c>
      <c r="H52" s="63">
        <f t="shared" si="59"/>
        <v>0</v>
      </c>
      <c r="I52" s="63">
        <f t="shared" si="59"/>
        <v>0</v>
      </c>
      <c r="J52" s="63">
        <f t="shared" si="59"/>
        <v>0</v>
      </c>
      <c r="K52" s="63">
        <f t="shared" si="59"/>
        <v>0</v>
      </c>
      <c r="L52" s="63">
        <f>(100%-L50)*L48</f>
        <v>0</v>
      </c>
      <c r="M52" s="63">
        <f t="shared" si="59"/>
        <v>0</v>
      </c>
      <c r="N52" s="63">
        <f t="shared" si="59"/>
        <v>76.442449749059449</v>
      </c>
      <c r="O52" s="63">
        <f t="shared" si="59"/>
        <v>164.54430431284112</v>
      </c>
      <c r="P52" s="63">
        <f t="shared" si="59"/>
        <v>178.82158463172811</v>
      </c>
      <c r="Q52" s="63">
        <f t="shared" si="59"/>
        <v>233.64124935247946</v>
      </c>
      <c r="R52" s="63">
        <f t="shared" si="59"/>
        <v>654.3667005178786</v>
      </c>
      <c r="S52" s="63">
        <f t="shared" si="59"/>
        <v>742.52145650132434</v>
      </c>
      <c r="T52" s="63">
        <f t="shared" si="59"/>
        <v>828.99170999659668</v>
      </c>
      <c r="U52" s="63">
        <f t="shared" si="59"/>
        <v>912.32923511576882</v>
      </c>
      <c r="V52" s="63">
        <f t="shared" si="59"/>
        <v>995.38685549697982</v>
      </c>
      <c r="W52" s="63">
        <f t="shared" si="59"/>
        <v>1050.3735432097476</v>
      </c>
      <c r="X52" s="63">
        <f t="shared" si="59"/>
        <v>857.18049829527195</v>
      </c>
      <c r="Y52" s="63">
        <f t="shared" si="59"/>
        <v>718.22031869670468</v>
      </c>
      <c r="Z52" s="63">
        <f t="shared" si="59"/>
        <v>591.69080068923904</v>
      </c>
      <c r="AA52" s="63">
        <f t="shared" si="59"/>
        <v>521.08288860612197</v>
      </c>
      <c r="AB52" s="63">
        <f t="shared" si="59"/>
        <v>454.97015076143509</v>
      </c>
      <c r="AC52" s="63">
        <f t="shared" ref="AC52:AJ52" si="60">(100%-AC50)*AC48</f>
        <v>382.65040089046556</v>
      </c>
      <c r="AD52" s="63">
        <f t="shared" si="60"/>
        <v>352.06636051891786</v>
      </c>
      <c r="AE52" s="63">
        <f t="shared" si="60"/>
        <v>326.76972936400165</v>
      </c>
      <c r="AF52" s="63">
        <f t="shared" si="60"/>
        <v>303.37820226945229</v>
      </c>
      <c r="AG52" s="63">
        <f t="shared" si="60"/>
        <v>283.64106002341208</v>
      </c>
      <c r="AH52" s="63">
        <f t="shared" si="60"/>
        <v>267.14548988904056</v>
      </c>
      <c r="AI52" s="63">
        <f t="shared" si="60"/>
        <v>0</v>
      </c>
      <c r="AJ52" s="63">
        <f t="shared" si="60"/>
        <v>0</v>
      </c>
    </row>
    <row r="53" spans="1:36" ht="15.6" x14ac:dyDescent="0.3">
      <c r="A53" s="8"/>
      <c r="B53" s="65"/>
      <c r="C53" s="8"/>
      <c r="D53" s="192"/>
      <c r="E53" s="192"/>
      <c r="F53" s="192"/>
      <c r="G53" s="192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192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</row>
    <row r="54" spans="1:36" ht="15.6" x14ac:dyDescent="0.3">
      <c r="A54" s="12" t="s">
        <v>149</v>
      </c>
      <c r="B54" s="66"/>
      <c r="C54" s="9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</row>
    <row r="55" spans="1:36" ht="15" outlineLevel="1" x14ac:dyDescent="0.3">
      <c r="A55" s="14"/>
      <c r="B55" s="15" t="str">
        <f>B2</f>
        <v>Total</v>
      </c>
      <c r="C55" s="15" t="str">
        <f t="shared" ref="C55:AB55" si="61">C2</f>
        <v>Unit</v>
      </c>
      <c r="D55" s="15">
        <f t="shared" si="61"/>
        <v>2022</v>
      </c>
      <c r="E55" s="15">
        <f t="shared" si="61"/>
        <v>2023</v>
      </c>
      <c r="F55" s="15">
        <f t="shared" si="61"/>
        <v>2024</v>
      </c>
      <c r="G55" s="15">
        <f t="shared" si="61"/>
        <v>2025</v>
      </c>
      <c r="H55" s="15">
        <f t="shared" si="61"/>
        <v>2026</v>
      </c>
      <c r="I55" s="15">
        <f t="shared" si="61"/>
        <v>2027</v>
      </c>
      <c r="J55" s="15">
        <f t="shared" si="61"/>
        <v>2028</v>
      </c>
      <c r="K55" s="15">
        <f t="shared" si="61"/>
        <v>2029</v>
      </c>
      <c r="L55" s="15">
        <f t="shared" si="61"/>
        <v>2030</v>
      </c>
      <c r="M55" s="15">
        <f t="shared" si="61"/>
        <v>2031</v>
      </c>
      <c r="N55" s="15">
        <f t="shared" si="61"/>
        <v>2032</v>
      </c>
      <c r="O55" s="15">
        <f t="shared" si="61"/>
        <v>2033</v>
      </c>
      <c r="P55" s="15">
        <f t="shared" si="61"/>
        <v>2034</v>
      </c>
      <c r="Q55" s="15">
        <f t="shared" si="61"/>
        <v>2035</v>
      </c>
      <c r="R55" s="15">
        <f t="shared" si="61"/>
        <v>2036</v>
      </c>
      <c r="S55" s="15">
        <f t="shared" si="61"/>
        <v>2037</v>
      </c>
      <c r="T55" s="15">
        <f t="shared" si="61"/>
        <v>2038</v>
      </c>
      <c r="U55" s="15">
        <f t="shared" si="61"/>
        <v>2039</v>
      </c>
      <c r="V55" s="15">
        <f t="shared" si="61"/>
        <v>2040</v>
      </c>
      <c r="W55" s="15">
        <f t="shared" si="61"/>
        <v>2041</v>
      </c>
      <c r="X55" s="15">
        <f t="shared" si="61"/>
        <v>2042</v>
      </c>
      <c r="Y55" s="15">
        <f t="shared" si="61"/>
        <v>2043</v>
      </c>
      <c r="Z55" s="15">
        <f t="shared" si="61"/>
        <v>2044</v>
      </c>
      <c r="AA55" s="15">
        <f t="shared" si="61"/>
        <v>2045</v>
      </c>
      <c r="AB55" s="15">
        <f t="shared" si="61"/>
        <v>2046</v>
      </c>
      <c r="AC55" s="15">
        <f t="shared" ref="AC55:AJ55" si="62">AC2</f>
        <v>2047</v>
      </c>
      <c r="AD55" s="15">
        <f t="shared" si="62"/>
        <v>2048</v>
      </c>
      <c r="AE55" s="15">
        <f t="shared" si="62"/>
        <v>2049</v>
      </c>
      <c r="AF55" s="15">
        <f t="shared" si="62"/>
        <v>2050</v>
      </c>
      <c r="AG55" s="15">
        <f t="shared" si="62"/>
        <v>2051</v>
      </c>
      <c r="AH55" s="15">
        <f t="shared" si="62"/>
        <v>2052</v>
      </c>
      <c r="AI55" s="15">
        <f t="shared" si="62"/>
        <v>2053</v>
      </c>
      <c r="AJ55" s="15">
        <f t="shared" si="62"/>
        <v>2054</v>
      </c>
    </row>
    <row r="56" spans="1:36" ht="15.6" outlineLevel="1" x14ac:dyDescent="0.3">
      <c r="A56" s="8" t="s">
        <v>150</v>
      </c>
      <c r="B56" s="65">
        <f>SUM(D56:AJ56)</f>
        <v>2106.4273814028675</v>
      </c>
      <c r="C56" s="8" t="s">
        <v>0</v>
      </c>
      <c r="D56" s="63">
        <f>SUM('Model Inputs'!E66:E70)+SUM('Model Inputs'!E73:E78)</f>
        <v>0</v>
      </c>
      <c r="E56" s="63">
        <f>SUM('Model Inputs'!F66:F70)+SUM('Model Inputs'!F73:F78)</f>
        <v>0</v>
      </c>
      <c r="F56" s="63">
        <f>SUM('Model Inputs'!G66:G70)+SUM('Model Inputs'!G73:G78)</f>
        <v>0</v>
      </c>
      <c r="G56" s="63">
        <f>SUM('Model Inputs'!H66:H70)+SUM('Model Inputs'!H73:H78)</f>
        <v>19.05</v>
      </c>
      <c r="H56" s="63">
        <f>SUM('Model Inputs'!I66:I70)+SUM('Model Inputs'!I73:I78)</f>
        <v>19.526249999999997</v>
      </c>
      <c r="I56" s="63">
        <f>SUM('Model Inputs'!J66:J70)+SUM('Model Inputs'!J73:J78)</f>
        <v>205.29307056249999</v>
      </c>
      <c r="J56" s="63">
        <f>SUM('Model Inputs'!K66:K70)+SUM('Model Inputs'!K73:K78)</f>
        <v>450.79718453124997</v>
      </c>
      <c r="K56" s="63">
        <f>SUM('Model Inputs'!L66:L70)+SUM('Model Inputs'!L73:L78)</f>
        <v>649.37091592890602</v>
      </c>
      <c r="L56" s="63">
        <f>SUM('Model Inputs'!M66:M70)+SUM('Model Inputs'!M73:M78)</f>
        <v>677.60603574125957</v>
      </c>
      <c r="M56" s="63">
        <f>SUM('Model Inputs'!N66:N70)+SUM('Model Inputs'!N73:N78)</f>
        <v>35.695363412592762</v>
      </c>
      <c r="N56" s="63">
        <f>SUM('Model Inputs'!O66:O70)+SUM('Model Inputs'!O73:O78)</f>
        <v>36.587747497907579</v>
      </c>
      <c r="O56" s="63">
        <f>SUM('Model Inputs'!P66:P70)+SUM('Model Inputs'!P73:P78)</f>
        <v>12.500813728451757</v>
      </c>
      <c r="P56" s="63">
        <f>SUM('Model Inputs'!Q66:Q70)+SUM('Model Inputs'!Q73:Q78)</f>
        <v>0</v>
      </c>
      <c r="Q56" s="63">
        <f>SUM('Model Inputs'!R66:R70)+SUM('Model Inputs'!R73:R78)</f>
        <v>0</v>
      </c>
      <c r="R56" s="63">
        <f>SUM('Model Inputs'!S66:S70)+SUM('Model Inputs'!S73:S78)</f>
        <v>0</v>
      </c>
      <c r="S56" s="63">
        <f>SUM('Model Inputs'!T66:T70)+SUM('Model Inputs'!T73:T78)</f>
        <v>0</v>
      </c>
      <c r="T56" s="63">
        <f>SUM('Model Inputs'!U66:U70)+SUM('Model Inputs'!U73:U78)</f>
        <v>0</v>
      </c>
      <c r="U56" s="63">
        <f>SUM('Model Inputs'!V66:V70)+SUM('Model Inputs'!V73:V78)</f>
        <v>0</v>
      </c>
      <c r="V56" s="63">
        <f>SUM('Model Inputs'!W66:W70)+SUM('Model Inputs'!W73:W78)</f>
        <v>0</v>
      </c>
      <c r="W56" s="63">
        <f>SUM('Model Inputs'!X66:X70)+SUM('Model Inputs'!X73:X78)</f>
        <v>0</v>
      </c>
      <c r="X56" s="63">
        <f>SUM('Model Inputs'!Y66:Y70)+SUM('Model Inputs'!Y73:Y78)</f>
        <v>0</v>
      </c>
      <c r="Y56" s="63">
        <f>SUM('Model Inputs'!Z66:Z70)+SUM('Model Inputs'!Z73:Z78)</f>
        <v>0</v>
      </c>
      <c r="Z56" s="63">
        <f>SUM('Model Inputs'!AA66:AA70)+SUM('Model Inputs'!AA73:AA78)</f>
        <v>0</v>
      </c>
      <c r="AA56" s="63">
        <f>SUM('Model Inputs'!AB66:AB70)+SUM('Model Inputs'!AB73:AB78)</f>
        <v>0</v>
      </c>
      <c r="AB56" s="63">
        <f>SUM('Model Inputs'!AC66:AC70)+SUM('Model Inputs'!AC73:AC78)</f>
        <v>0</v>
      </c>
      <c r="AC56" s="63">
        <f>SUM('Model Inputs'!AD66:AD70)+SUM('Model Inputs'!AD73:AD78)</f>
        <v>0</v>
      </c>
      <c r="AD56" s="63">
        <f>SUM('Model Inputs'!AE66:AE70)+SUM('Model Inputs'!AE73:AE78)</f>
        <v>0</v>
      </c>
      <c r="AE56" s="63">
        <f>SUM('Model Inputs'!AF66:AF70)+SUM('Model Inputs'!AF73:AF78)</f>
        <v>0</v>
      </c>
      <c r="AF56" s="63">
        <f>SUM('Model Inputs'!AG66:AG70)+SUM('Model Inputs'!AG73:AG78)</f>
        <v>0</v>
      </c>
      <c r="AG56" s="63">
        <f>SUM('Model Inputs'!AH66:AH70)+SUM('Model Inputs'!AH73:AH78)</f>
        <v>0</v>
      </c>
      <c r="AH56" s="63">
        <f>SUM('Model Inputs'!AI66:AI70)+SUM('Model Inputs'!AI73:AI78)</f>
        <v>0</v>
      </c>
      <c r="AI56" s="63">
        <f>SUM('Model Inputs'!AJ66:AJ70)+SUM('Model Inputs'!AJ73:AJ78)</f>
        <v>0</v>
      </c>
      <c r="AJ56" s="63">
        <f>SUM('Model Inputs'!AK66:AK70)+SUM('Model Inputs'!AK73:AK78)</f>
        <v>0</v>
      </c>
    </row>
    <row r="57" spans="1:36" ht="15.6" outlineLevel="1" x14ac:dyDescent="0.3">
      <c r="A57" s="8" t="s">
        <v>151</v>
      </c>
      <c r="B57" s="65">
        <f>SUM(D57:AJ57)</f>
        <v>20.547159772295817</v>
      </c>
      <c r="C57" s="8" t="s">
        <v>0</v>
      </c>
      <c r="D57" s="63">
        <f>SUM('Model Inputs'!E71:E72)*Intro!$G$20</f>
        <v>0</v>
      </c>
      <c r="E57" s="63">
        <f>SUM('Model Inputs'!F71:F72)*Intro!$G$20</f>
        <v>0</v>
      </c>
      <c r="F57" s="63">
        <f>SUM('Model Inputs'!G71:G72)*Intro!$G$20</f>
        <v>0</v>
      </c>
      <c r="G57" s="63">
        <f>SUM('Model Inputs'!H71:H72)*Intro!$G$20</f>
        <v>0</v>
      </c>
      <c r="H57" s="63">
        <f>SUM('Model Inputs'!I71:I72)*Intro!$G$20</f>
        <v>0</v>
      </c>
      <c r="I57" s="63">
        <f>SUM('Model Inputs'!J71:J72)*Intro!$G$20</f>
        <v>0.78796875</v>
      </c>
      <c r="J57" s="63">
        <f>SUM('Model Inputs'!K71:K72)*Intro!$G$20</f>
        <v>0.91535703125000001</v>
      </c>
      <c r="K57" s="63">
        <f>SUM('Model Inputs'!L71:L72)*Intro!$G$20</f>
        <v>0.99343160156249977</v>
      </c>
      <c r="L57" s="63">
        <f>SUM('Model Inputs'!M71:M72)*Intro!$G$20</f>
        <v>2.1496756044921868</v>
      </c>
      <c r="M57" s="63">
        <f>SUM('Model Inputs'!N71:N72)*Intro!$G$20</f>
        <v>6.6102524838134746</v>
      </c>
      <c r="N57" s="63">
        <f>SUM('Model Inputs'!O71:O72)*Intro!$G$20</f>
        <v>6.7755087959088121</v>
      </c>
      <c r="O57" s="63">
        <f>SUM('Model Inputs'!P71:P72)*Intro!$G$20</f>
        <v>2.314965505268844</v>
      </c>
      <c r="P57" s="63">
        <f>SUM('Model Inputs'!Q71:Q72)*Intro!$G$20</f>
        <v>0</v>
      </c>
      <c r="Q57" s="63">
        <f>SUM('Model Inputs'!R71:R72)*Intro!$G$20</f>
        <v>0</v>
      </c>
      <c r="R57" s="63">
        <f>SUM('Model Inputs'!S71:S72)*Intro!$G$20</f>
        <v>0</v>
      </c>
      <c r="S57" s="63">
        <f>SUM('Model Inputs'!T71:T72)*Intro!$G$20</f>
        <v>0</v>
      </c>
      <c r="T57" s="63">
        <f>SUM('Model Inputs'!U71:U72)*Intro!$G$20</f>
        <v>0</v>
      </c>
      <c r="U57" s="63">
        <f>SUM('Model Inputs'!V71:V72)*Intro!$G$20</f>
        <v>0</v>
      </c>
      <c r="V57" s="63">
        <f>SUM('Model Inputs'!W71:W72)*Intro!$G$20</f>
        <v>0</v>
      </c>
      <c r="W57" s="63">
        <f>SUM('Model Inputs'!X71:X72)*Intro!$G$20</f>
        <v>0</v>
      </c>
      <c r="X57" s="63">
        <f>SUM('Model Inputs'!Y71:Y72)*Intro!$G$20</f>
        <v>0</v>
      </c>
      <c r="Y57" s="63">
        <f>SUM('Model Inputs'!Z71:Z72)*Intro!$G$20</f>
        <v>0</v>
      </c>
      <c r="Z57" s="63">
        <f>SUM('Model Inputs'!AA71:AA72)*Intro!$G$20</f>
        <v>0</v>
      </c>
      <c r="AA57" s="63">
        <f>SUM('Model Inputs'!AB71:AB72)*Intro!$G$20</f>
        <v>0</v>
      </c>
      <c r="AB57" s="63">
        <f>SUM('Model Inputs'!AC71:AC72)*Intro!$G$20</f>
        <v>0</v>
      </c>
      <c r="AC57" s="63">
        <f>SUM('Model Inputs'!AD71:AD72)*Intro!$G$20</f>
        <v>0</v>
      </c>
      <c r="AD57" s="63">
        <f>SUM('Model Inputs'!AE71:AE72)*Intro!$G$20</f>
        <v>0</v>
      </c>
      <c r="AE57" s="63">
        <f>SUM('Model Inputs'!AF71:AF72)*Intro!$G$20</f>
        <v>0</v>
      </c>
      <c r="AF57" s="63">
        <f>SUM('Model Inputs'!AG71:AG72)*Intro!$G$20</f>
        <v>0</v>
      </c>
      <c r="AG57" s="63">
        <f>SUM('Model Inputs'!AH71:AH72)*Intro!$G$20</f>
        <v>0</v>
      </c>
      <c r="AH57" s="63">
        <f>SUM('Model Inputs'!AI71:AI72)*Intro!$G$20</f>
        <v>0</v>
      </c>
      <c r="AI57" s="63">
        <f>SUM('Model Inputs'!AJ71:AJ72)*Intro!$G$20</f>
        <v>0</v>
      </c>
      <c r="AJ57" s="63">
        <f>SUM('Model Inputs'!AK71:AK72)*Intro!$G$20</f>
        <v>0</v>
      </c>
    </row>
    <row r="58" spans="1:36" ht="15.6" outlineLevel="1" x14ac:dyDescent="0.3">
      <c r="A58" s="8" t="s">
        <v>152</v>
      </c>
      <c r="B58" s="65">
        <f>SUM(D58:AJ58)</f>
        <v>2126.9745411751633</v>
      </c>
      <c r="C58" s="8" t="s">
        <v>0</v>
      </c>
      <c r="D58" s="63">
        <f>SUM(D56:D57)</f>
        <v>0</v>
      </c>
      <c r="E58" s="63">
        <f t="shared" ref="E58:AB58" si="63">SUM(E56:E57)</f>
        <v>0</v>
      </c>
      <c r="F58" s="63">
        <f t="shared" si="63"/>
        <v>0</v>
      </c>
      <c r="G58" s="63">
        <f t="shared" si="63"/>
        <v>19.05</v>
      </c>
      <c r="H58" s="63">
        <f t="shared" si="63"/>
        <v>19.526249999999997</v>
      </c>
      <c r="I58" s="63">
        <f t="shared" si="63"/>
        <v>206.0810393125</v>
      </c>
      <c r="J58" s="63">
        <f t="shared" si="63"/>
        <v>451.71254156249995</v>
      </c>
      <c r="K58" s="63">
        <f t="shared" si="63"/>
        <v>650.36434753046854</v>
      </c>
      <c r="L58" s="63">
        <f t="shared" si="63"/>
        <v>679.75571134575171</v>
      </c>
      <c r="M58" s="63">
        <f t="shared" si="63"/>
        <v>42.305615896406238</v>
      </c>
      <c r="N58" s="63">
        <f t="shared" si="63"/>
        <v>43.363256293816391</v>
      </c>
      <c r="O58" s="63">
        <f t="shared" si="63"/>
        <v>14.815779233720601</v>
      </c>
      <c r="P58" s="63">
        <f t="shared" si="63"/>
        <v>0</v>
      </c>
      <c r="Q58" s="63">
        <f t="shared" si="63"/>
        <v>0</v>
      </c>
      <c r="R58" s="63">
        <f t="shared" si="63"/>
        <v>0</v>
      </c>
      <c r="S58" s="63">
        <f t="shared" si="63"/>
        <v>0</v>
      </c>
      <c r="T58" s="63">
        <f t="shared" si="63"/>
        <v>0</v>
      </c>
      <c r="U58" s="63">
        <f t="shared" si="63"/>
        <v>0</v>
      </c>
      <c r="V58" s="63">
        <f t="shared" si="63"/>
        <v>0</v>
      </c>
      <c r="W58" s="63">
        <f t="shared" si="63"/>
        <v>0</v>
      </c>
      <c r="X58" s="63">
        <f t="shared" si="63"/>
        <v>0</v>
      </c>
      <c r="Y58" s="63">
        <f t="shared" si="63"/>
        <v>0</v>
      </c>
      <c r="Z58" s="63">
        <f t="shared" si="63"/>
        <v>0</v>
      </c>
      <c r="AA58" s="63">
        <f t="shared" si="63"/>
        <v>0</v>
      </c>
      <c r="AB58" s="63">
        <f t="shared" si="63"/>
        <v>0</v>
      </c>
      <c r="AC58" s="63">
        <f t="shared" ref="AC58:AJ58" si="64">SUM(AC56:AC57)</f>
        <v>0</v>
      </c>
      <c r="AD58" s="63">
        <f t="shared" si="64"/>
        <v>0</v>
      </c>
      <c r="AE58" s="63">
        <f t="shared" si="64"/>
        <v>0</v>
      </c>
      <c r="AF58" s="63">
        <f t="shared" si="64"/>
        <v>0</v>
      </c>
      <c r="AG58" s="63">
        <f t="shared" si="64"/>
        <v>0</v>
      </c>
      <c r="AH58" s="63">
        <f t="shared" si="64"/>
        <v>0</v>
      </c>
      <c r="AI58" s="63">
        <f t="shared" si="64"/>
        <v>0</v>
      </c>
      <c r="AJ58" s="63">
        <f t="shared" si="64"/>
        <v>0</v>
      </c>
    </row>
    <row r="59" spans="1:36" ht="15.6" outlineLevel="1" x14ac:dyDescent="0.3">
      <c r="A59" s="8" t="s">
        <v>153</v>
      </c>
      <c r="B59" s="65">
        <f>SUM(D59:AJ59)</f>
        <v>0</v>
      </c>
      <c r="C59" s="8" t="s">
        <v>0</v>
      </c>
      <c r="D59" s="63">
        <v>0</v>
      </c>
      <c r="E59" s="69">
        <f>IF(E2='Model Inputs'!$C$87,$B$58-SUM($D$59:D59),((SUM($D$58:D58)-SUM($D$59:D59))+E58/2)*Intro!G21)</f>
        <v>0</v>
      </c>
      <c r="F59" s="69">
        <f>IF(F2='Model Inputs'!$C$87,$B$58-SUM($D$59:E59),((SUM($D$58:E58)-SUM($D$59:E59))+F58/2)*Intro!H21)</f>
        <v>0</v>
      </c>
      <c r="G59" s="69">
        <f>IF(G2='Model Inputs'!$C$87,$B$58-SUM($D$59:F59),((SUM($D$58:F58)-SUM($D$59:F59))+G58/2)*Intro!I21)</f>
        <v>0</v>
      </c>
      <c r="H59" s="69">
        <f>IF(H2='Model Inputs'!$C$87,$B$58-SUM($D$59:G59),((SUM($D$58:G58)-SUM($D$59:G59))+H58/2)*Intro!J21)</f>
        <v>0</v>
      </c>
      <c r="I59" s="69">
        <f>IF(I2='Model Inputs'!$C$87,$B$58-SUM($D$59:H59),((SUM($D$58:H58)-SUM($D$59:H59))+I58/2)*Intro!K21)</f>
        <v>0</v>
      </c>
      <c r="J59" s="69">
        <f>IF(J2='Model Inputs'!$C$87,$B$58-SUM($D$59:I59),((SUM($D$58:I58)-SUM($D$59:I59))+J58/2)*Intro!L21)</f>
        <v>0</v>
      </c>
      <c r="K59" s="69">
        <f>IF(K2='Model Inputs'!$C$87,$B$58-SUM($D$59:J59),((SUM($D$58:J58)-SUM($D$59:J59))+K58/2)*Intro!M21)</f>
        <v>0</v>
      </c>
      <c r="L59" s="69">
        <f>IF(L2='Model Inputs'!$C$87,$B$58-SUM($D$59:K59),((SUM($D$58:K58)-SUM($D$59:K59))+L58/2)*Intro!N21)</f>
        <v>0</v>
      </c>
      <c r="M59" s="69">
        <f>IF(M2='Model Inputs'!$C$87,$B$58-SUM($D$59:L59),((SUM($D$58:L58)-SUM($D$59:L59))+M58/2)*Intro!O21)</f>
        <v>0</v>
      </c>
      <c r="N59" s="69">
        <f>IF(N2='Model Inputs'!$C$87,$B$58-SUM($D$59:M59),((SUM($D$58:M58)-SUM($D$59:M59))+N58/2)*Intro!P21)</f>
        <v>0</v>
      </c>
      <c r="O59" s="69">
        <f>IF(O2='Model Inputs'!$C$87,$B$58-SUM($D$59:N59),((SUM($D$58:N58)-SUM($D$59:N59))+O58/2)*Intro!Q21)</f>
        <v>0</v>
      </c>
      <c r="P59" s="69">
        <f>IF(P2='Model Inputs'!$C$87,$B$58-SUM($D$59:O59),((SUM($D$58:O58)-SUM($D$59:O59))+P58/2)*Intro!R21)</f>
        <v>0</v>
      </c>
      <c r="Q59" s="69">
        <f>IF(Q2='Model Inputs'!$C$87,$B$58-SUM($D$59:P59),((SUM($D$58:P58)-SUM($D$59:P59))+Q58/2)*Intro!S21)</f>
        <v>0</v>
      </c>
      <c r="R59" s="69">
        <f>IF(R2='Model Inputs'!$C$87,$B$58-SUM($D$59:Q59),((SUM($D$58:Q58)-SUM($D$59:Q59))+R58/2)*Intro!T21)</f>
        <v>0</v>
      </c>
      <c r="S59" s="69">
        <f>IF(S2='Model Inputs'!$C$87,$B$58-SUM($D$59:R59),((SUM($D$58:R58)-SUM($D$59:R59))+S58/2)*Intro!U21)</f>
        <v>0</v>
      </c>
      <c r="T59" s="69">
        <f>IF(T2='Model Inputs'!$C$87,$B$58-SUM($D$59:S59),((SUM($D$58:S58)-SUM($D$59:S59))+T58/2)*Intro!V21)</f>
        <v>0</v>
      </c>
      <c r="U59" s="69">
        <f>IF(U2='Model Inputs'!$C$87,$B$58-SUM($D$59:T59),((SUM($D$58:T58)-SUM($D$59:T59))+U58/2)*Intro!W21)</f>
        <v>0</v>
      </c>
      <c r="V59" s="69">
        <f>IF(V2='Model Inputs'!$C$87,$B$58-SUM($D$59:U59),((SUM($D$58:U58)-SUM($D$59:U59))+V58/2)*Intro!X21)</f>
        <v>0</v>
      </c>
      <c r="W59" s="69">
        <f>IF(W2='Model Inputs'!$C$87,$B$58-SUM($D$59:V59),((SUM($D$58:V58)-SUM($D$59:V59))+W58/2)*Intro!Y21)</f>
        <v>0</v>
      </c>
      <c r="X59" s="69">
        <f>IF(X2='Model Inputs'!$C$87,$B$58-SUM($D$59:W59),((SUM($D$58:W58)-SUM($D$59:W59))+X58/2)*Intro!Z21)</f>
        <v>0</v>
      </c>
      <c r="Y59" s="69">
        <f>IF(Y2='Model Inputs'!$C$87,$B$58-SUM($D$59:X59),((SUM($D$58:X58)-SUM($D$59:X59))+Y58/2)*Intro!AA21)</f>
        <v>0</v>
      </c>
      <c r="Z59" s="69">
        <f>IF(Z2='Model Inputs'!$C$87,$B$58-SUM($D$59:Y59),((SUM($D$58:Y58)-SUM($D$59:Y59))+Z58/2)*Intro!AB21)</f>
        <v>0</v>
      </c>
      <c r="AA59" s="69">
        <f>IF(AA2='Model Inputs'!$C$87,$B$58-SUM($D$59:Z59),((SUM($D$58:Z58)-SUM($D$59:Z59))+AA58/2)*Intro!AC21)</f>
        <v>0</v>
      </c>
      <c r="AB59" s="69">
        <f>IF(AB2='Model Inputs'!$C$87,$B$58-SUM($D$59:AA59),((SUM($D$58:AA58)-SUM($D$59:AA59))+AB58/2)*Intro!AD21)</f>
        <v>0</v>
      </c>
      <c r="AC59" s="69">
        <f>IF(AC2='Model Inputs'!$C$87,$B$58-SUM($D$59:AB59),((SUM($D$58:AB58)-SUM($D$59:AB59))+AC58/2)*Intro!AE21)</f>
        <v>0</v>
      </c>
      <c r="AD59" s="69">
        <f>IF(AD2='Model Inputs'!$C$87,$B$58-SUM($D$59:AC59),((SUM($D$58:AC58)-SUM($D$59:AC59))+AD58/2)*Intro!AF21)</f>
        <v>0</v>
      </c>
      <c r="AE59" s="69">
        <f>IF(AE2='Model Inputs'!$C$87,$B$58-SUM($D$59:AD59),((SUM($D$58:AD58)-SUM($D$59:AD59))+AE58/2)*Intro!AG21)</f>
        <v>0</v>
      </c>
      <c r="AF59" s="69">
        <f>IF(AF2='Model Inputs'!$C$87,$B$58-SUM($D$59:AE59),((SUM($D$58:AE58)-SUM($D$59:AE59))+AF58/2)*Intro!AH21)</f>
        <v>0</v>
      </c>
      <c r="AG59" s="69">
        <f>IF(AG2='Model Inputs'!$C$87,$B$58-SUM($D$59:AF59),((SUM($D$58:AF58)-SUM($D$59:AF59))+AG58/2)*Intro!AI21)</f>
        <v>0</v>
      </c>
      <c r="AH59" s="69">
        <f>IF(AH2='Model Inputs'!$C$87,$B$58-SUM($D$59:AG59),((SUM($D$58:AG58)-SUM($D$59:AG59))+AH58/2)*Intro!AJ21)</f>
        <v>0</v>
      </c>
      <c r="AI59" s="69">
        <f>IF(AI2='Model Inputs'!$C$87,$B$58-SUM($D$59:AH59),((SUM($D$58:AH58)-SUM($D$59:AH59))+AI58/2)*Intro!AK21)</f>
        <v>0</v>
      </c>
      <c r="AJ59" s="69">
        <f>IF(AJ2='Model Inputs'!$C$87,$B$58-SUM($D$59:AI59),((SUM($D$58:AI58)-SUM($D$59:AI59))+AJ58/2)*Intro!AL21)</f>
        <v>0</v>
      </c>
    </row>
    <row r="60" spans="1:36" ht="15.6" outlineLevel="1" x14ac:dyDescent="0.3">
      <c r="A60" s="8" t="s">
        <v>154</v>
      </c>
      <c r="B60" s="65"/>
      <c r="C60" s="8" t="s">
        <v>0</v>
      </c>
      <c r="D60" s="63">
        <v>0</v>
      </c>
      <c r="E60" s="63">
        <f>SUM($D$58:D58)-SUM($D$61:D61)</f>
        <v>0</v>
      </c>
      <c r="F60" s="63">
        <f>SUM($D$58:E58)-SUM($D$61:E61)</f>
        <v>0</v>
      </c>
      <c r="G60" s="63">
        <f>SUM($D$58:F58)-SUM($D$61:F61)</f>
        <v>0</v>
      </c>
      <c r="H60" s="63">
        <f>SUM($D$58:G58)-SUM($D$61:G61)</f>
        <v>19.05</v>
      </c>
      <c r="I60" s="63">
        <f>SUM($D$58:H58)-SUM($D$61:H61)</f>
        <v>19.526250000000001</v>
      </c>
      <c r="J60" s="63">
        <f>SUM($D$58:I58)-SUM($D$61:I61)</f>
        <v>206.08103931249997</v>
      </c>
      <c r="K60" s="63">
        <f>SUM($D$58:J58)-SUM($D$61:J61)</f>
        <v>451.71254156249995</v>
      </c>
      <c r="L60" s="63">
        <f>SUM($D$58:K58)-SUM($D$61:K61)</f>
        <v>650.36434753046842</v>
      </c>
      <c r="M60" s="63">
        <f>SUM($D$58:L58)-SUM($D$61:L61)</f>
        <v>679.75571134575171</v>
      </c>
      <c r="N60" s="63">
        <f>SUM($D$58:M58)-SUM($D$61:M61)</f>
        <v>42.305615896406152</v>
      </c>
      <c r="O60" s="63">
        <f>SUM($D$58:N58)-SUM($D$61:N61)</f>
        <v>85.668872190222601</v>
      </c>
      <c r="P60" s="63">
        <f>SUM($D$58:O58)-SUM($D$61:O61)</f>
        <v>100.48465142394321</v>
      </c>
      <c r="Q60" s="63">
        <f>SUM($D$58:P58)-SUM($D$61:P61)</f>
        <v>100.48465142394321</v>
      </c>
      <c r="R60" s="63">
        <f>SUM($D$58:Q58)-SUM($D$61:Q61)</f>
        <v>100.48465142394321</v>
      </c>
      <c r="S60" s="63">
        <f>SUM($D$58:R58)-SUM($D$61:R61)</f>
        <v>100.48465142394321</v>
      </c>
      <c r="T60" s="63">
        <f>SUM($D$58:S58)-SUM($D$61:S61)</f>
        <v>100.48465142394321</v>
      </c>
      <c r="U60" s="63">
        <f>SUM($D$58:T58)-SUM($D$61:T61)</f>
        <v>100.48465142394321</v>
      </c>
      <c r="V60" s="63">
        <f>SUM($D$58:U58)-SUM($D$61:U61)</f>
        <v>100.48465142394321</v>
      </c>
      <c r="W60" s="63">
        <f>SUM($D$58:V58)-SUM($D$61:V61)</f>
        <v>100.48465142394321</v>
      </c>
      <c r="X60" s="63">
        <f>SUM($D$58:W58)-SUM($D$61:W61)</f>
        <v>100.48465142394321</v>
      </c>
      <c r="Y60" s="63">
        <f>SUM($D$58:X58)-SUM($D$61:X61)</f>
        <v>100.48465142394321</v>
      </c>
      <c r="Z60" s="63">
        <f>SUM($D$58:Y58)-SUM($D$61:Y61)</f>
        <v>100.48465142394321</v>
      </c>
      <c r="AA60" s="63">
        <f>SUM($D$58:Z58)-SUM($D$61:Z61)</f>
        <v>100.48465142394321</v>
      </c>
      <c r="AB60" s="63">
        <f>SUM($D$58:AA58)-SUM($D$61:AA61)</f>
        <v>100.48465142394321</v>
      </c>
      <c r="AC60" s="63">
        <f>SUM($D$58:AB58)-SUM($D$61:AB61)</f>
        <v>100.48465142394321</v>
      </c>
      <c r="AD60" s="63">
        <f>SUM($D$58:AC58)-SUM($D$61:AC61)</f>
        <v>100.48465142394321</v>
      </c>
      <c r="AE60" s="63">
        <f>SUM($D$58:AD58)-SUM($D$61:AD61)</f>
        <v>100.48465142394321</v>
      </c>
      <c r="AF60" s="63">
        <f>SUM($D$58:AE58)-SUM($D$61:AE61)</f>
        <v>100.48465142394321</v>
      </c>
      <c r="AG60" s="63">
        <f>SUM($D$58:AF58)-SUM($D$61:AF61)</f>
        <v>100.48465142394321</v>
      </c>
      <c r="AH60" s="63">
        <f>SUM($D$58:AG58)-SUM($D$61:AG61)</f>
        <v>100.48465142394321</v>
      </c>
      <c r="AI60" s="63">
        <f>SUM($D$58:AH58)-SUM($D$61:AH61)</f>
        <v>100.48465142394321</v>
      </c>
      <c r="AJ60" s="63">
        <f>SUM($D$58:AI58)-SUM($D$61:AI61)</f>
        <v>100.48465142394321</v>
      </c>
    </row>
    <row r="61" spans="1:36" ht="15.6" outlineLevel="1" x14ac:dyDescent="0.3">
      <c r="A61" s="8" t="s">
        <v>155</v>
      </c>
      <c r="B61" s="65">
        <f>SUM(D61:AJ61)</f>
        <v>2026.4898897512201</v>
      </c>
      <c r="C61" s="8" t="s">
        <v>0</v>
      </c>
      <c r="D61" s="63">
        <f>IF(D42=1,D59,D60)</f>
        <v>0</v>
      </c>
      <c r="E61" s="63">
        <f t="shared" ref="E61:AB61" si="65">IF(E42=1,E59,E60)</f>
        <v>0</v>
      </c>
      <c r="F61" s="63">
        <f>IF(F42=1,F59,F60)</f>
        <v>0</v>
      </c>
      <c r="G61" s="63">
        <f t="shared" si="65"/>
        <v>0</v>
      </c>
      <c r="H61" s="63">
        <f t="shared" si="65"/>
        <v>19.05</v>
      </c>
      <c r="I61" s="63">
        <f t="shared" si="65"/>
        <v>19.526250000000001</v>
      </c>
      <c r="J61" s="63">
        <f t="shared" si="65"/>
        <v>206.08103931249997</v>
      </c>
      <c r="K61" s="63">
        <f t="shared" si="65"/>
        <v>451.71254156249995</v>
      </c>
      <c r="L61" s="63">
        <f t="shared" si="65"/>
        <v>650.36434753046842</v>
      </c>
      <c r="M61" s="63">
        <f t="shared" si="65"/>
        <v>679.75571134575171</v>
      </c>
      <c r="N61" s="63">
        <f t="shared" si="65"/>
        <v>0</v>
      </c>
      <c r="O61" s="63">
        <f t="shared" si="65"/>
        <v>0</v>
      </c>
      <c r="P61" s="63">
        <f t="shared" si="65"/>
        <v>0</v>
      </c>
      <c r="Q61" s="63">
        <f t="shared" si="65"/>
        <v>0</v>
      </c>
      <c r="R61" s="63">
        <f t="shared" si="65"/>
        <v>0</v>
      </c>
      <c r="S61" s="63">
        <f t="shared" si="65"/>
        <v>0</v>
      </c>
      <c r="T61" s="63">
        <f t="shared" si="65"/>
        <v>0</v>
      </c>
      <c r="U61" s="63">
        <f t="shared" si="65"/>
        <v>0</v>
      </c>
      <c r="V61" s="63">
        <f t="shared" si="65"/>
        <v>0</v>
      </c>
      <c r="W61" s="63">
        <f t="shared" si="65"/>
        <v>0</v>
      </c>
      <c r="X61" s="63">
        <f t="shared" si="65"/>
        <v>0</v>
      </c>
      <c r="Y61" s="63">
        <f t="shared" si="65"/>
        <v>0</v>
      </c>
      <c r="Z61" s="63">
        <f t="shared" si="65"/>
        <v>0</v>
      </c>
      <c r="AA61" s="63">
        <f t="shared" si="65"/>
        <v>0</v>
      </c>
      <c r="AB61" s="63">
        <f t="shared" si="65"/>
        <v>0</v>
      </c>
      <c r="AC61" s="63">
        <f t="shared" ref="AC61:AJ61" si="66">IF(AC42=1,AC59,AC60)</f>
        <v>0</v>
      </c>
      <c r="AD61" s="63">
        <f t="shared" si="66"/>
        <v>0</v>
      </c>
      <c r="AE61" s="63">
        <f t="shared" si="66"/>
        <v>0</v>
      </c>
      <c r="AF61" s="63">
        <f t="shared" si="66"/>
        <v>0</v>
      </c>
      <c r="AG61" s="63">
        <f t="shared" si="66"/>
        <v>0</v>
      </c>
      <c r="AH61" s="63">
        <f t="shared" si="66"/>
        <v>0</v>
      </c>
      <c r="AI61" s="63">
        <f t="shared" si="66"/>
        <v>0</v>
      </c>
      <c r="AJ61" s="63">
        <f t="shared" si="66"/>
        <v>0</v>
      </c>
    </row>
    <row r="62" spans="1:36" ht="15.6" outlineLevel="1" x14ac:dyDescent="0.3">
      <c r="A62" s="8"/>
      <c r="B62" s="65"/>
      <c r="C62" s="8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</row>
    <row r="63" spans="1:36" ht="15.6" outlineLevel="1" x14ac:dyDescent="0.3">
      <c r="A63" s="8" t="s">
        <v>156</v>
      </c>
      <c r="B63" s="65">
        <f>SUM(D63:AJ63)</f>
        <v>4732.3263425126725</v>
      </c>
      <c r="C63" s="8" t="s">
        <v>0</v>
      </c>
      <c r="D63" s="63">
        <f>D51</f>
        <v>0</v>
      </c>
      <c r="E63" s="63">
        <f t="shared" ref="E63:AB63" si="67">E51</f>
        <v>0</v>
      </c>
      <c r="F63" s="63">
        <f t="shared" si="67"/>
        <v>0</v>
      </c>
      <c r="G63" s="63">
        <f t="shared" si="67"/>
        <v>0</v>
      </c>
      <c r="H63" s="63">
        <f t="shared" si="67"/>
        <v>0</v>
      </c>
      <c r="I63" s="63">
        <f t="shared" si="67"/>
        <v>0</v>
      </c>
      <c r="J63" s="63">
        <f t="shared" si="67"/>
        <v>0</v>
      </c>
      <c r="K63" s="63">
        <f t="shared" si="67"/>
        <v>0</v>
      </c>
      <c r="L63" s="63">
        <f t="shared" si="67"/>
        <v>0</v>
      </c>
      <c r="M63" s="63">
        <f t="shared" si="67"/>
        <v>0</v>
      </c>
      <c r="N63" s="63">
        <f t="shared" si="67"/>
        <v>76.442449749059449</v>
      </c>
      <c r="O63" s="63">
        <f t="shared" si="67"/>
        <v>164.54430431284112</v>
      </c>
      <c r="P63" s="63">
        <f t="shared" si="67"/>
        <v>178.82158463172811</v>
      </c>
      <c r="Q63" s="63">
        <f t="shared" si="67"/>
        <v>233.64124935247946</v>
      </c>
      <c r="R63" s="63">
        <f t="shared" si="67"/>
        <v>601.56097823020559</v>
      </c>
      <c r="S63" s="63">
        <f t="shared" si="67"/>
        <v>541.28713041568938</v>
      </c>
      <c r="T63" s="63">
        <f t="shared" si="67"/>
        <v>486.91209159334215</v>
      </c>
      <c r="U63" s="63">
        <f t="shared" si="67"/>
        <v>436.47216151391825</v>
      </c>
      <c r="V63" s="63">
        <f t="shared" si="67"/>
        <v>390.922305997889</v>
      </c>
      <c r="W63" s="63">
        <f t="shared" si="67"/>
        <v>340.33069646166831</v>
      </c>
      <c r="X63" s="63">
        <f t="shared" si="67"/>
        <v>230.98753982665292</v>
      </c>
      <c r="Y63" s="63">
        <f t="shared" si="67"/>
        <v>179.55507967417617</v>
      </c>
      <c r="Z63" s="63">
        <f t="shared" si="67"/>
        <v>147.92270017230976</v>
      </c>
      <c r="AA63" s="63">
        <f t="shared" si="67"/>
        <v>130.27072215153049</v>
      </c>
      <c r="AB63" s="63">
        <f t="shared" si="67"/>
        <v>113.74253769035877</v>
      </c>
      <c r="AC63" s="63">
        <f t="shared" ref="AC63:AJ63" si="68">AC51</f>
        <v>95.662600222616391</v>
      </c>
      <c r="AD63" s="63">
        <f t="shared" si="68"/>
        <v>88.016590129729465</v>
      </c>
      <c r="AE63" s="63">
        <f t="shared" si="68"/>
        <v>81.692432341000412</v>
      </c>
      <c r="AF63" s="63">
        <f t="shared" si="68"/>
        <v>75.844550567363072</v>
      </c>
      <c r="AG63" s="63">
        <f t="shared" si="68"/>
        <v>70.91026500585302</v>
      </c>
      <c r="AH63" s="63">
        <f t="shared" si="68"/>
        <v>66.78637247226014</v>
      </c>
      <c r="AI63" s="63">
        <f t="shared" si="68"/>
        <v>0</v>
      </c>
      <c r="AJ63" s="63">
        <f t="shared" si="68"/>
        <v>0</v>
      </c>
    </row>
    <row r="64" spans="1:36" ht="15.6" outlineLevel="1" x14ac:dyDescent="0.3">
      <c r="A64" s="8" t="s">
        <v>157</v>
      </c>
      <c r="B64" s="65">
        <f>SUM(D64:AJ64)</f>
        <v>1167.4201704244633</v>
      </c>
      <c r="C64" s="8" t="s">
        <v>0</v>
      </c>
      <c r="D64" s="63">
        <f>D25</f>
        <v>0</v>
      </c>
      <c r="E64" s="63">
        <f t="shared" ref="E64:AB64" si="69">E25</f>
        <v>0</v>
      </c>
      <c r="F64" s="63">
        <f t="shared" si="69"/>
        <v>0</v>
      </c>
      <c r="G64" s="63">
        <f t="shared" si="69"/>
        <v>0</v>
      </c>
      <c r="H64" s="63">
        <f t="shared" si="69"/>
        <v>0</v>
      </c>
      <c r="I64" s="63">
        <f t="shared" si="69"/>
        <v>0</v>
      </c>
      <c r="J64" s="63">
        <f t="shared" si="69"/>
        <v>0</v>
      </c>
      <c r="K64" s="63">
        <f t="shared" si="69"/>
        <v>0</v>
      </c>
      <c r="L64" s="63">
        <f t="shared" si="69"/>
        <v>0</v>
      </c>
      <c r="M64" s="63">
        <f t="shared" si="69"/>
        <v>0</v>
      </c>
      <c r="N64" s="63">
        <f t="shared" si="69"/>
        <v>53.566883291782133</v>
      </c>
      <c r="O64" s="63">
        <f t="shared" si="69"/>
        <v>53.315541560774598</v>
      </c>
      <c r="P64" s="63">
        <f t="shared" si="69"/>
        <v>56.759880666469869</v>
      </c>
      <c r="Q64" s="63">
        <f t="shared" si="69"/>
        <v>58.178877683131617</v>
      </c>
      <c r="R64" s="63">
        <f t="shared" si="69"/>
        <v>59.796728665278962</v>
      </c>
      <c r="S64" s="63">
        <f t="shared" si="69"/>
        <v>61.124183365840139</v>
      </c>
      <c r="T64" s="63">
        <f t="shared" si="69"/>
        <v>62.652287949986146</v>
      </c>
      <c r="U64" s="63">
        <f t="shared" si="69"/>
        <v>64.218595148735787</v>
      </c>
      <c r="V64" s="63">
        <f t="shared" si="69"/>
        <v>66.004399917940361</v>
      </c>
      <c r="W64" s="63">
        <f t="shared" si="69"/>
        <v>66.213656630434855</v>
      </c>
      <c r="X64" s="63">
        <f t="shared" si="69"/>
        <v>101.54946152694575</v>
      </c>
      <c r="Y64" s="63">
        <f t="shared" si="69"/>
        <v>82.73826768354553</v>
      </c>
      <c r="Z64" s="63">
        <f t="shared" si="69"/>
        <v>67.325278925601282</v>
      </c>
      <c r="AA64" s="63">
        <f t="shared" si="69"/>
        <v>58.573592630696851</v>
      </c>
      <c r="AB64" s="63">
        <f t="shared" si="69"/>
        <v>50.531978643940938</v>
      </c>
      <c r="AC64" s="63">
        <f t="shared" ref="AC64:AJ64" si="70">AC25</f>
        <v>42.000077897927589</v>
      </c>
      <c r="AD64" s="63">
        <f t="shared" si="70"/>
        <v>38.195541885710377</v>
      </c>
      <c r="AE64" s="63">
        <f t="shared" si="70"/>
        <v>35.04655983957224</v>
      </c>
      <c r="AF64" s="63">
        <f t="shared" si="70"/>
        <v>32.172002161117156</v>
      </c>
      <c r="AG64" s="63">
        <f t="shared" si="70"/>
        <v>29.745902771350654</v>
      </c>
      <c r="AH64" s="63">
        <f t="shared" si="70"/>
        <v>27.710471577680483</v>
      </c>
      <c r="AI64" s="63">
        <f t="shared" si="70"/>
        <v>0</v>
      </c>
      <c r="AJ64" s="63">
        <f t="shared" si="70"/>
        <v>0</v>
      </c>
    </row>
    <row r="65" spans="1:36" ht="15.6" outlineLevel="1" x14ac:dyDescent="0.3">
      <c r="A65" s="8" t="s">
        <v>158</v>
      </c>
      <c r="B65" s="65">
        <f>SUM(D65:AJ65)</f>
        <v>2713.7705768487835</v>
      </c>
      <c r="C65" s="8" t="s">
        <v>0</v>
      </c>
      <c r="D65" s="63">
        <f>D43</f>
        <v>0</v>
      </c>
      <c r="E65" s="63">
        <f t="shared" ref="E65:AB65" si="71">E43</f>
        <v>0</v>
      </c>
      <c r="F65" s="63">
        <f t="shared" si="71"/>
        <v>0</v>
      </c>
      <c r="G65" s="63">
        <f t="shared" si="71"/>
        <v>0</v>
      </c>
      <c r="H65" s="63">
        <f t="shared" si="71"/>
        <v>0</v>
      </c>
      <c r="I65" s="63">
        <f t="shared" si="71"/>
        <v>0</v>
      </c>
      <c r="J65" s="63">
        <f t="shared" si="71"/>
        <v>0</v>
      </c>
      <c r="K65" s="63">
        <f t="shared" si="71"/>
        <v>0</v>
      </c>
      <c r="L65" s="63">
        <f t="shared" si="71"/>
        <v>0</v>
      </c>
      <c r="M65" s="63">
        <f t="shared" si="71"/>
        <v>0</v>
      </c>
      <c r="N65" s="63">
        <f t="shared" si="71"/>
        <v>356.73143216227732</v>
      </c>
      <c r="O65" s="63">
        <f t="shared" si="71"/>
        <v>767.8734201265919</v>
      </c>
      <c r="P65" s="63">
        <f t="shared" si="71"/>
        <v>834.50072828139787</v>
      </c>
      <c r="Q65" s="63">
        <f t="shared" si="71"/>
        <v>754.66499627851658</v>
      </c>
      <c r="R65" s="63">
        <f t="shared" si="71"/>
        <v>0</v>
      </c>
      <c r="S65" s="63">
        <f t="shared" si="71"/>
        <v>0</v>
      </c>
      <c r="T65" s="63">
        <f t="shared" si="71"/>
        <v>0</v>
      </c>
      <c r="U65" s="63">
        <f t="shared" si="71"/>
        <v>0</v>
      </c>
      <c r="V65" s="63">
        <f t="shared" si="71"/>
        <v>0</v>
      </c>
      <c r="W65" s="63">
        <f t="shared" si="71"/>
        <v>0</v>
      </c>
      <c r="X65" s="63">
        <f t="shared" si="71"/>
        <v>0</v>
      </c>
      <c r="Y65" s="63">
        <f t="shared" si="71"/>
        <v>0</v>
      </c>
      <c r="Z65" s="63">
        <f t="shared" si="71"/>
        <v>0</v>
      </c>
      <c r="AA65" s="63">
        <f t="shared" si="71"/>
        <v>0</v>
      </c>
      <c r="AB65" s="63">
        <f t="shared" si="71"/>
        <v>0</v>
      </c>
      <c r="AC65" s="63">
        <f t="shared" ref="AC65:AJ65" si="72">AC43</f>
        <v>0</v>
      </c>
      <c r="AD65" s="63">
        <f t="shared" si="72"/>
        <v>0</v>
      </c>
      <c r="AE65" s="63">
        <f t="shared" si="72"/>
        <v>0</v>
      </c>
      <c r="AF65" s="63">
        <f t="shared" si="72"/>
        <v>0</v>
      </c>
      <c r="AG65" s="63">
        <f t="shared" si="72"/>
        <v>0</v>
      </c>
      <c r="AH65" s="63">
        <f t="shared" si="72"/>
        <v>0</v>
      </c>
      <c r="AI65" s="63">
        <f t="shared" si="72"/>
        <v>0</v>
      </c>
      <c r="AJ65" s="63">
        <f t="shared" si="72"/>
        <v>0</v>
      </c>
    </row>
    <row r="66" spans="1:36" ht="15.6" outlineLevel="1" x14ac:dyDescent="0.3">
      <c r="A66" s="8"/>
      <c r="B66" s="65"/>
      <c r="C66" s="8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</row>
    <row r="67" spans="1:36" ht="15.6" outlineLevel="1" x14ac:dyDescent="0.3">
      <c r="A67" s="8" t="s">
        <v>159</v>
      </c>
      <c r="B67" s="65">
        <f>SUM(D67:AJ67)</f>
        <v>42.113019664612423</v>
      </c>
      <c r="C67" s="8" t="s">
        <v>0</v>
      </c>
      <c r="D67" s="63">
        <f>D13</f>
        <v>0</v>
      </c>
      <c r="E67" s="63">
        <f t="shared" ref="E67:AB67" si="73">E13</f>
        <v>0</v>
      </c>
      <c r="F67" s="63">
        <f t="shared" si="73"/>
        <v>0</v>
      </c>
      <c r="G67" s="63">
        <f t="shared" si="73"/>
        <v>0.53099999999999992</v>
      </c>
      <c r="H67" s="63">
        <f t="shared" si="73"/>
        <v>0.54052499999999992</v>
      </c>
      <c r="I67" s="63">
        <f t="shared" si="73"/>
        <v>2.6605244556250001</v>
      </c>
      <c r="J67" s="63">
        <f t="shared" si="73"/>
        <v>5.1410432515624995</v>
      </c>
      <c r="K67" s="63">
        <f t="shared" si="73"/>
        <v>7.1423954796015598</v>
      </c>
      <c r="L67" s="63">
        <f t="shared" si="73"/>
        <v>7.6559954783110342</v>
      </c>
      <c r="M67" s="63">
        <f t="shared" si="73"/>
        <v>2.1290041308886227</v>
      </c>
      <c r="N67" s="63">
        <f t="shared" si="73"/>
        <v>2.5492366173376744</v>
      </c>
      <c r="O67" s="63">
        <f t="shared" si="73"/>
        <v>1.8105757258619757</v>
      </c>
      <c r="P67" s="63">
        <f t="shared" si="73"/>
        <v>0.83881597044044132</v>
      </c>
      <c r="Q67" s="63">
        <f t="shared" si="73"/>
        <v>0.85978636970145239</v>
      </c>
      <c r="R67" s="63">
        <f t="shared" si="73"/>
        <v>0.88369549751643783</v>
      </c>
      <c r="S67" s="63">
        <f t="shared" si="73"/>
        <v>0.90331305466758827</v>
      </c>
      <c r="T67" s="63">
        <f t="shared" si="73"/>
        <v>0.925895881034278</v>
      </c>
      <c r="U67" s="63">
        <f t="shared" si="73"/>
        <v>0.94904327806013478</v>
      </c>
      <c r="V67" s="63">
        <f t="shared" si="73"/>
        <v>0.97543448154591661</v>
      </c>
      <c r="W67" s="63">
        <f t="shared" si="73"/>
        <v>0.97852694527736228</v>
      </c>
      <c r="X67" s="63">
        <f t="shared" si="73"/>
        <v>0.79906399230148029</v>
      </c>
      <c r="Y67" s="63">
        <f t="shared" si="73"/>
        <v>0.65855395481267442</v>
      </c>
      <c r="Z67" s="63">
        <f t="shared" si="73"/>
        <v>0.54197380731972755</v>
      </c>
      <c r="AA67" s="63">
        <f t="shared" si="73"/>
        <v>0.4768167783951599</v>
      </c>
      <c r="AB67" s="63">
        <f t="shared" si="73"/>
        <v>0.41591059730310553</v>
      </c>
      <c r="AC67" s="63">
        <f t="shared" ref="AC67:AJ67" si="74">AC13</f>
        <v>0.34946400829097657</v>
      </c>
      <c r="AD67" s="63">
        <f t="shared" si="74"/>
        <v>0.3212318233439716</v>
      </c>
      <c r="AE67" s="63">
        <f t="shared" si="74"/>
        <v>0.29787899208217672</v>
      </c>
      <c r="AF67" s="63">
        <f t="shared" si="74"/>
        <v>0.27630991007323824</v>
      </c>
      <c r="AG67" s="63">
        <f t="shared" si="74"/>
        <v>0.25811007837354788</v>
      </c>
      <c r="AH67" s="63">
        <f t="shared" si="74"/>
        <v>0.24289410488439037</v>
      </c>
      <c r="AI67" s="63">
        <f t="shared" si="74"/>
        <v>0</v>
      </c>
      <c r="AJ67" s="63">
        <f t="shared" si="74"/>
        <v>0</v>
      </c>
    </row>
    <row r="68" spans="1:36" ht="15.6" outlineLevel="1" x14ac:dyDescent="0.3">
      <c r="A68" s="8" t="s">
        <v>87</v>
      </c>
      <c r="B68" s="65">
        <f t="shared" ref="B68:B76" si="75">SUM(D68:AJ68)</f>
        <v>251.73705768487844</v>
      </c>
      <c r="C68" s="8" t="s">
        <v>0</v>
      </c>
      <c r="D68" s="63">
        <f>D11</f>
        <v>0</v>
      </c>
      <c r="E68" s="63">
        <f t="shared" ref="E68:AB68" si="76">E11</f>
        <v>0</v>
      </c>
      <c r="F68" s="63">
        <f t="shared" si="76"/>
        <v>0</v>
      </c>
      <c r="G68" s="63">
        <f t="shared" si="76"/>
        <v>0</v>
      </c>
      <c r="H68" s="63">
        <f t="shared" si="76"/>
        <v>0</v>
      </c>
      <c r="I68" s="63">
        <f t="shared" si="76"/>
        <v>0</v>
      </c>
      <c r="J68" s="63">
        <f t="shared" si="76"/>
        <v>0</v>
      </c>
      <c r="K68" s="63">
        <f t="shared" si="76"/>
        <v>0</v>
      </c>
      <c r="L68" s="63">
        <f t="shared" si="76"/>
        <v>0</v>
      </c>
      <c r="M68" s="63">
        <f t="shared" si="76"/>
        <v>0</v>
      </c>
      <c r="N68" s="63">
        <f t="shared" si="76"/>
        <v>0</v>
      </c>
      <c r="O68" s="63">
        <f t="shared" si="76"/>
        <v>0</v>
      </c>
      <c r="P68" s="63">
        <f t="shared" si="76"/>
        <v>0</v>
      </c>
      <c r="Q68" s="63">
        <f t="shared" si="76"/>
        <v>0</v>
      </c>
      <c r="R68" s="63">
        <f t="shared" si="76"/>
        <v>0</v>
      </c>
      <c r="S68" s="63">
        <f t="shared" si="76"/>
        <v>0</v>
      </c>
      <c r="T68" s="63">
        <f t="shared" si="76"/>
        <v>0</v>
      </c>
      <c r="U68" s="63">
        <f t="shared" si="76"/>
        <v>0</v>
      </c>
      <c r="V68" s="63">
        <f t="shared" si="76"/>
        <v>0</v>
      </c>
      <c r="W68" s="63">
        <f t="shared" si="76"/>
        <v>0</v>
      </c>
      <c r="X68" s="63">
        <f t="shared" si="76"/>
        <v>47.479464714545571</v>
      </c>
      <c r="Y68" s="63">
        <f t="shared" si="76"/>
        <v>38.176116741221222</v>
      </c>
      <c r="Z68" s="63">
        <f t="shared" si="76"/>
        <v>30.651717963633061</v>
      </c>
      <c r="AA68" s="63">
        <f t="shared" si="76"/>
        <v>26.308990625957691</v>
      </c>
      <c r="AB68" s="63">
        <f t="shared" si="76"/>
        <v>22.388694893097465</v>
      </c>
      <c r="AC68" s="63">
        <f t="shared" ref="AC68:AJ68" si="77">AC11</f>
        <v>18.353013336904837</v>
      </c>
      <c r="AD68" s="63">
        <f t="shared" si="77"/>
        <v>16.458855172768295</v>
      </c>
      <c r="AE68" s="63">
        <f t="shared" si="77"/>
        <v>14.890081375344948</v>
      </c>
      <c r="AF68" s="63">
        <f t="shared" si="77"/>
        <v>13.475031579494697</v>
      </c>
      <c r="AG68" s="63">
        <f t="shared" si="77"/>
        <v>12.28045413474058</v>
      </c>
      <c r="AH68" s="63">
        <f t="shared" si="77"/>
        <v>11.274637147170068</v>
      </c>
      <c r="AI68" s="63">
        <f t="shared" si="77"/>
        <v>0</v>
      </c>
      <c r="AJ68" s="63">
        <f t="shared" si="77"/>
        <v>0</v>
      </c>
    </row>
    <row r="69" spans="1:36" ht="15.6" outlineLevel="1" x14ac:dyDescent="0.3">
      <c r="A69" s="8" t="s">
        <v>160</v>
      </c>
      <c r="B69" s="65">
        <f t="shared" si="75"/>
        <v>36</v>
      </c>
      <c r="C69" s="8" t="s">
        <v>0</v>
      </c>
      <c r="D69" s="63">
        <v>0</v>
      </c>
      <c r="E69" s="63">
        <v>0</v>
      </c>
      <c r="F69" s="63">
        <v>0</v>
      </c>
      <c r="G69" s="63">
        <v>0</v>
      </c>
      <c r="H69" s="63">
        <v>0</v>
      </c>
      <c r="I69" s="63">
        <v>0</v>
      </c>
      <c r="J69" s="63">
        <v>0</v>
      </c>
      <c r="K69" s="63">
        <v>0</v>
      </c>
      <c r="L69" s="63">
        <v>0</v>
      </c>
      <c r="M69" s="63">
        <v>0</v>
      </c>
      <c r="N69" s="63">
        <v>0</v>
      </c>
      <c r="O69" s="63">
        <v>0</v>
      </c>
      <c r="P69" s="63">
        <v>0</v>
      </c>
      <c r="Q69" s="63">
        <v>0</v>
      </c>
      <c r="R69" s="63">
        <v>0</v>
      </c>
      <c r="S69" s="63">
        <v>0</v>
      </c>
      <c r="T69" s="63">
        <v>0</v>
      </c>
      <c r="U69" s="63">
        <v>0</v>
      </c>
      <c r="V69" s="63">
        <v>0</v>
      </c>
      <c r="W69" s="63">
        <v>0</v>
      </c>
      <c r="X69" s="63">
        <v>0</v>
      </c>
      <c r="Y69" s="63">
        <v>0</v>
      </c>
      <c r="Z69" s="63">
        <v>0</v>
      </c>
      <c r="AA69" s="63">
        <v>0</v>
      </c>
      <c r="AB69" s="63">
        <v>0</v>
      </c>
      <c r="AC69" s="63">
        <v>1</v>
      </c>
      <c r="AD69" s="63">
        <v>2</v>
      </c>
      <c r="AE69" s="63">
        <v>3</v>
      </c>
      <c r="AF69" s="63">
        <v>4</v>
      </c>
      <c r="AG69" s="63">
        <v>5</v>
      </c>
      <c r="AH69" s="63">
        <v>6</v>
      </c>
      <c r="AI69" s="63">
        <v>7</v>
      </c>
      <c r="AJ69" s="63">
        <v>8</v>
      </c>
    </row>
    <row r="70" spans="1:36" ht="15.6" outlineLevel="1" x14ac:dyDescent="0.3">
      <c r="A70" s="8" t="s">
        <v>208</v>
      </c>
      <c r="B70" s="65">
        <f t="shared" si="75"/>
        <v>46.134374999999999</v>
      </c>
      <c r="C70" s="8" t="s">
        <v>0</v>
      </c>
      <c r="D70" s="63">
        <f>'Model Inputs'!E70+'Model Inputs'!E73</f>
        <v>0</v>
      </c>
      <c r="E70" s="63">
        <f>'Model Inputs'!F70+'Model Inputs'!F73</f>
        <v>0</v>
      </c>
      <c r="F70" s="63">
        <f>'Model Inputs'!G70+'Model Inputs'!G73</f>
        <v>0</v>
      </c>
      <c r="G70" s="63">
        <f>'Model Inputs'!H70+'Model Inputs'!H73</f>
        <v>15</v>
      </c>
      <c r="H70" s="63">
        <f>'Model Inputs'!I70+'Model Inputs'!I73</f>
        <v>15.374999999999998</v>
      </c>
      <c r="I70" s="63">
        <f>'Model Inputs'!J70+'Model Inputs'!J73</f>
        <v>15.759374999999999</v>
      </c>
      <c r="J70" s="63">
        <f>'Model Inputs'!K70+'Model Inputs'!K73</f>
        <v>0</v>
      </c>
      <c r="K70" s="63">
        <f>'Model Inputs'!L70+'Model Inputs'!L73</f>
        <v>0</v>
      </c>
      <c r="L70" s="63">
        <f>'Model Inputs'!M70+'Model Inputs'!M73</f>
        <v>0</v>
      </c>
      <c r="M70" s="63">
        <f>'Model Inputs'!N70+'Model Inputs'!N73</f>
        <v>0</v>
      </c>
      <c r="N70" s="63">
        <f>'Model Inputs'!O70+'Model Inputs'!O73</f>
        <v>0</v>
      </c>
      <c r="O70" s="63">
        <f>'Model Inputs'!P70+'Model Inputs'!P73</f>
        <v>0</v>
      </c>
      <c r="P70" s="63">
        <f>'Model Inputs'!Q70+'Model Inputs'!Q73</f>
        <v>0</v>
      </c>
      <c r="Q70" s="63">
        <f>'Model Inputs'!R70+'Model Inputs'!R73</f>
        <v>0</v>
      </c>
      <c r="R70" s="63">
        <f>'Model Inputs'!S70+'Model Inputs'!S73</f>
        <v>0</v>
      </c>
      <c r="S70" s="63">
        <f>'Model Inputs'!T70+'Model Inputs'!T73</f>
        <v>0</v>
      </c>
      <c r="T70" s="63">
        <f>'Model Inputs'!U70+'Model Inputs'!U73</f>
        <v>0</v>
      </c>
      <c r="U70" s="63">
        <f>'Model Inputs'!V70+'Model Inputs'!V73</f>
        <v>0</v>
      </c>
      <c r="V70" s="63">
        <f>'Model Inputs'!W70+'Model Inputs'!W73</f>
        <v>0</v>
      </c>
      <c r="W70" s="63">
        <f>'Model Inputs'!X70+'Model Inputs'!X73</f>
        <v>0</v>
      </c>
      <c r="X70" s="63">
        <f>'Model Inputs'!Y70+'Model Inputs'!Y73</f>
        <v>0</v>
      </c>
      <c r="Y70" s="63">
        <f>'Model Inputs'!Z70+'Model Inputs'!Z73</f>
        <v>0</v>
      </c>
      <c r="Z70" s="63">
        <f>'Model Inputs'!AA70+'Model Inputs'!AA73</f>
        <v>0</v>
      </c>
      <c r="AA70" s="63">
        <f>'Model Inputs'!AB70+'Model Inputs'!AB73</f>
        <v>0</v>
      </c>
      <c r="AB70" s="63">
        <f>'Model Inputs'!AC70+'Model Inputs'!AC73</f>
        <v>0</v>
      </c>
      <c r="AC70" s="63">
        <f>'Model Inputs'!AD70+'Model Inputs'!AD73</f>
        <v>0</v>
      </c>
      <c r="AD70" s="63">
        <f>'Model Inputs'!AE70+'Model Inputs'!AE73</f>
        <v>0</v>
      </c>
      <c r="AE70" s="63">
        <f>'Model Inputs'!AF70+'Model Inputs'!AF73</f>
        <v>0</v>
      </c>
      <c r="AF70" s="63">
        <f>'Model Inputs'!AG70+'Model Inputs'!AG73</f>
        <v>0</v>
      </c>
      <c r="AG70" s="63">
        <f>'Model Inputs'!AH70+'Model Inputs'!AH73</f>
        <v>0</v>
      </c>
      <c r="AH70" s="63">
        <f>'Model Inputs'!AI70+'Model Inputs'!AI73</f>
        <v>0</v>
      </c>
      <c r="AI70" s="63">
        <f>'Model Inputs'!AJ70+'Model Inputs'!AJ73</f>
        <v>0</v>
      </c>
      <c r="AJ70" s="63">
        <f>'Model Inputs'!AK70+'Model Inputs'!AK73</f>
        <v>0</v>
      </c>
    </row>
    <row r="71" spans="1:36" ht="15.6" outlineLevel="1" x14ac:dyDescent="0.3">
      <c r="A71" s="8" t="s">
        <v>161</v>
      </c>
      <c r="B71" s="65">
        <f t="shared" si="75"/>
        <v>390.39603567362047</v>
      </c>
      <c r="C71" s="8" t="s">
        <v>0</v>
      </c>
      <c r="D71" s="63">
        <f>('Model Inputs'!E71+'Model Inputs'!E72)*(1-Intro!$G$20)</f>
        <v>0</v>
      </c>
      <c r="E71" s="63">
        <f>('Model Inputs'!F71+'Model Inputs'!F72)*(1-Intro!$G$20)</f>
        <v>0</v>
      </c>
      <c r="F71" s="63">
        <f>('Model Inputs'!G71+'Model Inputs'!G72)*(1-Intro!$G$20)</f>
        <v>0</v>
      </c>
      <c r="G71" s="63">
        <f>('Model Inputs'!H71+'Model Inputs'!H72)*(1-Intro!$G$20)</f>
        <v>0</v>
      </c>
      <c r="H71" s="63">
        <f>('Model Inputs'!I71+'Model Inputs'!I72)*(1-Intro!$G$20)</f>
        <v>0</v>
      </c>
      <c r="I71" s="63">
        <f>('Model Inputs'!J71+'Model Inputs'!J72)*(1-Intro!$G$20)</f>
        <v>14.971406249999998</v>
      </c>
      <c r="J71" s="63">
        <f>('Model Inputs'!K71+'Model Inputs'!K72)*(1-Intro!$G$20)</f>
        <v>17.391783593749999</v>
      </c>
      <c r="K71" s="63">
        <f>('Model Inputs'!L71+'Model Inputs'!L72)*(1-Intro!$G$20)</f>
        <v>18.875200429687492</v>
      </c>
      <c r="L71" s="63">
        <f>('Model Inputs'!M71+'Model Inputs'!M72)*(1-Intro!$G$20)</f>
        <v>40.843836485351545</v>
      </c>
      <c r="M71" s="63">
        <f>('Model Inputs'!N71+'Model Inputs'!N72)*(1-Intro!$G$20)</f>
        <v>125.594797192456</v>
      </c>
      <c r="N71" s="63">
        <f>('Model Inputs'!O71+'Model Inputs'!O72)*(1-Intro!$G$20)</f>
        <v>128.73466712226741</v>
      </c>
      <c r="O71" s="63">
        <f>('Model Inputs'!P71+'Model Inputs'!P72)*(1-Intro!$G$20)</f>
        <v>43.984344600108031</v>
      </c>
      <c r="P71" s="63">
        <f>('Model Inputs'!Q71+'Model Inputs'!Q72)*(1-Intro!$G$20)</f>
        <v>0</v>
      </c>
      <c r="Q71" s="63">
        <f>('Model Inputs'!R71+'Model Inputs'!R72)*(1-Intro!$G$20)</f>
        <v>0</v>
      </c>
      <c r="R71" s="63">
        <f>('Model Inputs'!S71+'Model Inputs'!S72)*(1-Intro!$G$20)</f>
        <v>0</v>
      </c>
      <c r="S71" s="63">
        <f>('Model Inputs'!T71+'Model Inputs'!T72)*(1-Intro!$G$20)</f>
        <v>0</v>
      </c>
      <c r="T71" s="63">
        <f>('Model Inputs'!U71+'Model Inputs'!U72)*(1-Intro!$G$20)</f>
        <v>0</v>
      </c>
      <c r="U71" s="63">
        <f>('Model Inputs'!V71+'Model Inputs'!V72)*(1-Intro!$G$20)</f>
        <v>0</v>
      </c>
      <c r="V71" s="63">
        <f>('Model Inputs'!W71+'Model Inputs'!W72)*(1-Intro!$G$20)</f>
        <v>0</v>
      </c>
      <c r="W71" s="63">
        <f>('Model Inputs'!X71+'Model Inputs'!X72)*(1-Intro!$G$20)</f>
        <v>0</v>
      </c>
      <c r="X71" s="63">
        <f>('Model Inputs'!Y71+'Model Inputs'!Y72)*(1-Intro!$G$20)</f>
        <v>0</v>
      </c>
      <c r="Y71" s="63">
        <f>('Model Inputs'!Z71+'Model Inputs'!Z72)*(1-Intro!$G$20)</f>
        <v>0</v>
      </c>
      <c r="Z71" s="63">
        <f>('Model Inputs'!AA71+'Model Inputs'!AA72)*(1-Intro!$G$20)</f>
        <v>0</v>
      </c>
      <c r="AA71" s="63">
        <f>('Model Inputs'!AB71+'Model Inputs'!AB72)*(1-Intro!$G$20)</f>
        <v>0</v>
      </c>
      <c r="AB71" s="63">
        <f>('Model Inputs'!AC71+'Model Inputs'!AC72)*(1-Intro!$G$20)</f>
        <v>0</v>
      </c>
      <c r="AC71" s="63">
        <f>('Model Inputs'!AD71+'Model Inputs'!AD72)*(1-Intro!$G$20)</f>
        <v>0</v>
      </c>
      <c r="AD71" s="63">
        <f>('Model Inputs'!AE71+'Model Inputs'!AE72)*(1-Intro!$G$20)</f>
        <v>0</v>
      </c>
      <c r="AE71" s="63">
        <f>('Model Inputs'!AF71+'Model Inputs'!AF72)*(1-Intro!$G$20)</f>
        <v>0</v>
      </c>
      <c r="AF71" s="63">
        <f>('Model Inputs'!AG71+'Model Inputs'!AG72)*(1-Intro!$G$20)</f>
        <v>0</v>
      </c>
      <c r="AG71" s="63">
        <f>('Model Inputs'!AH71+'Model Inputs'!AH72)*(1-Intro!$G$20)</f>
        <v>0</v>
      </c>
      <c r="AH71" s="63">
        <f>('Model Inputs'!AI71+'Model Inputs'!AI72)*(1-Intro!$G$20)</f>
        <v>0</v>
      </c>
      <c r="AI71" s="63">
        <f>('Model Inputs'!AJ71+'Model Inputs'!AJ72)*(1-Intro!$G$20)</f>
        <v>0</v>
      </c>
      <c r="AJ71" s="63">
        <f>('Model Inputs'!AK71+'Model Inputs'!AK72)*(1-Intro!$G$20)</f>
        <v>0</v>
      </c>
    </row>
    <row r="72" spans="1:36" ht="15.6" outlineLevel="1" x14ac:dyDescent="0.3">
      <c r="A72" s="8" t="s">
        <v>162</v>
      </c>
      <c r="B72" s="65">
        <f t="shared" si="75"/>
        <v>2026.4898897512201</v>
      </c>
      <c r="C72" s="8" t="s">
        <v>0</v>
      </c>
      <c r="D72" s="63">
        <f>D61</f>
        <v>0</v>
      </c>
      <c r="E72" s="63">
        <f t="shared" ref="E72:AB72" si="78">E61</f>
        <v>0</v>
      </c>
      <c r="F72" s="63">
        <f t="shared" si="78"/>
        <v>0</v>
      </c>
      <c r="G72" s="63">
        <f t="shared" si="78"/>
        <v>0</v>
      </c>
      <c r="H72" s="63">
        <f t="shared" si="78"/>
        <v>19.05</v>
      </c>
      <c r="I72" s="63">
        <f t="shared" si="78"/>
        <v>19.526250000000001</v>
      </c>
      <c r="J72" s="63">
        <f t="shared" si="78"/>
        <v>206.08103931249997</v>
      </c>
      <c r="K72" s="63">
        <f t="shared" si="78"/>
        <v>451.71254156249995</v>
      </c>
      <c r="L72" s="63">
        <f t="shared" si="78"/>
        <v>650.36434753046842</v>
      </c>
      <c r="M72" s="63">
        <f t="shared" si="78"/>
        <v>679.75571134575171</v>
      </c>
      <c r="N72" s="63">
        <f t="shared" si="78"/>
        <v>0</v>
      </c>
      <c r="O72" s="63">
        <f t="shared" si="78"/>
        <v>0</v>
      </c>
      <c r="P72" s="63">
        <f t="shared" si="78"/>
        <v>0</v>
      </c>
      <c r="Q72" s="63">
        <f t="shared" si="78"/>
        <v>0</v>
      </c>
      <c r="R72" s="63">
        <f t="shared" si="78"/>
        <v>0</v>
      </c>
      <c r="S72" s="63">
        <f t="shared" si="78"/>
        <v>0</v>
      </c>
      <c r="T72" s="63">
        <f t="shared" si="78"/>
        <v>0</v>
      </c>
      <c r="U72" s="63">
        <f t="shared" si="78"/>
        <v>0</v>
      </c>
      <c r="V72" s="63">
        <f t="shared" si="78"/>
        <v>0</v>
      </c>
      <c r="W72" s="63">
        <f t="shared" si="78"/>
        <v>0</v>
      </c>
      <c r="X72" s="63">
        <f t="shared" si="78"/>
        <v>0</v>
      </c>
      <c r="Y72" s="63">
        <f t="shared" si="78"/>
        <v>0</v>
      </c>
      <c r="Z72" s="63">
        <f t="shared" si="78"/>
        <v>0</v>
      </c>
      <c r="AA72" s="63">
        <f t="shared" si="78"/>
        <v>0</v>
      </c>
      <c r="AB72" s="63">
        <f t="shared" si="78"/>
        <v>0</v>
      </c>
      <c r="AC72" s="63">
        <f t="shared" ref="AC72:AJ72" si="79">AC61</f>
        <v>0</v>
      </c>
      <c r="AD72" s="63">
        <f t="shared" si="79"/>
        <v>0</v>
      </c>
      <c r="AE72" s="63">
        <f t="shared" si="79"/>
        <v>0</v>
      </c>
      <c r="AF72" s="63">
        <f t="shared" si="79"/>
        <v>0</v>
      </c>
      <c r="AG72" s="63">
        <f t="shared" si="79"/>
        <v>0</v>
      </c>
      <c r="AH72" s="63">
        <f t="shared" si="79"/>
        <v>0</v>
      </c>
      <c r="AI72" s="63">
        <f t="shared" si="79"/>
        <v>0</v>
      </c>
      <c r="AJ72" s="63">
        <f t="shared" si="79"/>
        <v>0</v>
      </c>
    </row>
    <row r="73" spans="1:36" ht="15.6" outlineLevel="1" x14ac:dyDescent="0.3">
      <c r="A73" s="8" t="s">
        <v>163</v>
      </c>
      <c r="B73" s="65"/>
      <c r="C73" s="8"/>
      <c r="D73" s="63">
        <v>1</v>
      </c>
      <c r="E73" s="63">
        <v>2</v>
      </c>
      <c r="F73" s="63">
        <v>3</v>
      </c>
      <c r="G73" s="63">
        <v>4</v>
      </c>
      <c r="H73" s="63">
        <v>5</v>
      </c>
      <c r="I73" s="63">
        <v>6</v>
      </c>
      <c r="J73" s="63">
        <v>7</v>
      </c>
      <c r="K73" s="63">
        <v>8</v>
      </c>
      <c r="L73" s="63">
        <v>9</v>
      </c>
      <c r="M73" s="63">
        <v>10</v>
      </c>
      <c r="N73" s="63">
        <v>11</v>
      </c>
      <c r="O73" s="63">
        <v>12</v>
      </c>
      <c r="P73" s="63">
        <v>13</v>
      </c>
      <c r="Q73" s="63">
        <v>14</v>
      </c>
      <c r="R73" s="63">
        <v>15</v>
      </c>
      <c r="S73" s="63">
        <v>16</v>
      </c>
      <c r="T73" s="63">
        <v>17</v>
      </c>
      <c r="U73" s="63">
        <v>18</v>
      </c>
      <c r="V73" s="63">
        <v>19</v>
      </c>
      <c r="W73" s="63">
        <v>20</v>
      </c>
      <c r="X73" s="63">
        <v>21</v>
      </c>
      <c r="Y73" s="63">
        <v>22</v>
      </c>
      <c r="Z73" s="63">
        <v>23</v>
      </c>
      <c r="AA73" s="63">
        <v>24</v>
      </c>
      <c r="AB73" s="63">
        <v>25</v>
      </c>
      <c r="AC73" s="63">
        <v>26</v>
      </c>
      <c r="AD73" s="63">
        <v>27</v>
      </c>
      <c r="AE73" s="63">
        <v>28</v>
      </c>
      <c r="AF73" s="63">
        <v>29</v>
      </c>
      <c r="AG73" s="63">
        <v>30</v>
      </c>
      <c r="AH73" s="63">
        <v>31</v>
      </c>
      <c r="AI73" s="63">
        <v>32</v>
      </c>
      <c r="AJ73" s="63">
        <v>33</v>
      </c>
    </row>
    <row r="74" spans="1:36" ht="15.6" outlineLevel="1" x14ac:dyDescent="0.3">
      <c r="A74" s="8" t="s">
        <v>164</v>
      </c>
      <c r="B74" s="65">
        <f t="shared" si="75"/>
        <v>-2331.1017764984535</v>
      </c>
      <c r="C74" s="8" t="s">
        <v>0</v>
      </c>
      <c r="D74" s="63">
        <f>IF(SUM(D63:D65)-SUM(D67:D72)&lt;0,SUM(D63:D65)-SUM(D67:D72),0)</f>
        <v>0</v>
      </c>
      <c r="E74" s="63">
        <f t="shared" ref="E74:AB74" si="80">IF(SUM(E63:E65)-SUM(E67:E72)&lt;0,SUM(E63:E65)-SUM(E67:E72),0)</f>
        <v>0</v>
      </c>
      <c r="F74" s="63">
        <f t="shared" si="80"/>
        <v>0</v>
      </c>
      <c r="G74" s="63">
        <f t="shared" si="80"/>
        <v>-15.531000000000001</v>
      </c>
      <c r="H74" s="63">
        <f t="shared" si="80"/>
        <v>-34.965525</v>
      </c>
      <c r="I74" s="63">
        <f t="shared" si="80"/>
        <v>-52.917555705625006</v>
      </c>
      <c r="J74" s="63">
        <f>IF(SUM(J63:J65)-SUM(J67:J72)&lt;0,SUM(J63:J65)-SUM(J67:J72),0)</f>
        <v>-228.61386615781248</v>
      </c>
      <c r="K74" s="63">
        <f t="shared" si="80"/>
        <v>-477.73013747178902</v>
      </c>
      <c r="L74" s="63">
        <f t="shared" si="80"/>
        <v>-698.86417949413101</v>
      </c>
      <c r="M74" s="63">
        <f t="shared" si="80"/>
        <v>-807.47951266909627</v>
      </c>
      <c r="N74" s="63">
        <f t="shared" si="80"/>
        <v>0</v>
      </c>
      <c r="O74" s="63">
        <f t="shared" si="80"/>
        <v>0</v>
      </c>
      <c r="P74" s="63">
        <f t="shared" si="80"/>
        <v>0</v>
      </c>
      <c r="Q74" s="63">
        <f t="shared" si="80"/>
        <v>0</v>
      </c>
      <c r="R74" s="63">
        <f t="shared" si="80"/>
        <v>0</v>
      </c>
      <c r="S74" s="63">
        <f t="shared" si="80"/>
        <v>0</v>
      </c>
      <c r="T74" s="63">
        <f t="shared" si="80"/>
        <v>0</v>
      </c>
      <c r="U74" s="63">
        <f t="shared" si="80"/>
        <v>0</v>
      </c>
      <c r="V74" s="63">
        <f t="shared" si="80"/>
        <v>0</v>
      </c>
      <c r="W74" s="63">
        <f t="shared" si="80"/>
        <v>0</v>
      </c>
      <c r="X74" s="63">
        <f t="shared" si="80"/>
        <v>0</v>
      </c>
      <c r="Y74" s="63">
        <f t="shared" si="80"/>
        <v>0</v>
      </c>
      <c r="Z74" s="63">
        <f t="shared" si="80"/>
        <v>0</v>
      </c>
      <c r="AA74" s="63">
        <f t="shared" si="80"/>
        <v>0</v>
      </c>
      <c r="AB74" s="63">
        <f t="shared" si="80"/>
        <v>0</v>
      </c>
      <c r="AC74" s="63">
        <f t="shared" ref="AC74:AJ74" si="81">IF(SUM(AC63:AC65)-SUM(AC67:AC72)&lt;0,SUM(AC63:AC65)-SUM(AC67:AC72),0)</f>
        <v>0</v>
      </c>
      <c r="AD74" s="63">
        <f t="shared" si="81"/>
        <v>0</v>
      </c>
      <c r="AE74" s="63">
        <f t="shared" si="81"/>
        <v>0</v>
      </c>
      <c r="AF74" s="63">
        <f t="shared" si="81"/>
        <v>0</v>
      </c>
      <c r="AG74" s="63">
        <f t="shared" si="81"/>
        <v>0</v>
      </c>
      <c r="AH74" s="63">
        <f t="shared" si="81"/>
        <v>0</v>
      </c>
      <c r="AI74" s="63">
        <f t="shared" si="81"/>
        <v>-7</v>
      </c>
      <c r="AJ74" s="63">
        <f t="shared" si="81"/>
        <v>-8</v>
      </c>
    </row>
    <row r="75" spans="1:36" ht="15.6" outlineLevel="1" x14ac:dyDescent="0.3">
      <c r="A75" s="8" t="s">
        <v>165</v>
      </c>
      <c r="B75" s="65">
        <f t="shared" si="75"/>
        <v>8151.7484885100394</v>
      </c>
      <c r="C75" s="8" t="s">
        <v>0</v>
      </c>
      <c r="D75" s="63">
        <f>IF(SUM(D63:D65)-SUM(D67:D72)&gt;0,SUM(D63:D65)-SUM(D67:D72),0)</f>
        <v>0</v>
      </c>
      <c r="E75" s="63">
        <f t="shared" ref="E75:AB75" si="82">IF(SUM(E63:E65)-SUM(E67:E72)&gt;0,SUM(E63:E65)-SUM(E67:E72),0)</f>
        <v>0</v>
      </c>
      <c r="F75" s="63">
        <f t="shared" si="82"/>
        <v>0</v>
      </c>
      <c r="G75" s="63">
        <f t="shared" si="82"/>
        <v>0</v>
      </c>
      <c r="H75" s="63">
        <f t="shared" si="82"/>
        <v>0</v>
      </c>
      <c r="I75" s="63">
        <f t="shared" si="82"/>
        <v>0</v>
      </c>
      <c r="J75" s="63">
        <f t="shared" si="82"/>
        <v>0</v>
      </c>
      <c r="K75" s="63">
        <f t="shared" si="82"/>
        <v>0</v>
      </c>
      <c r="L75" s="63">
        <f t="shared" si="82"/>
        <v>0</v>
      </c>
      <c r="M75" s="63">
        <f t="shared" si="82"/>
        <v>0</v>
      </c>
      <c r="N75" s="63">
        <f t="shared" si="82"/>
        <v>355.4568614635138</v>
      </c>
      <c r="O75" s="63">
        <f t="shared" si="82"/>
        <v>939.93834567423755</v>
      </c>
      <c r="P75" s="63">
        <f t="shared" si="82"/>
        <v>1069.2433776091555</v>
      </c>
      <c r="Q75" s="63">
        <f t="shared" si="82"/>
        <v>1045.6253369444262</v>
      </c>
      <c r="R75" s="63">
        <f t="shared" si="82"/>
        <v>660.47401139796807</v>
      </c>
      <c r="S75" s="63">
        <f t="shared" si="82"/>
        <v>601.50800072686195</v>
      </c>
      <c r="T75" s="63">
        <f t="shared" si="82"/>
        <v>548.63848366229399</v>
      </c>
      <c r="U75" s="63">
        <f t="shared" si="82"/>
        <v>499.74171338459394</v>
      </c>
      <c r="V75" s="63">
        <f t="shared" si="82"/>
        <v>455.95127143428346</v>
      </c>
      <c r="W75" s="63">
        <f t="shared" si="82"/>
        <v>405.56582614682583</v>
      </c>
      <c r="X75" s="63">
        <f t="shared" si="82"/>
        <v>284.25847264675161</v>
      </c>
      <c r="Y75" s="63">
        <f t="shared" si="82"/>
        <v>223.4586766616878</v>
      </c>
      <c r="Z75" s="63">
        <f t="shared" si="82"/>
        <v>184.05428732695825</v>
      </c>
      <c r="AA75" s="63">
        <f t="shared" si="82"/>
        <v>162.05850737787449</v>
      </c>
      <c r="AB75" s="63">
        <f t="shared" si="82"/>
        <v>141.46991084389913</v>
      </c>
      <c r="AC75" s="63">
        <f t="shared" ref="AC75:AJ75" si="83">IF(SUM(AC63:AC65)-SUM(AC67:AC72)&gt;0,SUM(AC63:AC65)-SUM(AC67:AC72),0)</f>
        <v>117.96020077534816</v>
      </c>
      <c r="AD75" s="63">
        <f t="shared" si="83"/>
        <v>107.43204501932757</v>
      </c>
      <c r="AE75" s="63">
        <f t="shared" si="83"/>
        <v>98.551031813145528</v>
      </c>
      <c r="AF75" s="63">
        <f t="shared" si="83"/>
        <v>90.2652112389123</v>
      </c>
      <c r="AG75" s="63">
        <f t="shared" si="83"/>
        <v>83.117603564089549</v>
      </c>
      <c r="AH75" s="63">
        <f t="shared" si="83"/>
        <v>76.979312797886166</v>
      </c>
      <c r="AI75" s="63">
        <f t="shared" si="83"/>
        <v>0</v>
      </c>
      <c r="AJ75" s="63">
        <f t="shared" si="83"/>
        <v>0</v>
      </c>
    </row>
    <row r="76" spans="1:36" ht="15.6" outlineLevel="1" x14ac:dyDescent="0.3">
      <c r="A76" s="8" t="s">
        <v>166</v>
      </c>
      <c r="B76" s="65">
        <f t="shared" si="75"/>
        <v>5820.6467120115867</v>
      </c>
      <c r="C76" s="8" t="s">
        <v>0</v>
      </c>
      <c r="D76" s="63">
        <f>D74+D75</f>
        <v>0</v>
      </c>
      <c r="E76" s="63">
        <f t="shared" ref="E76:AB76" si="84">E74+E75</f>
        <v>0</v>
      </c>
      <c r="F76" s="63">
        <f t="shared" si="84"/>
        <v>0</v>
      </c>
      <c r="G76" s="63">
        <f t="shared" si="84"/>
        <v>-15.531000000000001</v>
      </c>
      <c r="H76" s="63">
        <f t="shared" si="84"/>
        <v>-34.965525</v>
      </c>
      <c r="I76" s="63">
        <f t="shared" si="84"/>
        <v>-52.917555705625006</v>
      </c>
      <c r="J76" s="63">
        <f t="shared" si="84"/>
        <v>-228.61386615781248</v>
      </c>
      <c r="K76" s="63">
        <f t="shared" si="84"/>
        <v>-477.73013747178902</v>
      </c>
      <c r="L76" s="63">
        <f t="shared" si="84"/>
        <v>-698.86417949413101</v>
      </c>
      <c r="M76" s="63">
        <f t="shared" si="84"/>
        <v>-807.47951266909627</v>
      </c>
      <c r="N76" s="63">
        <f t="shared" si="84"/>
        <v>355.4568614635138</v>
      </c>
      <c r="O76" s="63">
        <f t="shared" si="84"/>
        <v>939.93834567423755</v>
      </c>
      <c r="P76" s="63">
        <f t="shared" si="84"/>
        <v>1069.2433776091555</v>
      </c>
      <c r="Q76" s="63">
        <f t="shared" si="84"/>
        <v>1045.6253369444262</v>
      </c>
      <c r="R76" s="63">
        <f t="shared" si="84"/>
        <v>660.47401139796807</v>
      </c>
      <c r="S76" s="63">
        <f t="shared" si="84"/>
        <v>601.50800072686195</v>
      </c>
      <c r="T76" s="63">
        <f t="shared" si="84"/>
        <v>548.63848366229399</v>
      </c>
      <c r="U76" s="63">
        <f t="shared" si="84"/>
        <v>499.74171338459394</v>
      </c>
      <c r="V76" s="63">
        <f t="shared" si="84"/>
        <v>455.95127143428346</v>
      </c>
      <c r="W76" s="63">
        <f t="shared" si="84"/>
        <v>405.56582614682583</v>
      </c>
      <c r="X76" s="63">
        <f t="shared" si="84"/>
        <v>284.25847264675161</v>
      </c>
      <c r="Y76" s="63">
        <f t="shared" si="84"/>
        <v>223.4586766616878</v>
      </c>
      <c r="Z76" s="63">
        <f t="shared" si="84"/>
        <v>184.05428732695825</v>
      </c>
      <c r="AA76" s="63">
        <f t="shared" si="84"/>
        <v>162.05850737787449</v>
      </c>
      <c r="AB76" s="63">
        <f t="shared" si="84"/>
        <v>141.46991084389913</v>
      </c>
      <c r="AC76" s="63">
        <f t="shared" ref="AC76:AJ76" si="85">AC74+AC75</f>
        <v>117.96020077534816</v>
      </c>
      <c r="AD76" s="63">
        <f t="shared" si="85"/>
        <v>107.43204501932757</v>
      </c>
      <c r="AE76" s="63">
        <f t="shared" si="85"/>
        <v>98.551031813145528</v>
      </c>
      <c r="AF76" s="63">
        <f t="shared" si="85"/>
        <v>90.2652112389123</v>
      </c>
      <c r="AG76" s="63">
        <f t="shared" si="85"/>
        <v>83.117603564089549</v>
      </c>
      <c r="AH76" s="63">
        <f t="shared" si="85"/>
        <v>76.979312797886166</v>
      </c>
      <c r="AI76" s="63">
        <f t="shared" si="85"/>
        <v>-7</v>
      </c>
      <c r="AJ76" s="63">
        <f t="shared" si="85"/>
        <v>-8</v>
      </c>
    </row>
    <row r="77" spans="1:36" ht="15.6" outlineLevel="1" x14ac:dyDescent="0.3">
      <c r="A77" s="8"/>
      <c r="B77" s="65"/>
      <c r="C77" s="8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</row>
    <row r="78" spans="1:36" ht="15.6" outlineLevel="1" x14ac:dyDescent="0.3">
      <c r="A78" s="8" t="s">
        <v>167</v>
      </c>
      <c r="B78" s="65">
        <f ca="1">SUM(D78:AJ78)</f>
        <v>-2323.1017764984535</v>
      </c>
      <c r="C78" s="8" t="s">
        <v>0</v>
      </c>
      <c r="D78" s="63">
        <v>0</v>
      </c>
      <c r="E78" s="63">
        <f ca="1">IF(D81&gt;0,0,MAX(D80,D79))</f>
        <v>0</v>
      </c>
      <c r="F78" s="63">
        <f t="shared" ref="F78:AB78" ca="1" si="86">IF(E81&gt;0,0,MAX(E80,E79))</f>
        <v>0</v>
      </c>
      <c r="G78" s="63">
        <f t="shared" ca="1" si="86"/>
        <v>0</v>
      </c>
      <c r="H78" s="63">
        <f t="shared" ca="1" si="86"/>
        <v>-15.531000000000001</v>
      </c>
      <c r="I78" s="63">
        <f t="shared" ca="1" si="86"/>
        <v>-34.965525</v>
      </c>
      <c r="J78" s="63">
        <f t="shared" ca="1" si="86"/>
        <v>-52.917555705625006</v>
      </c>
      <c r="K78" s="63">
        <f t="shared" ca="1" si="86"/>
        <v>-228.61386615781248</v>
      </c>
      <c r="L78" s="63">
        <f t="shared" ca="1" si="86"/>
        <v>-477.73013747178902</v>
      </c>
      <c r="M78" s="63">
        <f t="shared" ca="1" si="86"/>
        <v>-698.86417949413101</v>
      </c>
      <c r="N78" s="63">
        <f t="shared" ca="1" si="86"/>
        <v>-807.47951266909627</v>
      </c>
      <c r="O78" s="63">
        <f t="shared" ca="1" si="86"/>
        <v>0</v>
      </c>
      <c r="P78" s="63">
        <f t="shared" ca="1" si="86"/>
        <v>0</v>
      </c>
      <c r="Q78" s="63">
        <f t="shared" ca="1" si="86"/>
        <v>0</v>
      </c>
      <c r="R78" s="63">
        <f t="shared" ca="1" si="86"/>
        <v>0</v>
      </c>
      <c r="S78" s="63">
        <f t="shared" ca="1" si="86"/>
        <v>0</v>
      </c>
      <c r="T78" s="63">
        <f t="shared" ca="1" si="86"/>
        <v>0</v>
      </c>
      <c r="U78" s="63">
        <f t="shared" ca="1" si="86"/>
        <v>0</v>
      </c>
      <c r="V78" s="63">
        <f t="shared" ca="1" si="86"/>
        <v>0</v>
      </c>
      <c r="W78" s="63">
        <f t="shared" ca="1" si="86"/>
        <v>0</v>
      </c>
      <c r="X78" s="63">
        <f t="shared" ca="1" si="86"/>
        <v>0</v>
      </c>
      <c r="Y78" s="63">
        <f t="shared" ca="1" si="86"/>
        <v>0</v>
      </c>
      <c r="Z78" s="63">
        <f t="shared" ca="1" si="86"/>
        <v>0</v>
      </c>
      <c r="AA78" s="63">
        <f t="shared" ca="1" si="86"/>
        <v>0</v>
      </c>
      <c r="AB78" s="63">
        <f t="shared" ca="1" si="86"/>
        <v>0</v>
      </c>
      <c r="AC78" s="63">
        <f t="shared" ref="AC78:AJ78" ca="1" si="87">IF(AB81&gt;0,0,MAX(AB80,AB79))</f>
        <v>0</v>
      </c>
      <c r="AD78" s="63">
        <f t="shared" ca="1" si="87"/>
        <v>0</v>
      </c>
      <c r="AE78" s="63">
        <f t="shared" ca="1" si="87"/>
        <v>0</v>
      </c>
      <c r="AF78" s="63">
        <f t="shared" ca="1" si="87"/>
        <v>0</v>
      </c>
      <c r="AG78" s="63">
        <f t="shared" ca="1" si="87"/>
        <v>0</v>
      </c>
      <c r="AH78" s="63">
        <f t="shared" ca="1" si="87"/>
        <v>0</v>
      </c>
      <c r="AI78" s="63">
        <f t="shared" ca="1" si="87"/>
        <v>0</v>
      </c>
      <c r="AJ78" s="63">
        <f t="shared" ca="1" si="87"/>
        <v>-7</v>
      </c>
    </row>
    <row r="79" spans="1:36" ht="15.6" outlineLevel="1" x14ac:dyDescent="0.3">
      <c r="A79" s="8" t="s">
        <v>168</v>
      </c>
      <c r="B79" s="65">
        <f t="shared" ref="B79:B84" ca="1" si="88">SUM(D79:AJ79)</f>
        <v>3497.5449355131332</v>
      </c>
      <c r="C79" s="8" t="s">
        <v>0</v>
      </c>
      <c r="D79" s="63">
        <f>D76+D78</f>
        <v>0</v>
      </c>
      <c r="E79" s="63">
        <f t="shared" ref="E79:AB79" ca="1" si="89">E76+E78</f>
        <v>0</v>
      </c>
      <c r="F79" s="63">
        <f t="shared" ca="1" si="89"/>
        <v>0</v>
      </c>
      <c r="G79" s="63">
        <f t="shared" ca="1" si="89"/>
        <v>-15.531000000000001</v>
      </c>
      <c r="H79" s="63">
        <f t="shared" ca="1" si="89"/>
        <v>-50.496524999999998</v>
      </c>
      <c r="I79" s="63">
        <f t="shared" ca="1" si="89"/>
        <v>-87.883080705625005</v>
      </c>
      <c r="J79" s="63">
        <f t="shared" ca="1" si="89"/>
        <v>-281.53142186343746</v>
      </c>
      <c r="K79" s="63">
        <f t="shared" ca="1" si="89"/>
        <v>-706.3440036296015</v>
      </c>
      <c r="L79" s="63">
        <f t="shared" ca="1" si="89"/>
        <v>-1176.5943169659199</v>
      </c>
      <c r="M79" s="63">
        <f t="shared" ca="1" si="89"/>
        <v>-1506.3436921632274</v>
      </c>
      <c r="N79" s="63">
        <f t="shared" ca="1" si="89"/>
        <v>-452.02265120558246</v>
      </c>
      <c r="O79" s="63">
        <f t="shared" ca="1" si="89"/>
        <v>939.93834567423755</v>
      </c>
      <c r="P79" s="63">
        <f t="shared" ca="1" si="89"/>
        <v>1069.2433776091555</v>
      </c>
      <c r="Q79" s="63">
        <f t="shared" ca="1" si="89"/>
        <v>1045.6253369444262</v>
      </c>
      <c r="R79" s="63">
        <f t="shared" ca="1" si="89"/>
        <v>660.47401139796807</v>
      </c>
      <c r="S79" s="63">
        <f t="shared" ca="1" si="89"/>
        <v>601.50800072686195</v>
      </c>
      <c r="T79" s="63">
        <f t="shared" ca="1" si="89"/>
        <v>548.63848366229399</v>
      </c>
      <c r="U79" s="63">
        <f t="shared" ca="1" si="89"/>
        <v>499.74171338459394</v>
      </c>
      <c r="V79" s="63">
        <f t="shared" ca="1" si="89"/>
        <v>455.95127143428346</v>
      </c>
      <c r="W79" s="63">
        <f t="shared" ca="1" si="89"/>
        <v>405.56582614682583</v>
      </c>
      <c r="X79" s="63">
        <f t="shared" ca="1" si="89"/>
        <v>284.25847264675161</v>
      </c>
      <c r="Y79" s="63">
        <f t="shared" ca="1" si="89"/>
        <v>223.4586766616878</v>
      </c>
      <c r="Z79" s="63">
        <f t="shared" ca="1" si="89"/>
        <v>184.05428732695825</v>
      </c>
      <c r="AA79" s="63">
        <f t="shared" ca="1" si="89"/>
        <v>162.05850737787449</v>
      </c>
      <c r="AB79" s="63">
        <f t="shared" ca="1" si="89"/>
        <v>141.46991084389913</v>
      </c>
      <c r="AC79" s="63">
        <f t="shared" ref="AC79:AJ79" ca="1" si="90">AC76+AC78</f>
        <v>117.96020077534816</v>
      </c>
      <c r="AD79" s="63">
        <f t="shared" ca="1" si="90"/>
        <v>107.43204501932757</v>
      </c>
      <c r="AE79" s="63">
        <f t="shared" ca="1" si="90"/>
        <v>98.551031813145528</v>
      </c>
      <c r="AF79" s="63">
        <f t="shared" ca="1" si="90"/>
        <v>90.2652112389123</v>
      </c>
      <c r="AG79" s="63">
        <f t="shared" ca="1" si="90"/>
        <v>83.117603564089549</v>
      </c>
      <c r="AH79" s="63">
        <f t="shared" ca="1" si="90"/>
        <v>76.979312797886166</v>
      </c>
      <c r="AI79" s="63">
        <f t="shared" ca="1" si="90"/>
        <v>-7</v>
      </c>
      <c r="AJ79" s="63">
        <f t="shared" ca="1" si="90"/>
        <v>-15</v>
      </c>
    </row>
    <row r="80" spans="1:36" ht="15.6" outlineLevel="1" x14ac:dyDescent="0.3">
      <c r="A80" s="8" t="s">
        <v>169</v>
      </c>
      <c r="B80" s="65"/>
      <c r="C80" s="8"/>
      <c r="D80" s="63">
        <f ca="1">SUM(D74:OFFSET(D74,0,MAX(D$73-D73,-49)))</f>
        <v>0</v>
      </c>
      <c r="E80" s="63">
        <f ca="1">SUM(E74:OFFSET(E74,0,MAX(E$73-E73,-49)))</f>
        <v>0</v>
      </c>
      <c r="F80" s="63">
        <f ca="1">SUM(F74:OFFSET(F74,0,MAX(F$73-F73,-49)))</f>
        <v>0</v>
      </c>
      <c r="G80" s="63">
        <f ca="1">SUM(G74:OFFSET(G74,0,MAX(G$73-G73,-49)))</f>
        <v>-15.531000000000001</v>
      </c>
      <c r="H80" s="63">
        <f ca="1">SUM(H74:OFFSET(H74,0,MAX(H$73-H73,-49)))</f>
        <v>-34.965525</v>
      </c>
      <c r="I80" s="63">
        <f ca="1">SUM(I74:OFFSET(I74,0,MAX(I$73-I73,-49)))</f>
        <v>-52.917555705625006</v>
      </c>
      <c r="J80" s="63">
        <f ca="1">SUM(J74:OFFSET(J74,0,MAX(J$73-J73,-49)))</f>
        <v>-228.61386615781248</v>
      </c>
      <c r="K80" s="63">
        <f ca="1">SUM(K74:OFFSET(K74,0,MAX(K$73-K73,-49)))</f>
        <v>-477.73013747178902</v>
      </c>
      <c r="L80" s="63">
        <f ca="1">SUM(L74:OFFSET(L74,0,MAX(L$73-L73,-49)))</f>
        <v>-698.86417949413101</v>
      </c>
      <c r="M80" s="63">
        <f ca="1">SUM(M74:OFFSET(M74,0,MAX(M$73-M73,-49)))</f>
        <v>-807.47951266909627</v>
      </c>
      <c r="N80" s="63">
        <f ca="1">SUM(N74:OFFSET(N74,0,MAX(N$73-N73,-49)))</f>
        <v>0</v>
      </c>
      <c r="O80" s="63">
        <f ca="1">SUM(O74:OFFSET(O74,0,MAX(O$73-O73,-49)))</f>
        <v>0</v>
      </c>
      <c r="P80" s="63">
        <f ca="1">SUM(P74:OFFSET(P74,0,MAX(P$73-P73,-49)))</f>
        <v>0</v>
      </c>
      <c r="Q80" s="63">
        <f ca="1">SUM(Q74:OFFSET(Q74,0,MAX(Q$73-Q73,-49)))</f>
        <v>0</v>
      </c>
      <c r="R80" s="63">
        <f ca="1">SUM(R74:OFFSET(R74,0,MAX(R$73-R73,-49)))</f>
        <v>0</v>
      </c>
      <c r="S80" s="63">
        <f ca="1">SUM(S74:OFFSET(S74,0,MAX(S$73-S73,-49)))</f>
        <v>0</v>
      </c>
      <c r="T80" s="63">
        <f ca="1">SUM(T74:OFFSET(T74,0,MAX(T$73-T73,-49)))</f>
        <v>0</v>
      </c>
      <c r="U80" s="63">
        <f ca="1">SUM(U74:OFFSET(U74,0,MAX(U$73-U73,-49)))</f>
        <v>0</v>
      </c>
      <c r="V80" s="63">
        <f ca="1">SUM(V74:OFFSET(V74,0,MAX(V$73-V73,-49)))</f>
        <v>0</v>
      </c>
      <c r="W80" s="63">
        <f ca="1">SUM(W74:OFFSET(W74,0,MAX(W$73-W73,-49)))</f>
        <v>0</v>
      </c>
      <c r="X80" s="63">
        <f ca="1">SUM(X74:OFFSET(X74,0,MAX(X$73-X73,-49)))</f>
        <v>0</v>
      </c>
      <c r="Y80" s="63">
        <f ca="1">SUM(Y74:OFFSET(Y74,0,MAX(Y$73-Y73,-49)))</f>
        <v>0</v>
      </c>
      <c r="Z80" s="63">
        <f ca="1">SUM(Z74:OFFSET(Z74,0,MAX(Z$73-Z73,-49)))</f>
        <v>0</v>
      </c>
      <c r="AA80" s="63">
        <f ca="1">SUM(AA74:OFFSET(AA74,0,MAX(AA$73-AA73,-49)))</f>
        <v>0</v>
      </c>
      <c r="AB80" s="63">
        <f ca="1">SUM(AB74:OFFSET(AB74,0,MAX(AB$73-AB73,-49)))</f>
        <v>0</v>
      </c>
      <c r="AC80" s="63">
        <f ca="1">SUM(AC74:OFFSET(AC74,0,MAX(AC$73-AC73,-49)))</f>
        <v>0</v>
      </c>
      <c r="AD80" s="63">
        <f ca="1">SUM(AD74:OFFSET(AD74,0,MAX(AD$73-AD73,-49)))</f>
        <v>0</v>
      </c>
      <c r="AE80" s="63">
        <f ca="1">SUM(AE74:OFFSET(AE74,0,MAX(AE$73-AE73,-49)))</f>
        <v>0</v>
      </c>
      <c r="AF80" s="63">
        <f ca="1">SUM(AF74:OFFSET(AF74,0,MAX(AF$73-AF73,-49)))</f>
        <v>0</v>
      </c>
      <c r="AG80" s="63">
        <f ca="1">SUM(AG74:OFFSET(AG74,0,MAX(AG$73-AG73,-49)))</f>
        <v>0</v>
      </c>
      <c r="AH80" s="63">
        <f ca="1">SUM(AH74:OFFSET(AH74,0,MAX(AH$73-AH73,-49)))</f>
        <v>0</v>
      </c>
      <c r="AI80" s="63">
        <f ca="1">SUM(AI74:OFFSET(AI74,0,MAX(AI$73-AI73,-49)))</f>
        <v>-7</v>
      </c>
      <c r="AJ80" s="63">
        <f ca="1">SUM(AJ74:OFFSET(AJ74,0,MAX(AJ$73-AJ73,-49)))</f>
        <v>-8</v>
      </c>
    </row>
    <row r="81" spans="1:36" ht="15.6" outlineLevel="1" x14ac:dyDescent="0.3">
      <c r="A81" s="8" t="s">
        <v>170</v>
      </c>
      <c r="B81" s="65">
        <f t="shared" ca="1" si="88"/>
        <v>7796.2916270465257</v>
      </c>
      <c r="C81" s="8" t="s">
        <v>0</v>
      </c>
      <c r="D81" s="63">
        <f>MAX(0,D79)</f>
        <v>0</v>
      </c>
      <c r="E81" s="63">
        <f t="shared" ref="E81:AB81" ca="1" si="91">MAX(0,E79)</f>
        <v>0</v>
      </c>
      <c r="F81" s="63">
        <f t="shared" ca="1" si="91"/>
        <v>0</v>
      </c>
      <c r="G81" s="63">
        <f t="shared" ca="1" si="91"/>
        <v>0</v>
      </c>
      <c r="H81" s="63">
        <f t="shared" ca="1" si="91"/>
        <v>0</v>
      </c>
      <c r="I81" s="63">
        <f t="shared" ca="1" si="91"/>
        <v>0</v>
      </c>
      <c r="J81" s="63">
        <f t="shared" ca="1" si="91"/>
        <v>0</v>
      </c>
      <c r="K81" s="63">
        <f t="shared" ca="1" si="91"/>
        <v>0</v>
      </c>
      <c r="L81" s="63">
        <f t="shared" ca="1" si="91"/>
        <v>0</v>
      </c>
      <c r="M81" s="63">
        <f t="shared" ca="1" si="91"/>
        <v>0</v>
      </c>
      <c r="N81" s="63">
        <f t="shared" ca="1" si="91"/>
        <v>0</v>
      </c>
      <c r="O81" s="63">
        <f t="shared" ca="1" si="91"/>
        <v>939.93834567423755</v>
      </c>
      <c r="P81" s="63">
        <f t="shared" ca="1" si="91"/>
        <v>1069.2433776091555</v>
      </c>
      <c r="Q81" s="63">
        <f t="shared" ca="1" si="91"/>
        <v>1045.6253369444262</v>
      </c>
      <c r="R81" s="63">
        <f t="shared" ca="1" si="91"/>
        <v>660.47401139796807</v>
      </c>
      <c r="S81" s="63">
        <f t="shared" ca="1" si="91"/>
        <v>601.50800072686195</v>
      </c>
      <c r="T81" s="63">
        <f t="shared" ca="1" si="91"/>
        <v>548.63848366229399</v>
      </c>
      <c r="U81" s="63">
        <f t="shared" ca="1" si="91"/>
        <v>499.74171338459394</v>
      </c>
      <c r="V81" s="63">
        <f t="shared" ca="1" si="91"/>
        <v>455.95127143428346</v>
      </c>
      <c r="W81" s="63">
        <f t="shared" ca="1" si="91"/>
        <v>405.56582614682583</v>
      </c>
      <c r="X81" s="63">
        <f t="shared" ca="1" si="91"/>
        <v>284.25847264675161</v>
      </c>
      <c r="Y81" s="63">
        <f t="shared" ca="1" si="91"/>
        <v>223.4586766616878</v>
      </c>
      <c r="Z81" s="63">
        <f t="shared" ca="1" si="91"/>
        <v>184.05428732695825</v>
      </c>
      <c r="AA81" s="63">
        <f t="shared" ca="1" si="91"/>
        <v>162.05850737787449</v>
      </c>
      <c r="AB81" s="63">
        <f t="shared" ca="1" si="91"/>
        <v>141.46991084389913</v>
      </c>
      <c r="AC81" s="63">
        <f t="shared" ref="AC81:AJ81" ca="1" si="92">MAX(0,AC79)</f>
        <v>117.96020077534816</v>
      </c>
      <c r="AD81" s="63">
        <f t="shared" ca="1" si="92"/>
        <v>107.43204501932757</v>
      </c>
      <c r="AE81" s="63">
        <f t="shared" ca="1" si="92"/>
        <v>98.551031813145528</v>
      </c>
      <c r="AF81" s="63">
        <f t="shared" ca="1" si="92"/>
        <v>90.2652112389123</v>
      </c>
      <c r="AG81" s="63">
        <f t="shared" ca="1" si="92"/>
        <v>83.117603564089549</v>
      </c>
      <c r="AH81" s="63">
        <f t="shared" ca="1" si="92"/>
        <v>76.979312797886166</v>
      </c>
      <c r="AI81" s="63">
        <f t="shared" ca="1" si="92"/>
        <v>0</v>
      </c>
      <c r="AJ81" s="63">
        <f t="shared" ca="1" si="92"/>
        <v>0</v>
      </c>
    </row>
    <row r="82" spans="1:36" ht="15.6" outlineLevel="1" x14ac:dyDescent="0.3">
      <c r="A82" s="8" t="s">
        <v>171</v>
      </c>
      <c r="B82" s="65">
        <f t="shared" ca="1" si="88"/>
        <v>9745.3645338081569</v>
      </c>
      <c r="C82" s="8" t="s">
        <v>0</v>
      </c>
      <c r="D82" s="63">
        <f>D81/(1-Intro!$G$21)</f>
        <v>0</v>
      </c>
      <c r="E82" s="63">
        <f ca="1">E81/(1-Intro!$G$21)</f>
        <v>0</v>
      </c>
      <c r="F82" s="63">
        <f ca="1">F81/(1-Intro!$G$21)</f>
        <v>0</v>
      </c>
      <c r="G82" s="63">
        <f ca="1">G81/(1-Intro!$G$21)</f>
        <v>0</v>
      </c>
      <c r="H82" s="63">
        <f ca="1">H81/(1-Intro!$G$21)</f>
        <v>0</v>
      </c>
      <c r="I82" s="63">
        <f ca="1">I81/(1-Intro!$G$21)</f>
        <v>0</v>
      </c>
      <c r="J82" s="63">
        <f ca="1">J81/(1-Intro!$G$21)</f>
        <v>0</v>
      </c>
      <c r="K82" s="63">
        <f ca="1">K81/(1-Intro!$G$21)</f>
        <v>0</v>
      </c>
      <c r="L82" s="63">
        <f ca="1">L81/(1-Intro!$G$21)</f>
        <v>0</v>
      </c>
      <c r="M82" s="63">
        <f ca="1">M81/(1-Intro!$G$21)</f>
        <v>0</v>
      </c>
      <c r="N82" s="63">
        <f ca="1">N81/(1-Intro!$G$21)</f>
        <v>0</v>
      </c>
      <c r="O82" s="63">
        <f ca="1">O81/(1-Intro!$G$21)</f>
        <v>1174.9229320927968</v>
      </c>
      <c r="P82" s="63">
        <f ca="1">P81/(1-Intro!$G$21)</f>
        <v>1336.5542220114442</v>
      </c>
      <c r="Q82" s="63">
        <f ca="1">Q81/(1-Intro!$G$21)</f>
        <v>1307.0316711805326</v>
      </c>
      <c r="R82" s="63">
        <f ca="1">R81/(1-Intro!$G$21)</f>
        <v>825.59251424746003</v>
      </c>
      <c r="S82" s="63">
        <f ca="1">S81/(1-Intro!$G$21)</f>
        <v>751.88500090857735</v>
      </c>
      <c r="T82" s="63">
        <f ca="1">T81/(1-Intro!$G$21)</f>
        <v>685.79810457786743</v>
      </c>
      <c r="U82" s="63">
        <f ca="1">U81/(1-Intro!$G$21)</f>
        <v>624.67714173074239</v>
      </c>
      <c r="V82" s="63">
        <f ca="1">V81/(1-Intro!$G$21)</f>
        <v>569.93908929285431</v>
      </c>
      <c r="W82" s="63">
        <f ca="1">W81/(1-Intro!$G$21)</f>
        <v>506.95728268353224</v>
      </c>
      <c r="X82" s="63">
        <f ca="1">X81/(1-Intro!$G$21)</f>
        <v>355.32309080843947</v>
      </c>
      <c r="Y82" s="63">
        <f ca="1">Y81/(1-Intro!$G$21)</f>
        <v>279.32334582710973</v>
      </c>
      <c r="Z82" s="63">
        <f ca="1">Z81/(1-Intro!$G$21)</f>
        <v>230.06785915869779</v>
      </c>
      <c r="AA82" s="63">
        <f ca="1">AA81/(1-Intro!$G$21)</f>
        <v>202.5731342223431</v>
      </c>
      <c r="AB82" s="63">
        <f ca="1">AB81/(1-Intro!$G$21)</f>
        <v>176.83738855487391</v>
      </c>
      <c r="AC82" s="63">
        <f ca="1">AC81/(1-Intro!$G$21)</f>
        <v>147.45025096918519</v>
      </c>
      <c r="AD82" s="63">
        <f ca="1">AD81/(1-Intro!$G$21)</f>
        <v>134.29005627415947</v>
      </c>
      <c r="AE82" s="63">
        <f ca="1">AE81/(1-Intro!$G$21)</f>
        <v>123.18878976643191</v>
      </c>
      <c r="AF82" s="63">
        <f ca="1">AF81/(1-Intro!$G$21)</f>
        <v>112.83151404864037</v>
      </c>
      <c r="AG82" s="63">
        <f ca="1">AG81/(1-Intro!$G$21)</f>
        <v>103.89700445511193</v>
      </c>
      <c r="AH82" s="63">
        <f ca="1">AH81/(1-Intro!$G$21)</f>
        <v>96.224140997357708</v>
      </c>
      <c r="AI82" s="63">
        <f ca="1">AI81/(1-Intro!$G$21)</f>
        <v>0</v>
      </c>
      <c r="AJ82" s="63">
        <f ca="1">AJ81/(1-Intro!$G$21)</f>
        <v>0</v>
      </c>
    </row>
    <row r="83" spans="1:36" ht="15.6" outlineLevel="1" x14ac:dyDescent="0.3">
      <c r="A83" s="8" t="s">
        <v>172</v>
      </c>
      <c r="B83" s="65">
        <f t="shared" ca="1" si="88"/>
        <v>1949.072906761631</v>
      </c>
      <c r="C83" s="8" t="s">
        <v>0</v>
      </c>
      <c r="D83" s="63">
        <f>D82-D81</f>
        <v>0</v>
      </c>
      <c r="E83" s="63">
        <f t="shared" ref="E83:AB83" ca="1" si="93">E82-E81</f>
        <v>0</v>
      </c>
      <c r="F83" s="63">
        <f t="shared" ca="1" si="93"/>
        <v>0</v>
      </c>
      <c r="G83" s="63">
        <f t="shared" ca="1" si="93"/>
        <v>0</v>
      </c>
      <c r="H83" s="63">
        <f t="shared" ca="1" si="93"/>
        <v>0</v>
      </c>
      <c r="I83" s="63">
        <f t="shared" ca="1" si="93"/>
        <v>0</v>
      </c>
      <c r="J83" s="63">
        <f t="shared" ca="1" si="93"/>
        <v>0</v>
      </c>
      <c r="K83" s="63">
        <f t="shared" ca="1" si="93"/>
        <v>0</v>
      </c>
      <c r="L83" s="63">
        <f t="shared" ca="1" si="93"/>
        <v>0</v>
      </c>
      <c r="M83" s="63">
        <f t="shared" ca="1" si="93"/>
        <v>0</v>
      </c>
      <c r="N83" s="63">
        <f t="shared" ca="1" si="93"/>
        <v>0</v>
      </c>
      <c r="O83" s="63">
        <f t="shared" ca="1" si="93"/>
        <v>234.98458641855927</v>
      </c>
      <c r="P83" s="63">
        <f t="shared" ca="1" si="93"/>
        <v>267.31084440228869</v>
      </c>
      <c r="Q83" s="63">
        <f t="shared" ca="1" si="93"/>
        <v>261.40633423610643</v>
      </c>
      <c r="R83" s="63">
        <f t="shared" ca="1" si="93"/>
        <v>165.11850284949196</v>
      </c>
      <c r="S83" s="63">
        <f t="shared" ca="1" si="93"/>
        <v>150.3770001817154</v>
      </c>
      <c r="T83" s="63">
        <f t="shared" ca="1" si="93"/>
        <v>137.15962091557344</v>
      </c>
      <c r="U83" s="63">
        <f t="shared" ca="1" si="93"/>
        <v>124.93542834614846</v>
      </c>
      <c r="V83" s="63">
        <f t="shared" ca="1" si="93"/>
        <v>113.98781785857085</v>
      </c>
      <c r="W83" s="63">
        <f t="shared" ca="1" si="93"/>
        <v>101.39145653670641</v>
      </c>
      <c r="X83" s="63">
        <f t="shared" ca="1" si="93"/>
        <v>71.064618161687861</v>
      </c>
      <c r="Y83" s="63">
        <f t="shared" ca="1" si="93"/>
        <v>55.86466916542193</v>
      </c>
      <c r="Z83" s="63">
        <f t="shared" ca="1" si="93"/>
        <v>46.01357183173954</v>
      </c>
      <c r="AA83" s="63">
        <f t="shared" ca="1" si="93"/>
        <v>40.514626844468609</v>
      </c>
      <c r="AB83" s="63">
        <f t="shared" ca="1" si="93"/>
        <v>35.367477710974782</v>
      </c>
      <c r="AC83" s="63">
        <f t="shared" ref="AC83:AJ83" ca="1" si="94">AC82-AC81</f>
        <v>29.490050193837035</v>
      </c>
      <c r="AD83" s="63">
        <f t="shared" ca="1" si="94"/>
        <v>26.858011254831894</v>
      </c>
      <c r="AE83" s="63">
        <f t="shared" ca="1" si="94"/>
        <v>24.637757953286382</v>
      </c>
      <c r="AF83" s="63">
        <f t="shared" ca="1" si="94"/>
        <v>22.566302809728072</v>
      </c>
      <c r="AG83" s="63">
        <f t="shared" ca="1" si="94"/>
        <v>20.779400891022377</v>
      </c>
      <c r="AH83" s="63">
        <f t="shared" ca="1" si="94"/>
        <v>19.244828199471542</v>
      </c>
      <c r="AI83" s="63">
        <f t="shared" ca="1" si="94"/>
        <v>0</v>
      </c>
      <c r="AJ83" s="63">
        <f t="shared" ca="1" si="94"/>
        <v>0</v>
      </c>
    </row>
    <row r="84" spans="1:36" ht="15.6" outlineLevel="1" x14ac:dyDescent="0.3">
      <c r="A84" s="8" t="s">
        <v>173</v>
      </c>
      <c r="B84" s="65">
        <f t="shared" ca="1" si="88"/>
        <v>1949.0729067616314</v>
      </c>
      <c r="C84" s="8" t="s">
        <v>0</v>
      </c>
      <c r="D84" s="63">
        <f>D82*Intro!$G$21</f>
        <v>0</v>
      </c>
      <c r="E84" s="63">
        <f ca="1">E82*Intro!$G$21</f>
        <v>0</v>
      </c>
      <c r="F84" s="63">
        <f ca="1">F82*Intro!$G$21</f>
        <v>0</v>
      </c>
      <c r="G84" s="63">
        <f ca="1">G82*Intro!$G$21</f>
        <v>0</v>
      </c>
      <c r="H84" s="63">
        <f ca="1">H82*Intro!$G$21</f>
        <v>0</v>
      </c>
      <c r="I84" s="63">
        <f ca="1">I82*Intro!$G$21</f>
        <v>0</v>
      </c>
      <c r="J84" s="63">
        <f ca="1">J82*Intro!$G$21</f>
        <v>0</v>
      </c>
      <c r="K84" s="63">
        <f ca="1">K82*Intro!$G$21</f>
        <v>0</v>
      </c>
      <c r="L84" s="63">
        <f ca="1">L82*Intro!$G$21</f>
        <v>0</v>
      </c>
      <c r="M84" s="63">
        <f ca="1">M82*Intro!$G$21</f>
        <v>0</v>
      </c>
      <c r="N84" s="63">
        <f ca="1">N82*Intro!$G$21</f>
        <v>0</v>
      </c>
      <c r="O84" s="63">
        <f ca="1">O82*Intro!$G$21</f>
        <v>234.98458641855939</v>
      </c>
      <c r="P84" s="63">
        <f ca="1">P82*Intro!$G$21</f>
        <v>267.31084440228886</v>
      </c>
      <c r="Q84" s="63">
        <f ca="1">Q82*Intro!$G$21</f>
        <v>261.40633423610655</v>
      </c>
      <c r="R84" s="63">
        <f ca="1">R82*Intro!$G$21</f>
        <v>165.11850284949202</v>
      </c>
      <c r="S84" s="63">
        <f ca="1">S82*Intro!$G$21</f>
        <v>150.37700018171549</v>
      </c>
      <c r="T84" s="63">
        <f ca="1">T82*Intro!$G$21</f>
        <v>137.1596209155735</v>
      </c>
      <c r="U84" s="63">
        <f ca="1">U82*Intro!$G$21</f>
        <v>124.93542834614848</v>
      </c>
      <c r="V84" s="63">
        <f ca="1">V82*Intro!$G$21</f>
        <v>113.98781785857086</v>
      </c>
      <c r="W84" s="63">
        <f ca="1">W82*Intro!$G$21</f>
        <v>101.39145653670646</v>
      </c>
      <c r="X84" s="63">
        <f ca="1">X82*Intro!$G$21</f>
        <v>71.064618161687903</v>
      </c>
      <c r="Y84" s="63">
        <f ca="1">Y82*Intro!$G$21</f>
        <v>55.864669165421951</v>
      </c>
      <c r="Z84" s="63">
        <f ca="1">Z82*Intro!$G$21</f>
        <v>46.013571831739561</v>
      </c>
      <c r="AA84" s="63">
        <f ca="1">AA82*Intro!$G$21</f>
        <v>40.514626844468623</v>
      </c>
      <c r="AB84" s="63">
        <f ca="1">AB82*Intro!$G$21</f>
        <v>35.367477710974782</v>
      </c>
      <c r="AC84" s="63">
        <f ca="1">AC82*Intro!$G$21</f>
        <v>29.490050193837039</v>
      </c>
      <c r="AD84" s="63">
        <f ca="1">AD82*Intro!$G$21</f>
        <v>26.858011254831894</v>
      </c>
      <c r="AE84" s="63">
        <f ca="1">AE82*Intro!$G$21</f>
        <v>24.637757953286382</v>
      </c>
      <c r="AF84" s="63">
        <f ca="1">AF82*Intro!$G$21</f>
        <v>22.566302809728075</v>
      </c>
      <c r="AG84" s="63">
        <f ca="1">AG82*Intro!$G$21</f>
        <v>20.779400891022387</v>
      </c>
      <c r="AH84" s="63">
        <f ca="1">AH82*Intro!$G$21</f>
        <v>19.244828199471542</v>
      </c>
      <c r="AI84" s="63">
        <f ca="1">AI82*Intro!$G$21</f>
        <v>0</v>
      </c>
      <c r="AJ84" s="63">
        <f ca="1">AJ82*Intro!$G$21</f>
        <v>0</v>
      </c>
    </row>
    <row r="85" spans="1:36" ht="15.6" x14ac:dyDescent="0.3">
      <c r="A85" s="8"/>
      <c r="B85" s="65"/>
      <c r="C85" s="8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D9C3-6F07-4161-8245-1865BF42E4F0}">
  <sheetPr>
    <tabColor theme="0" tint="-0.14999847407452621"/>
  </sheetPr>
  <dimension ref="A2:AK63"/>
  <sheetViews>
    <sheetView showGridLines="0" tabSelected="1" topLeftCell="C14" workbookViewId="0">
      <selection activeCell="N28" sqref="N28"/>
    </sheetView>
  </sheetViews>
  <sheetFormatPr defaultColWidth="0" defaultRowHeight="14.4" outlineLevelRow="1" x14ac:dyDescent="0.3"/>
  <cols>
    <col min="1" max="1" width="41" bestFit="1" customWidth="1"/>
    <col min="2" max="2" width="13.5546875" bestFit="1" customWidth="1"/>
    <col min="3" max="3" width="12.5546875" bestFit="1" customWidth="1"/>
    <col min="4" max="7" width="9.21875" customWidth="1"/>
    <col min="8" max="14" width="10.21875" bestFit="1" customWidth="1"/>
    <col min="15" max="22" width="9.5546875" bestFit="1" customWidth="1"/>
    <col min="23" max="28" width="10.5546875" bestFit="1" customWidth="1"/>
    <col min="29" max="33" width="10.5546875" customWidth="1"/>
    <col min="34" max="36" width="10.5546875" bestFit="1" customWidth="1"/>
    <col min="37" max="37" width="9.21875" customWidth="1"/>
    <col min="38" max="16384" width="9.21875" hidden="1"/>
  </cols>
  <sheetData>
    <row r="2" spans="1:36" ht="21" x14ac:dyDescent="0.3">
      <c r="A2" s="12" t="s">
        <v>174</v>
      </c>
      <c r="B2" s="41"/>
      <c r="C2" s="72"/>
    </row>
    <row r="3" spans="1:36" ht="15" customHeight="1" outlineLevel="1" x14ac:dyDescent="0.3">
      <c r="A3" s="14"/>
      <c r="B3" s="15" t="s">
        <v>3</v>
      </c>
      <c r="C3" s="15" t="s">
        <v>4</v>
      </c>
      <c r="D3" s="15">
        <v>2022</v>
      </c>
      <c r="E3" s="15">
        <f>D3+1</f>
        <v>2023</v>
      </c>
      <c r="F3" s="15">
        <f t="shared" ref="F3:AB3" si="0">E3+1</f>
        <v>2024</v>
      </c>
      <c r="G3" s="15">
        <f t="shared" si="0"/>
        <v>2025</v>
      </c>
      <c r="H3" s="15">
        <f t="shared" si="0"/>
        <v>2026</v>
      </c>
      <c r="I3" s="15">
        <f t="shared" si="0"/>
        <v>2027</v>
      </c>
      <c r="J3" s="15">
        <f t="shared" si="0"/>
        <v>2028</v>
      </c>
      <c r="K3" s="15">
        <f t="shared" si="0"/>
        <v>2029</v>
      </c>
      <c r="L3" s="15">
        <f t="shared" si="0"/>
        <v>2030</v>
      </c>
      <c r="M3" s="15">
        <f t="shared" si="0"/>
        <v>2031</v>
      </c>
      <c r="N3" s="15">
        <f t="shared" si="0"/>
        <v>2032</v>
      </c>
      <c r="O3" s="15">
        <f t="shared" si="0"/>
        <v>2033</v>
      </c>
      <c r="P3" s="15">
        <f t="shared" si="0"/>
        <v>2034</v>
      </c>
      <c r="Q3" s="15">
        <f t="shared" si="0"/>
        <v>2035</v>
      </c>
      <c r="R3" s="15">
        <f t="shared" si="0"/>
        <v>2036</v>
      </c>
      <c r="S3" s="15">
        <f t="shared" si="0"/>
        <v>2037</v>
      </c>
      <c r="T3" s="15">
        <f t="shared" si="0"/>
        <v>2038</v>
      </c>
      <c r="U3" s="15">
        <f t="shared" si="0"/>
        <v>2039</v>
      </c>
      <c r="V3" s="15">
        <f t="shared" si="0"/>
        <v>2040</v>
      </c>
      <c r="W3" s="15">
        <f t="shared" si="0"/>
        <v>2041</v>
      </c>
      <c r="X3" s="15">
        <f t="shared" si="0"/>
        <v>2042</v>
      </c>
      <c r="Y3" s="15">
        <f t="shared" si="0"/>
        <v>2043</v>
      </c>
      <c r="Z3" s="15">
        <f t="shared" si="0"/>
        <v>2044</v>
      </c>
      <c r="AA3" s="15">
        <f t="shared" si="0"/>
        <v>2045</v>
      </c>
      <c r="AB3" s="15">
        <f t="shared" si="0"/>
        <v>2046</v>
      </c>
      <c r="AC3" s="15">
        <f t="shared" ref="AC3:AJ3" si="1">AB3+1</f>
        <v>2047</v>
      </c>
      <c r="AD3" s="15">
        <f t="shared" si="1"/>
        <v>2048</v>
      </c>
      <c r="AE3" s="15">
        <f t="shared" si="1"/>
        <v>2049</v>
      </c>
      <c r="AF3" s="15">
        <f t="shared" si="1"/>
        <v>2050</v>
      </c>
      <c r="AG3" s="15">
        <f t="shared" si="1"/>
        <v>2051</v>
      </c>
      <c r="AH3" s="15">
        <f t="shared" si="1"/>
        <v>2052</v>
      </c>
      <c r="AI3" s="15">
        <f t="shared" si="1"/>
        <v>2053</v>
      </c>
      <c r="AJ3" s="15">
        <f t="shared" si="1"/>
        <v>2054</v>
      </c>
    </row>
    <row r="4" spans="1:36" ht="15.6" outlineLevel="1" x14ac:dyDescent="0.3">
      <c r="A4" s="8" t="s">
        <v>225</v>
      </c>
      <c r="B4" s="64">
        <f>SUM(D4:AJ4)</f>
        <v>0</v>
      </c>
      <c r="C4" s="73" t="s">
        <v>0</v>
      </c>
      <c r="D4" s="77">
        <v>0</v>
      </c>
      <c r="E4" s="77">
        <v>0</v>
      </c>
      <c r="F4" s="77">
        <v>0</v>
      </c>
      <c r="G4" s="77">
        <v>0</v>
      </c>
      <c r="H4" s="77">
        <v>0</v>
      </c>
      <c r="I4" s="77">
        <v>0</v>
      </c>
      <c r="J4" s="77">
        <v>0</v>
      </c>
      <c r="K4" s="77">
        <v>0</v>
      </c>
      <c r="L4" s="77">
        <v>0</v>
      </c>
      <c r="M4" s="77">
        <v>0</v>
      </c>
      <c r="N4" s="77">
        <v>0</v>
      </c>
      <c r="O4" s="77">
        <v>0</v>
      </c>
      <c r="P4" s="77">
        <v>0</v>
      </c>
      <c r="Q4" s="77">
        <v>0</v>
      </c>
      <c r="R4" s="77">
        <v>0</v>
      </c>
      <c r="S4" s="77">
        <v>0</v>
      </c>
      <c r="T4" s="77">
        <v>0</v>
      </c>
      <c r="U4" s="77">
        <v>0</v>
      </c>
      <c r="V4" s="77">
        <v>0</v>
      </c>
      <c r="W4" s="77">
        <v>0</v>
      </c>
      <c r="X4" s="77">
        <v>0</v>
      </c>
      <c r="Y4" s="77">
        <v>0</v>
      </c>
      <c r="Z4" s="77">
        <v>0</v>
      </c>
      <c r="AA4" s="77">
        <v>0</v>
      </c>
      <c r="AB4" s="77">
        <v>0</v>
      </c>
      <c r="AC4" s="77"/>
      <c r="AD4" s="77"/>
      <c r="AE4" s="77"/>
      <c r="AF4" s="77"/>
      <c r="AG4" s="77"/>
      <c r="AH4" s="77"/>
      <c r="AI4" s="77"/>
      <c r="AJ4" s="77"/>
    </row>
    <row r="5" spans="1:36" ht="15.6" outlineLevel="1" x14ac:dyDescent="0.3">
      <c r="A5" s="8" t="s">
        <v>175</v>
      </c>
      <c r="B5" s="64">
        <f>SUM(D5:AJ5)</f>
        <v>15824.941331401136</v>
      </c>
      <c r="C5" s="73" t="s">
        <v>0</v>
      </c>
      <c r="D5" s="77">
        <f>'Model Inputs'!E88</f>
        <v>0</v>
      </c>
      <c r="E5" s="77">
        <f>'Model Inputs'!F88</f>
        <v>0</v>
      </c>
      <c r="F5" s="77">
        <f>'Model Inputs'!G88</f>
        <v>0</v>
      </c>
      <c r="G5" s="77">
        <f>'Model Inputs'!H88</f>
        <v>-19.581</v>
      </c>
      <c r="H5" s="77">
        <f>'Model Inputs'!I88</f>
        <v>-20.066774999999996</v>
      </c>
      <c r="I5" s="77">
        <f>'Model Inputs'!J88</f>
        <v>-223.71297001812499</v>
      </c>
      <c r="J5" s="77">
        <f>'Model Inputs'!K88</f>
        <v>-474.24536840781246</v>
      </c>
      <c r="K5" s="77">
        <f>'Model Inputs'!L88</f>
        <v>-676.38194343975749</v>
      </c>
      <c r="L5" s="77">
        <f>'Model Inputs'!M88</f>
        <v>-728.25554330941452</v>
      </c>
      <c r="M5" s="77">
        <f>'Model Inputs'!N88</f>
        <v>-170.02941721975088</v>
      </c>
      <c r="N5" s="77">
        <f>'Model Inputs'!O88</f>
        <v>363.31889604030107</v>
      </c>
      <c r="O5" s="77">
        <f>'Model Inputs'!P88</f>
        <v>1038.1619049184455</v>
      </c>
      <c r="P5" s="77">
        <f>'Model Inputs'!Q88</f>
        <v>1192.1438975448541</v>
      </c>
      <c r="Q5" s="77">
        <f>'Model Inputs'!R88</f>
        <v>1221.9474949834755</v>
      </c>
      <c r="R5" s="77">
        <f>'Model Inputs'!S88</f>
        <v>1255.9276787480842</v>
      </c>
      <c r="S5" s="77">
        <f>'Model Inputs'!T88</f>
        <v>1283.8085869170138</v>
      </c>
      <c r="T5" s="77">
        <f>'Model Inputs'!U88</f>
        <v>1315.9038015899389</v>
      </c>
      <c r="U5" s="77">
        <f>'Model Inputs'!V88</f>
        <v>1348.8013966296871</v>
      </c>
      <c r="V5" s="77">
        <f>'Model Inputs'!W88</f>
        <v>1386.3091614948689</v>
      </c>
      <c r="W5" s="77">
        <f>'Model Inputs'!X88</f>
        <v>1390.704239671416</v>
      </c>
      <c r="X5" s="77">
        <f>'Model Inputs'!Y88</f>
        <v>1088.1680381219248</v>
      </c>
      <c r="Y5" s="77">
        <f>'Model Inputs'!Z88</f>
        <v>897.77539837088079</v>
      </c>
      <c r="Z5" s="77">
        <f>'Model Inputs'!AA88</f>
        <v>739.6135008615488</v>
      </c>
      <c r="AA5" s="77">
        <f>'Model Inputs'!AB88</f>
        <v>651.3536107576524</v>
      </c>
      <c r="AB5" s="77">
        <f>'Model Inputs'!AC88</f>
        <v>568.71268845179384</v>
      </c>
      <c r="AC5" s="77">
        <f>'Model Inputs'!AD88</f>
        <v>478.31300111308201</v>
      </c>
      <c r="AD5" s="77">
        <f>'Model Inputs'!AE88</f>
        <v>440.08295064864728</v>
      </c>
      <c r="AE5" s="77">
        <f>'Model Inputs'!AF88</f>
        <v>408.46216170500202</v>
      </c>
      <c r="AF5" s="77">
        <f>'Model Inputs'!AG88</f>
        <v>379.2227528368154</v>
      </c>
      <c r="AG5" s="77">
        <f>'Model Inputs'!AH88</f>
        <v>354.55132502926506</v>
      </c>
      <c r="AH5" s="77">
        <f>'Model Inputs'!AI88</f>
        <v>333.93186236130072</v>
      </c>
      <c r="AI5" s="77">
        <f>'Model Inputs'!AJ88</f>
        <v>0</v>
      </c>
      <c r="AJ5" s="77">
        <f>'Model Inputs'!AK88</f>
        <v>0</v>
      </c>
    </row>
    <row r="6" spans="1:36" ht="15.6" outlineLevel="1" x14ac:dyDescent="0.3">
      <c r="A6" s="8" t="s">
        <v>176</v>
      </c>
      <c r="B6" s="64">
        <f>AJ6</f>
        <v>15824.941331401136</v>
      </c>
      <c r="C6" s="73" t="s">
        <v>0</v>
      </c>
      <c r="D6" s="77">
        <f>D5</f>
        <v>0</v>
      </c>
      <c r="E6" s="77">
        <f>E5+D6</f>
        <v>0</v>
      </c>
      <c r="F6" s="77">
        <f t="shared" ref="F6:AB6" si="2">F5+E6</f>
        <v>0</v>
      </c>
      <c r="G6" s="77">
        <f t="shared" si="2"/>
        <v>-19.581</v>
      </c>
      <c r="H6" s="77">
        <f t="shared" si="2"/>
        <v>-39.647774999999996</v>
      </c>
      <c r="I6" s="77">
        <f t="shared" si="2"/>
        <v>-263.36074501812499</v>
      </c>
      <c r="J6" s="77">
        <f t="shared" si="2"/>
        <v>-737.60611342593745</v>
      </c>
      <c r="K6" s="77">
        <f t="shared" si="2"/>
        <v>-1413.9880568656949</v>
      </c>
      <c r="L6" s="77">
        <f t="shared" si="2"/>
        <v>-2142.2436001751093</v>
      </c>
      <c r="M6" s="77">
        <f t="shared" si="2"/>
        <v>-2312.2730173948603</v>
      </c>
      <c r="N6" s="77">
        <f t="shared" si="2"/>
        <v>-1948.9541213545592</v>
      </c>
      <c r="O6" s="77">
        <f t="shared" si="2"/>
        <v>-910.79221643611368</v>
      </c>
      <c r="P6" s="77">
        <f t="shared" si="2"/>
        <v>281.35168110874042</v>
      </c>
      <c r="Q6" s="77">
        <f t="shared" si="2"/>
        <v>1503.2991760922159</v>
      </c>
      <c r="R6" s="77">
        <f t="shared" si="2"/>
        <v>2759.2268548402999</v>
      </c>
      <c r="S6" s="77">
        <f t="shared" si="2"/>
        <v>4043.0354417573135</v>
      </c>
      <c r="T6" s="77">
        <f t="shared" si="2"/>
        <v>5358.9392433472522</v>
      </c>
      <c r="U6" s="77">
        <f t="shared" si="2"/>
        <v>6707.7406399769388</v>
      </c>
      <c r="V6" s="77">
        <f t="shared" si="2"/>
        <v>8094.0498014718078</v>
      </c>
      <c r="W6" s="77">
        <f t="shared" si="2"/>
        <v>9484.7540411432237</v>
      </c>
      <c r="X6" s="77">
        <f t="shared" si="2"/>
        <v>10572.922079265149</v>
      </c>
      <c r="Y6" s="77">
        <f t="shared" si="2"/>
        <v>11470.697477636029</v>
      </c>
      <c r="Z6" s="77">
        <f t="shared" si="2"/>
        <v>12210.310978497579</v>
      </c>
      <c r="AA6" s="77">
        <f t="shared" si="2"/>
        <v>12861.664589255231</v>
      </c>
      <c r="AB6" s="77">
        <f t="shared" si="2"/>
        <v>13430.377277707026</v>
      </c>
      <c r="AC6" s="77">
        <f t="shared" ref="AC6:AJ6" si="3">AC5+AB6</f>
        <v>13908.690278820108</v>
      </c>
      <c r="AD6" s="77">
        <f t="shared" si="3"/>
        <v>14348.773229468756</v>
      </c>
      <c r="AE6" s="77">
        <f t="shared" si="3"/>
        <v>14757.235391173757</v>
      </c>
      <c r="AF6" s="77">
        <f t="shared" si="3"/>
        <v>15136.458144010572</v>
      </c>
      <c r="AG6" s="77">
        <f t="shared" si="3"/>
        <v>15491.009469039836</v>
      </c>
      <c r="AH6" s="77">
        <f t="shared" si="3"/>
        <v>15824.941331401136</v>
      </c>
      <c r="AI6" s="77">
        <f t="shared" si="3"/>
        <v>15824.941331401136</v>
      </c>
      <c r="AJ6" s="77">
        <f t="shared" si="3"/>
        <v>15824.941331401136</v>
      </c>
    </row>
    <row r="7" spans="1:36" ht="15.6" outlineLevel="1" x14ac:dyDescent="0.3">
      <c r="A7" s="8" t="s">
        <v>177</v>
      </c>
      <c r="B7" s="64">
        <f>SUMPRODUCT('Model Inputs'!D14:AJ14,D5:AJ5)</f>
        <v>3189.3847635020416</v>
      </c>
      <c r="C7" s="73" t="s">
        <v>0</v>
      </c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</row>
    <row r="8" spans="1:36" ht="15.6" outlineLevel="1" x14ac:dyDescent="0.3">
      <c r="A8" s="8" t="s">
        <v>178</v>
      </c>
      <c r="B8" s="78">
        <f>IRR(D5:AJ5)</f>
        <v>0.2585234686371285</v>
      </c>
      <c r="C8" s="73" t="s">
        <v>146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</row>
    <row r="9" spans="1:36" ht="15.6" outlineLevel="1" x14ac:dyDescent="0.3">
      <c r="A9" s="8" t="s">
        <v>179</v>
      </c>
      <c r="B9" s="78">
        <f>AJ9</f>
        <v>0.2585234686371285</v>
      </c>
      <c r="C9" s="73" t="s">
        <v>146</v>
      </c>
      <c r="D9" s="80" t="e">
        <f>IRR(D5)</f>
        <v>#NUM!</v>
      </c>
      <c r="E9" s="81" t="e">
        <f>IRR($D$5:E5)</f>
        <v>#NUM!</v>
      </c>
      <c r="F9" s="81" t="e">
        <f>IRR($D$5:F5)</f>
        <v>#NUM!</v>
      </c>
      <c r="G9" s="81" t="e">
        <f>IRR($D$5:G5)</f>
        <v>#NUM!</v>
      </c>
      <c r="H9" s="81" t="e">
        <f>IRR($D$5:H5)</f>
        <v>#NUM!</v>
      </c>
      <c r="I9" s="81" t="e">
        <f>IRR($D$5:I5)</f>
        <v>#NUM!</v>
      </c>
      <c r="J9" s="81" t="e">
        <f>IRR($D$5:J5)</f>
        <v>#NUM!</v>
      </c>
      <c r="K9" s="81" t="e">
        <f>IRR($D$5:K5)</f>
        <v>#NUM!</v>
      </c>
      <c r="L9" s="81" t="e">
        <f>IRR($D$5:L5)</f>
        <v>#NUM!</v>
      </c>
      <c r="M9" s="81" t="e">
        <f>IRR($D$5:M5)</f>
        <v>#NUM!</v>
      </c>
      <c r="N9" s="81" t="e">
        <f>IRR($D$5:N5)</f>
        <v>#NUM!</v>
      </c>
      <c r="O9" s="81">
        <f>IRR($D$5:O5)</f>
        <v>-0.12799168388015858</v>
      </c>
      <c r="P9" s="81">
        <f>IRR($D$5:P5)</f>
        <v>2.6884021927153778E-2</v>
      </c>
      <c r="Q9" s="81">
        <f>IRR($D$5:Q5)</f>
        <v>0.10811143078878804</v>
      </c>
      <c r="R9" s="81">
        <f>IRR($D$5:R5)</f>
        <v>0.15733385791096954</v>
      </c>
      <c r="S9" s="81">
        <f>IRR($D$5:S5)</f>
        <v>0.18924639600302262</v>
      </c>
      <c r="T9" s="81">
        <f>IRR($D$5:T5)</f>
        <v>0.21099222144135088</v>
      </c>
      <c r="U9" s="81">
        <f>IRR($D$5:U5)</f>
        <v>0.22630587938488267</v>
      </c>
      <c r="V9" s="81">
        <f>IRR($D$5:V5)</f>
        <v>0.23738752355840065</v>
      </c>
      <c r="W9" s="81">
        <f>IRR($D$5:W5)</f>
        <v>0.24537354463477934</v>
      </c>
      <c r="X9" s="81">
        <f>IRR($D$5:X5)</f>
        <v>0.24998133338536999</v>
      </c>
      <c r="Y9" s="81">
        <f>IRR($D$5:Y5)</f>
        <v>0.25285750769332238</v>
      </c>
      <c r="Z9" s="81">
        <f>IRR($D$5:Z5)</f>
        <v>0.25467757766225296</v>
      </c>
      <c r="AA9" s="81">
        <f>IRR($D$5:AA5)</f>
        <v>0.25592069329394262</v>
      </c>
      <c r="AB9" s="81">
        <f>IRR($D$5:AB5)</f>
        <v>0.25676765512524335</v>
      </c>
      <c r="AC9" s="81">
        <f>IRR($D$5:AC5)</f>
        <v>0.25732623006230115</v>
      </c>
      <c r="AD9" s="81">
        <f>IRR($D$5:AD5)</f>
        <v>0.25773060276815607</v>
      </c>
      <c r="AE9" s="81">
        <f>IRR($D$5:AE5)</f>
        <v>0.25802652567476492</v>
      </c>
      <c r="AF9" s="81">
        <f>IRR($D$5:AF5)</f>
        <v>0.25824349521408685</v>
      </c>
      <c r="AG9" s="81">
        <f>IRR($D$5:AG5)</f>
        <v>0.25840389633241467</v>
      </c>
      <c r="AH9" s="81">
        <f>IRR($D$5:AH5)</f>
        <v>0.2585234686371285</v>
      </c>
      <c r="AI9" s="81">
        <f>IRR($D$5:AI5)</f>
        <v>0.2585234686371285</v>
      </c>
      <c r="AJ9" s="81">
        <f>IRR($D$5:AJ5)</f>
        <v>0.2585234686371285</v>
      </c>
    </row>
    <row r="10" spans="1:36" ht="15.6" outlineLevel="1" x14ac:dyDescent="0.3">
      <c r="A10" s="8" t="s">
        <v>180</v>
      </c>
      <c r="B10" s="82">
        <f>IF(COUNTIF(D6:AJ6,"&lt;0")+Intro!$B$18&gt;2060,"No Payback",COUNTIF(D6:AJ6,"&lt;0")+Intro!$B$18)</f>
        <v>2034</v>
      </c>
      <c r="C10" s="73" t="s">
        <v>113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</row>
    <row r="11" spans="1:36" ht="15.6" outlineLevel="1" x14ac:dyDescent="0.3">
      <c r="A11" s="8" t="s">
        <v>181</v>
      </c>
      <c r="B11" s="82">
        <f>IF(COUNTIF(D11:AJ11,"&lt;0")+Intro!$B$18&gt;2060,"No Payback",COUNTIF(D11:AJ11,"&lt;0")+Intro!$B$18)</f>
        <v>2035</v>
      </c>
      <c r="C11" s="73" t="s">
        <v>113</v>
      </c>
      <c r="D11" s="77">
        <f>D5/(1+Intro!B28)^(D3-Intro!B12)</f>
        <v>0</v>
      </c>
      <c r="E11" s="77">
        <f>D11+E5/(1+Intro!$B$28)^(D3-Intro!$B$12)</f>
        <v>0</v>
      </c>
      <c r="F11" s="77">
        <f>E11+F5/(1+Intro!$B$28)^(E3-Intro!$B$12)</f>
        <v>0</v>
      </c>
      <c r="G11" s="77">
        <f>F11+G5/(1+Intro!$B$28)^(F3-Intro!$B$12)</f>
        <v>-21.539100000000001</v>
      </c>
      <c r="H11" s="77">
        <f>G11+H5/(1+Intro!$B$28)^(G3-Intro!$B$12)</f>
        <v>-41.605874999999997</v>
      </c>
      <c r="I11" s="77">
        <f>H11+I5/(1+Intro!$B$28)^(H3-Intro!$B$12)</f>
        <v>-244.98130228920451</v>
      </c>
      <c r="J11" s="77">
        <f>I11+J5/(1+Intro!$B$28)^(I3-Intro!$B$12)</f>
        <v>-636.91962328739658</v>
      </c>
      <c r="K11" s="77">
        <f>J11+K5/(1+Intro!$B$28)^(J3-Intro!$B$12)</f>
        <v>-1145.09538845626</v>
      </c>
      <c r="L11" s="77">
        <f>K11+L5/(1+Intro!$B$28)^(K3-Intro!$B$12)</f>
        <v>-1642.5037234807901</v>
      </c>
      <c r="M11" s="77">
        <f>L11+M5/(1+Intro!$B$28)^(L3-Intro!$B$12)</f>
        <v>-1748.0786141798549</v>
      </c>
      <c r="N11" s="77">
        <f>M11+N5/(1+Intro!$B$28)^(M3-Intro!$B$12)</f>
        <v>-1542.9945690691864</v>
      </c>
      <c r="O11" s="77">
        <f>N11+O5/(1+Intro!$B$28)^(N3-Intro!$B$12)</f>
        <v>-1010.2533595224313</v>
      </c>
      <c r="P11" s="77">
        <f>O11+P5/(1+Intro!$B$28)^(O3-Intro!$B$12)</f>
        <v>-454.10943304576085</v>
      </c>
      <c r="Q11" s="77">
        <f>P11+Q5/(1+Intro!$B$28)^(P3-Intro!$B$12)</f>
        <v>64.115589352954771</v>
      </c>
      <c r="R11" s="77">
        <f>Q11+R5/(1+Intro!$B$28)^(Q3-Intro!$B$12)</f>
        <v>548.33007790308693</v>
      </c>
      <c r="S11" s="77">
        <f>R11+S5/(1+Intro!$B$28)^(R3-Intro!$B$12)</f>
        <v>998.29715571932695</v>
      </c>
      <c r="T11" s="77">
        <f>S11+T5/(1+Intro!$B$28)^(S3-Intro!$B$12)</f>
        <v>1417.5846600480959</v>
      </c>
      <c r="U11" s="77">
        <f>T11+U5/(1+Intro!$B$28)^(T3-Intro!$B$12)</f>
        <v>1808.2843799908123</v>
      </c>
      <c r="V11" s="77">
        <f>U11+V5/(1+Intro!$B$28)^(U3-Intro!$B$12)</f>
        <v>2173.3429103432659</v>
      </c>
      <c r="W11" s="77">
        <f>V11+W5/(1+Intro!$B$28)^(V3-Intro!$B$12)</f>
        <v>2506.2664483445906</v>
      </c>
      <c r="X11" s="77">
        <f>W11+X5/(1+Intro!$B$28)^(W3-Intro!$B$12)</f>
        <v>2743.0835180755266</v>
      </c>
      <c r="Y11" s="77">
        <f>X11+Y5/(1+Intro!$B$28)^(X3-Intro!$B$12)</f>
        <v>2920.7035945129005</v>
      </c>
      <c r="Z11" s="77">
        <f>Y11+Z5/(1+Intro!$B$28)^(Y3-Intro!$B$12)</f>
        <v>3053.7295837783759</v>
      </c>
      <c r="AA11" s="77">
        <f>Z11+AA5/(1+Intro!$B$28)^(Z3-Intro!$B$12)</f>
        <v>3160.2311039909832</v>
      </c>
      <c r="AB11" s="77">
        <f>AA11+AB5/(1+Intro!$B$28)^(AA3-Intro!$B$12)</f>
        <v>3244.7666213058224</v>
      </c>
      <c r="AC11" s="77">
        <f>AB11+AC5/(1+Intro!$B$28)^(AB3-Intro!$B$12)</f>
        <v>3309.4013302299722</v>
      </c>
      <c r="AD11" s="77">
        <f>AC11+AD5/(1+Intro!$B$28)^(AC3-Intro!$B$12)</f>
        <v>3363.4637487555797</v>
      </c>
      <c r="AE11" s="77">
        <f>AD11+AE5/(1+Intro!$B$28)^(AD3-Intro!$B$12)</f>
        <v>3409.0800505034504</v>
      </c>
      <c r="AF11" s="77">
        <f>AE11+AF5/(1+Intro!$B$28)^(AE3-Intro!$B$12)</f>
        <v>3447.5808672584312</v>
      </c>
      <c r="AG11" s="77">
        <f>AF11+AG5/(1+Intro!$B$28)^(AF3-Intro!$B$12)</f>
        <v>3480.3045357070077</v>
      </c>
      <c r="AH11" s="77">
        <f>AG11+AH5/(1+Intro!$B$28)^(AG3-Intro!$B$12)</f>
        <v>3508.3232398522459</v>
      </c>
      <c r="AI11" s="77">
        <f>AH11+AI5/(1+Intro!$B$28)^(AH3-Intro!$B$12)</f>
        <v>3508.3232398522459</v>
      </c>
      <c r="AJ11" s="77">
        <f>AI11+AJ5/(1+Intro!$B$28)^(AI3-Intro!$B$12)</f>
        <v>3508.3232398522459</v>
      </c>
    </row>
    <row r="12" spans="1:36" ht="15.6" outlineLevel="1" x14ac:dyDescent="0.3">
      <c r="A12" s="8" t="s">
        <v>182</v>
      </c>
      <c r="B12" s="79">
        <f>MIN(D6:AJ6)</f>
        <v>-2312.2730173948603</v>
      </c>
      <c r="C12" s="73" t="s">
        <v>0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</row>
    <row r="13" spans="1:36" ht="15.6" outlineLevel="1" x14ac:dyDescent="0.3">
      <c r="A13" s="8" t="s">
        <v>183</v>
      </c>
      <c r="B13" s="82">
        <f>'Model Inputs'!C87</f>
        <v>2055</v>
      </c>
      <c r="C13" s="73" t="s">
        <v>113</v>
      </c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</row>
    <row r="14" spans="1:36" ht="15.6" x14ac:dyDescent="0.3">
      <c r="A14" s="8"/>
      <c r="B14" s="39"/>
      <c r="C14" s="73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</row>
    <row r="15" spans="1:36" ht="21" x14ac:dyDescent="0.3">
      <c r="A15" s="12" t="s">
        <v>184</v>
      </c>
      <c r="B15" s="41"/>
      <c r="C15" s="74"/>
    </row>
    <row r="16" spans="1:36" ht="15" outlineLevel="1" x14ac:dyDescent="0.3">
      <c r="A16" s="14"/>
      <c r="B16" s="15" t="str">
        <f>B3</f>
        <v>Total</v>
      </c>
      <c r="C16" s="15" t="str">
        <f t="shared" ref="C16:AB16" si="4">C3</f>
        <v>Unit</v>
      </c>
      <c r="D16" s="15">
        <f t="shared" si="4"/>
        <v>2022</v>
      </c>
      <c r="E16" s="15">
        <f t="shared" si="4"/>
        <v>2023</v>
      </c>
      <c r="F16" s="15">
        <f t="shared" si="4"/>
        <v>2024</v>
      </c>
      <c r="G16" s="15">
        <f t="shared" si="4"/>
        <v>2025</v>
      </c>
      <c r="H16" s="15">
        <f t="shared" si="4"/>
        <v>2026</v>
      </c>
      <c r="I16" s="15">
        <f t="shared" si="4"/>
        <v>2027</v>
      </c>
      <c r="J16" s="15">
        <f t="shared" si="4"/>
        <v>2028</v>
      </c>
      <c r="K16" s="15">
        <f t="shared" si="4"/>
        <v>2029</v>
      </c>
      <c r="L16" s="15">
        <f t="shared" si="4"/>
        <v>2030</v>
      </c>
      <c r="M16" s="15">
        <f t="shared" si="4"/>
        <v>2031</v>
      </c>
      <c r="N16" s="15">
        <f t="shared" si="4"/>
        <v>2032</v>
      </c>
      <c r="O16" s="15">
        <f t="shared" si="4"/>
        <v>2033</v>
      </c>
      <c r="P16" s="15">
        <f t="shared" si="4"/>
        <v>2034</v>
      </c>
      <c r="Q16" s="15">
        <f t="shared" si="4"/>
        <v>2035</v>
      </c>
      <c r="R16" s="15">
        <f t="shared" si="4"/>
        <v>2036</v>
      </c>
      <c r="S16" s="15">
        <f t="shared" si="4"/>
        <v>2037</v>
      </c>
      <c r="T16" s="15">
        <f t="shared" si="4"/>
        <v>2038</v>
      </c>
      <c r="U16" s="15">
        <f t="shared" si="4"/>
        <v>2039</v>
      </c>
      <c r="V16" s="15">
        <f t="shared" si="4"/>
        <v>2040</v>
      </c>
      <c r="W16" s="15">
        <f t="shared" si="4"/>
        <v>2041</v>
      </c>
      <c r="X16" s="15">
        <f t="shared" si="4"/>
        <v>2042</v>
      </c>
      <c r="Y16" s="15">
        <f t="shared" si="4"/>
        <v>2043</v>
      </c>
      <c r="Z16" s="15">
        <f t="shared" si="4"/>
        <v>2044</v>
      </c>
      <c r="AA16" s="15">
        <f t="shared" si="4"/>
        <v>2045</v>
      </c>
      <c r="AB16" s="15">
        <f t="shared" si="4"/>
        <v>2046</v>
      </c>
      <c r="AC16" s="15">
        <f t="shared" ref="AC16:AJ16" si="5">AC3</f>
        <v>2047</v>
      </c>
      <c r="AD16" s="15">
        <f t="shared" si="5"/>
        <v>2048</v>
      </c>
      <c r="AE16" s="15">
        <f t="shared" si="5"/>
        <v>2049</v>
      </c>
      <c r="AF16" s="15">
        <f t="shared" si="5"/>
        <v>2050</v>
      </c>
      <c r="AG16" s="15">
        <f t="shared" si="5"/>
        <v>2051</v>
      </c>
      <c r="AH16" s="15">
        <f t="shared" si="5"/>
        <v>2052</v>
      </c>
      <c r="AI16" s="15">
        <f t="shared" si="5"/>
        <v>2053</v>
      </c>
      <c r="AJ16" s="15">
        <f t="shared" si="5"/>
        <v>2054</v>
      </c>
    </row>
    <row r="17" spans="1:36" ht="15.6" outlineLevel="1" x14ac:dyDescent="0.3">
      <c r="A17" s="8" t="s">
        <v>175</v>
      </c>
      <c r="B17" s="64">
        <f>SUM(D17:AJ17)</f>
        <v>3547.3721226332364</v>
      </c>
      <c r="C17" s="73" t="s">
        <v>0</v>
      </c>
      <c r="D17" s="77">
        <f>Intro!$G$10*('RSA Model'!D25+'RSA Model'!D43+'RSA Model'!D51-'RSA Model'!D15-'RSA Model'!D30)</f>
        <v>0</v>
      </c>
      <c r="E17" s="77">
        <f>Intro!$G$10*('RSA Model'!E25+'RSA Model'!E43+'RSA Model'!E51-'RSA Model'!E15-'RSA Model'!E30)</f>
        <v>0</v>
      </c>
      <c r="F17" s="77">
        <f>Intro!$G$10*('RSA Model'!F25+'RSA Model'!F43+'RSA Model'!F51-'RSA Model'!F15-'RSA Model'!F30)</f>
        <v>0</v>
      </c>
      <c r="G17" s="77">
        <f>Intro!$G$10*('RSA Model'!G25+'RSA Model'!G43+'RSA Model'!G51-'RSA Model'!G15-'RSA Model'!G30)</f>
        <v>-12.727650000000001</v>
      </c>
      <c r="H17" s="77">
        <f>Intro!$G$10*('RSA Model'!H25+'RSA Model'!H43+'RSA Model'!H51-'RSA Model'!H15-'RSA Model'!H30)</f>
        <v>-13.043403749999998</v>
      </c>
      <c r="I17" s="77">
        <f>Intro!$G$10*('RSA Model'!I25+'RSA Model'!I43+'RSA Model'!I51-'RSA Model'!I15-'RSA Model'!I30)</f>
        <v>-145.41343051178126</v>
      </c>
      <c r="J17" s="77">
        <f>Intro!$G$10*('RSA Model'!J25+'RSA Model'!J43+'RSA Model'!J51-'RSA Model'!J15-'RSA Model'!J30)</f>
        <v>-308.2594894650781</v>
      </c>
      <c r="K17" s="77">
        <f>Intro!$G$10*('RSA Model'!K25+'RSA Model'!K43+'RSA Model'!K51-'RSA Model'!K15-'RSA Model'!K30)</f>
        <v>-439.64826323584236</v>
      </c>
      <c r="L17" s="77">
        <f>Intro!$G$10*('RSA Model'!L25+'RSA Model'!L43+'RSA Model'!L51-'RSA Model'!L15-'RSA Model'!L30)</f>
        <v>-473.36610315111943</v>
      </c>
      <c r="M17" s="77">
        <f>Intro!$G$10*('RSA Model'!M25+'RSA Model'!M43+'RSA Model'!M51-'RSA Model'!M15-'RSA Model'!M30)</f>
        <v>-110.51912119283807</v>
      </c>
      <c r="N17" s="77">
        <f>Intro!$G$10*('RSA Model'!N25+'RSA Model'!N43+'RSA Model'!N51-'RSA Model'!N15-'RSA Model'!N30)+Intro!$G$22*Intro!$G$23</f>
        <v>255.20969008930712</v>
      </c>
      <c r="O17" s="77">
        <f>Intro!$G$10*('RSA Model'!O25+'RSA Model'!O43+'RSA Model'!O51-'RSA Model'!O15-'RSA Model'!O30)+Intro!$G$22*Intro!$G$23</f>
        <v>636.59144039364287</v>
      </c>
      <c r="P17" s="77">
        <f>Intro!$G$10*('RSA Model'!P25+'RSA Model'!P43+'RSA Model'!P51-'RSA Model'!P15-'RSA Model'!P30)+Intro!$G$22*Intro!$G$23</f>
        <v>727.39950339353186</v>
      </c>
      <c r="Q17" s="77">
        <f>Intro!$G$10*('RSA Model'!Q25+'RSA Model'!Q43+'RSA Model'!Q51-'RSA Model'!Q15-'RSA Model'!Q30)+Intro!$G$22*Intro!$G$23</f>
        <v>711.13905966014738</v>
      </c>
      <c r="R17" s="77">
        <f>Intro!$G$10*('RSA Model'!R25+'RSA Model'!R43+'RSA Model'!R51-'RSA Model'!R15-'RSA Model'!R30)+Intro!$G$22*Intro!$G$23</f>
        <v>459.75463584963364</v>
      </c>
      <c r="S17" s="77">
        <f>Intro!$G$10*('RSA Model'!S25+'RSA Model'!S43+'RSA Model'!S51-'RSA Model'!S15-'RSA Model'!S30)</f>
        <v>351.83663477019809</v>
      </c>
      <c r="T17" s="77">
        <f>Intro!$G$10*('RSA Model'!T25+'RSA Model'!T43+'RSA Model'!T51-'RSA Model'!T15-'RSA Model'!T30)</f>
        <v>316.49285953567244</v>
      </c>
      <c r="U17" s="77">
        <f>Intro!$G$10*('RSA Model'!U25+'RSA Model'!U43+'RSA Model'!U51-'RSA Model'!U15-'RSA Model'!U30)</f>
        <v>283.7069049840469</v>
      </c>
      <c r="V17" s="77">
        <f>Intro!$G$10*('RSA Model'!V25+'RSA Model'!V43+'RSA Model'!V51-'RSA Model'!V15-'RSA Model'!V30)</f>
        <v>254.09949889862787</v>
      </c>
      <c r="W17" s="77">
        <f>Intro!$G$10*('RSA Model'!W25+'RSA Model'!W43+'RSA Model'!W51-'RSA Model'!W15-'RSA Model'!W30)</f>
        <v>221.21495270008441</v>
      </c>
      <c r="X17" s="77">
        <f>Intro!$G$10*('RSA Model'!X25+'RSA Model'!X43+'RSA Model'!X51-'RSA Model'!X15-'RSA Model'!X30)</f>
        <v>150.1419008873244</v>
      </c>
      <c r="Y17" s="77">
        <f>Intro!$G$10*('RSA Model'!Y25+'RSA Model'!Y43+'RSA Model'!Y51-'RSA Model'!Y15-'RSA Model'!Y30)</f>
        <v>116.71080178821451</v>
      </c>
      <c r="Z17" s="77">
        <f>Intro!$G$10*('RSA Model'!Z25+'RSA Model'!Z43+'RSA Model'!Z51-'RSA Model'!Z15-'RSA Model'!Z30)</f>
        <v>96.149755112001344</v>
      </c>
      <c r="AA17" s="77">
        <f>Intro!$G$10*('RSA Model'!AA25+'RSA Model'!AA43+'RSA Model'!AA51-'RSA Model'!AA15-'RSA Model'!AA30)</f>
        <v>84.675969398494829</v>
      </c>
      <c r="AB17" s="77">
        <f>Intro!$G$10*('RSA Model'!AB25+'RSA Model'!AB43+'RSA Model'!AB51-'RSA Model'!AB15-'RSA Model'!AB30)</f>
        <v>73.932649498733198</v>
      </c>
      <c r="AC17" s="77">
        <f>Intro!$G$10*('RSA Model'!AC25+'RSA Model'!AC43+'RSA Model'!AC51-'RSA Model'!AC15-'RSA Model'!AC30)</f>
        <v>62.180690144700655</v>
      </c>
      <c r="AD17" s="77">
        <f>Intro!$G$10*('RSA Model'!AD25+'RSA Model'!AD43+'RSA Model'!AD51-'RSA Model'!AD15-'RSA Model'!AD30)</f>
        <v>57.210783584324147</v>
      </c>
      <c r="AE17" s="77">
        <f>Intro!$G$10*('RSA Model'!AE25+'RSA Model'!AE43+'RSA Model'!AE51-'RSA Model'!AE15-'RSA Model'!AE30)</f>
        <v>53.100081021650269</v>
      </c>
      <c r="AF17" s="77">
        <f>Intro!$G$10*('RSA Model'!AF25+'RSA Model'!AF43+'RSA Model'!AF51-'RSA Model'!AF15-'RSA Model'!AF30)</f>
        <v>49.298957868786005</v>
      </c>
      <c r="AG17" s="77">
        <f>Intro!$G$10*('RSA Model'!AG25+'RSA Model'!AG43+'RSA Model'!AG51-'RSA Model'!AG15-'RSA Model'!AG30)</f>
        <v>46.091672253804468</v>
      </c>
      <c r="AH17" s="77">
        <f>Intro!$G$10*('RSA Model'!AH25+'RSA Model'!AH43+'RSA Model'!AH51-'RSA Model'!AH15-'RSA Model'!AH30)</f>
        <v>43.411142106969095</v>
      </c>
      <c r="AI17" s="77">
        <f>Intro!$G$10*('RSA Model'!AI25+'RSA Model'!AI43+'RSA Model'!AI51-'RSA Model'!AI15-'RSA Model'!AI30)</f>
        <v>0</v>
      </c>
      <c r="AJ17" s="77">
        <f>Intro!$G$10*('RSA Model'!AJ25+'RSA Model'!AJ43+'RSA Model'!AJ51-'RSA Model'!AJ15-'RSA Model'!AJ30)</f>
        <v>0</v>
      </c>
    </row>
    <row r="18" spans="1:36" ht="15.6" outlineLevel="1" x14ac:dyDescent="0.3">
      <c r="A18" s="8" t="s">
        <v>176</v>
      </c>
      <c r="B18" s="64">
        <f>AJ18</f>
        <v>3547.3721226332364</v>
      </c>
      <c r="C18" s="73" t="s">
        <v>0</v>
      </c>
      <c r="D18" s="77">
        <f>D17</f>
        <v>0</v>
      </c>
      <c r="E18" s="77">
        <f>E17+D18</f>
        <v>0</v>
      </c>
      <c r="F18" s="77">
        <f t="shared" ref="F18:AB18" si="6">F17+E18</f>
        <v>0</v>
      </c>
      <c r="G18" s="77">
        <f t="shared" si="6"/>
        <v>-12.727650000000001</v>
      </c>
      <c r="H18" s="77">
        <f t="shared" si="6"/>
        <v>-25.77105375</v>
      </c>
      <c r="I18" s="77">
        <f t="shared" si="6"/>
        <v>-171.18448426178125</v>
      </c>
      <c r="J18" s="77">
        <f t="shared" si="6"/>
        <v>-479.44397372685933</v>
      </c>
      <c r="K18" s="77">
        <f t="shared" si="6"/>
        <v>-919.09223696270169</v>
      </c>
      <c r="L18" s="77">
        <f t="shared" si="6"/>
        <v>-1392.4583401138211</v>
      </c>
      <c r="M18" s="77">
        <f t="shared" si="6"/>
        <v>-1502.9774613066593</v>
      </c>
      <c r="N18" s="77">
        <f t="shared" si="6"/>
        <v>-1247.7677712173522</v>
      </c>
      <c r="O18" s="77">
        <f t="shared" si="6"/>
        <v>-611.17633082370935</v>
      </c>
      <c r="P18" s="77">
        <f t="shared" si="6"/>
        <v>116.22317256982251</v>
      </c>
      <c r="Q18" s="77">
        <f t="shared" si="6"/>
        <v>827.36223222996989</v>
      </c>
      <c r="R18" s="77">
        <f t="shared" si="6"/>
        <v>1287.1168680796036</v>
      </c>
      <c r="S18" s="77">
        <f t="shared" si="6"/>
        <v>1638.9535028498017</v>
      </c>
      <c r="T18" s="77">
        <f t="shared" si="6"/>
        <v>1955.446362385474</v>
      </c>
      <c r="U18" s="77">
        <f t="shared" si="6"/>
        <v>2239.153267369521</v>
      </c>
      <c r="V18" s="77">
        <f t="shared" si="6"/>
        <v>2493.2527662681487</v>
      </c>
      <c r="W18" s="77">
        <f t="shared" si="6"/>
        <v>2714.4677189682329</v>
      </c>
      <c r="X18" s="77">
        <f t="shared" si="6"/>
        <v>2864.6096198555574</v>
      </c>
      <c r="Y18" s="77">
        <f t="shared" si="6"/>
        <v>2981.3204216437721</v>
      </c>
      <c r="Z18" s="77">
        <f t="shared" si="6"/>
        <v>3077.4701767557735</v>
      </c>
      <c r="AA18" s="77">
        <f t="shared" si="6"/>
        <v>3162.1461461542685</v>
      </c>
      <c r="AB18" s="77">
        <f t="shared" si="6"/>
        <v>3236.0787956530016</v>
      </c>
      <c r="AC18" s="77">
        <f t="shared" ref="AC18:AJ18" si="7">AC17+AB18</f>
        <v>3298.2594857977024</v>
      </c>
      <c r="AD18" s="77">
        <f t="shared" si="7"/>
        <v>3355.4702693820263</v>
      </c>
      <c r="AE18" s="77">
        <f t="shared" si="7"/>
        <v>3408.5703504036765</v>
      </c>
      <c r="AF18" s="77">
        <f t="shared" si="7"/>
        <v>3457.8693082724626</v>
      </c>
      <c r="AG18" s="77">
        <f t="shared" si="7"/>
        <v>3503.9609805262671</v>
      </c>
      <c r="AH18" s="77">
        <f t="shared" si="7"/>
        <v>3547.3721226332364</v>
      </c>
      <c r="AI18" s="77">
        <f t="shared" si="7"/>
        <v>3547.3721226332364</v>
      </c>
      <c r="AJ18" s="77">
        <f t="shared" si="7"/>
        <v>3547.3721226332364</v>
      </c>
    </row>
    <row r="19" spans="1:36" ht="15.6" outlineLevel="1" x14ac:dyDescent="0.3">
      <c r="A19" s="8" t="s">
        <v>177</v>
      </c>
      <c r="B19" s="64">
        <f>SUMPRODUCT('Model Inputs'!D12:AJ12,D17:AJ17)</f>
        <v>646.39248185024871</v>
      </c>
      <c r="C19" s="73" t="s">
        <v>0</v>
      </c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</row>
    <row r="20" spans="1:36" ht="15.6" outlineLevel="1" x14ac:dyDescent="0.3">
      <c r="A20" s="8" t="s">
        <v>178</v>
      </c>
      <c r="B20" s="37">
        <f>IRR(D17:AJ17)</f>
        <v>0.18313169735395185</v>
      </c>
      <c r="C20" s="73" t="s">
        <v>146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</row>
    <row r="21" spans="1:36" ht="15.6" outlineLevel="1" x14ac:dyDescent="0.3">
      <c r="A21" s="8" t="s">
        <v>179</v>
      </c>
      <c r="B21" s="37">
        <f>AJ21</f>
        <v>0.18313169735395185</v>
      </c>
      <c r="C21" s="73" t="s">
        <v>146</v>
      </c>
      <c r="D21" s="80" t="e">
        <f>IRR($D$17)</f>
        <v>#NUM!</v>
      </c>
      <c r="E21" s="85" t="e">
        <f>IRR($D$17:E17)</f>
        <v>#NUM!</v>
      </c>
      <c r="F21" s="85" t="e">
        <f>IRR($D$17:F17)</f>
        <v>#NUM!</v>
      </c>
      <c r="G21" s="85" t="e">
        <f>IRR($D$17:G17)</f>
        <v>#NUM!</v>
      </c>
      <c r="H21" s="85" t="e">
        <f>IRR($D$17:H17)</f>
        <v>#NUM!</v>
      </c>
      <c r="I21" s="85" t="e">
        <f>IRR($D$17:I17)</f>
        <v>#NUM!</v>
      </c>
      <c r="J21" s="85" t="e">
        <f>IRR($D$17:J17)</f>
        <v>#NUM!</v>
      </c>
      <c r="K21" s="85" t="e">
        <f>IRR($D$17:K17)</f>
        <v>#NUM!</v>
      </c>
      <c r="L21" s="85" t="e">
        <f>IRR($D$17:L17)</f>
        <v>#NUM!</v>
      </c>
      <c r="M21" s="85" t="e">
        <f>IRR($D$17:M17)</f>
        <v>#NUM!</v>
      </c>
      <c r="N21" s="85" t="e">
        <f>IRR($D$17:N17)</f>
        <v>#NUM!</v>
      </c>
      <c r="O21" s="85">
        <f>IRR($D$17:O17)</f>
        <v>-0.13407328384851236</v>
      </c>
      <c r="P21" s="85">
        <f>IRR($D$17:P17)</f>
        <v>1.748975620915072E-2</v>
      </c>
      <c r="Q21" s="85">
        <f>IRR($D$17:Q17)</f>
        <v>9.5051377746371957E-2</v>
      </c>
      <c r="R21" s="85">
        <f>IRR($D$17:R17)</f>
        <v>0.12716529959648848</v>
      </c>
      <c r="S21" s="85">
        <f>IRR($D$17:S17)</f>
        <v>0.14506279565504188</v>
      </c>
      <c r="T21" s="85">
        <f>IRR($D$17:T17)</f>
        <v>0.15727660815497257</v>
      </c>
      <c r="U21" s="85">
        <f>IRR($D$17:U17)</f>
        <v>0.16574275628936452</v>
      </c>
      <c r="V21" s="85">
        <f>IRR($D$17:V17)</f>
        <v>0.17170131983357173</v>
      </c>
      <c r="W21" s="85">
        <f>IRR($D$17:W17)</f>
        <v>0.17583524219964941</v>
      </c>
      <c r="X21" s="85">
        <f>IRR($D$17:X17)</f>
        <v>0.1781097229311086</v>
      </c>
      <c r="Y21" s="85">
        <f>IRR($D$17:Y17)</f>
        <v>0.17956481815716119</v>
      </c>
      <c r="Z21" s="85">
        <f>IRR($D$17:Z17)</f>
        <v>0.18055872683522889</v>
      </c>
      <c r="AA21" s="85">
        <f>IRR($D$17:AA17)</f>
        <v>0.18128762533756726</v>
      </c>
      <c r="AB21" s="85">
        <f>IRR($D$17:AB17)</f>
        <v>0.18181915932271275</v>
      </c>
      <c r="AC21" s="85">
        <f>IRR($D$17:AC17)</f>
        <v>0.18219350615562058</v>
      </c>
      <c r="AD21" s="85">
        <f>IRR($D$17:AD17)</f>
        <v>0.18248247679632068</v>
      </c>
      <c r="AE21" s="85">
        <f>IRR($D$17:AE17)</f>
        <v>0.18270776430954427</v>
      </c>
      <c r="AF21" s="85">
        <f>IRR($D$17:AF17)</f>
        <v>0.18288362391511859</v>
      </c>
      <c r="AG21" s="85">
        <f>IRR($D$17:AG17)</f>
        <v>0.18302197664202646</v>
      </c>
      <c r="AH21" s="85">
        <f>IRR($D$17:AH17)</f>
        <v>0.18313169735395185</v>
      </c>
      <c r="AI21" s="85">
        <f>IRR($D$17:AI17)</f>
        <v>0.18313169735395185</v>
      </c>
      <c r="AJ21" s="85">
        <f>IRR($D$17:AJ17)</f>
        <v>0.18313169735395185</v>
      </c>
    </row>
    <row r="22" spans="1:36" ht="15.6" outlineLevel="1" x14ac:dyDescent="0.3">
      <c r="A22" s="8" t="s">
        <v>180</v>
      </c>
      <c r="B22" s="39">
        <f>IF(COUNTIF(D18:AJ18,"&lt;0")+Intro!$B$18&gt;2060,"No Payback",COUNTIF(D18:AJ18,"&lt;0")+Intro!$B$18)</f>
        <v>2034</v>
      </c>
      <c r="C22" s="73" t="s">
        <v>113</v>
      </c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</row>
    <row r="23" spans="1:36" ht="15.6" outlineLevel="1" x14ac:dyDescent="0.3">
      <c r="A23" s="8" t="s">
        <v>181</v>
      </c>
      <c r="B23" s="43">
        <f>IF(COUNTIF(D23:AJ23,"&lt;0")+Intro!$B$18&gt;2060,"No Payback",COUNTIF(D23:AJ23,"&lt;0")+Intro!$B$18)</f>
        <v>2036</v>
      </c>
      <c r="C23" s="73" t="s">
        <v>113</v>
      </c>
      <c r="D23" s="77">
        <f>D17/(1+'Model Inputs'!D12)^(D3-Intro!$B$12)</f>
        <v>0</v>
      </c>
      <c r="E23" s="77">
        <f>D23+E17/(1+'Model Inputs'!E12)^(E3-Intro!$B$12)</f>
        <v>0</v>
      </c>
      <c r="F23" s="77">
        <f>E23+F17/(1+Intro!$B$29)^(F3-Intro!$B$12)</f>
        <v>0</v>
      </c>
      <c r="G23" s="77">
        <f>F23+G17/(1+Intro!$B$29)^(G3-Intro!$B$12)</f>
        <v>-12.727650000000001</v>
      </c>
      <c r="H23" s="77">
        <f>G23+H17/(1+Intro!$B$29)^(H3-Intro!$B$12)</f>
        <v>-24.585289772727272</v>
      </c>
      <c r="I23" s="77">
        <f>H23+I17/(1+Intro!$B$29)^(I3-Intro!$B$12)</f>
        <v>-144.76167862543903</v>
      </c>
      <c r="J23" s="77">
        <f>I23+J17/(1+Intro!$B$29)^(J3-Intro!$B$12)</f>
        <v>-376.36159557891614</v>
      </c>
      <c r="K23" s="77">
        <f>J23+K17/(1+Intro!$B$29)^(K3-Intro!$B$12)</f>
        <v>-676.64727499688092</v>
      </c>
      <c r="L23" s="77">
        <f>K23+L17/(1+Intro!$B$29)^(L3-Intro!$B$12)</f>
        <v>-970.57038205683034</v>
      </c>
      <c r="M23" s="77">
        <f>L23+M17/(1+Intro!$B$29)^(M3-Intro!$B$12)</f>
        <v>-1032.9555447426415</v>
      </c>
      <c r="N23" s="77">
        <f>M23+N17/(1+Intro!$B$29)^(N3-Intro!$B$12)</f>
        <v>-901.99262042217083</v>
      </c>
      <c r="O23" s="77">
        <f>N23+O17/(1+Intro!$B$29)^(O3-Intro!$B$12)</f>
        <v>-605.01801530019202</v>
      </c>
      <c r="P23" s="77">
        <f>O23+P17/(1+Intro!$B$29)^(P3-Intro!$B$12)</f>
        <v>-296.5296183056671</v>
      </c>
      <c r="Q23" s="77">
        <f>P23+Q17/(1+Intro!$B$29)^(Q3-Intro!$B$12)</f>
        <v>-22.354726002470045</v>
      </c>
      <c r="R23" s="77">
        <f>Q23+R17/(1+Intro!$B$29)^(R3-Intro!$B$12)</f>
        <v>138.78646912111552</v>
      </c>
      <c r="S23" s="77">
        <f>R23+S17/(1+Intro!$B$29)^(S3-Intro!$B$12)</f>
        <v>250.89246375840378</v>
      </c>
      <c r="T23" s="77">
        <f>S23+T17/(1+Intro!$B$29)^(T3-Intro!$B$12)</f>
        <v>342.569171606895</v>
      </c>
      <c r="U23" s="77">
        <f>T23+U17/(1+Intro!$B$29)^(U3-Intro!$B$12)</f>
        <v>417.27806675163987</v>
      </c>
      <c r="V23" s="77">
        <f>U23+V17/(1+Intro!$B$29)^(V3-Intro!$B$12)</f>
        <v>478.1074665366599</v>
      </c>
      <c r="W23" s="77">
        <f>V23+W17/(1+Intro!$B$29)^(W3-Intro!$B$12)</f>
        <v>526.25028551663786</v>
      </c>
      <c r="X23" s="77">
        <f>W23+X17/(1+Intro!$B$29)^(X3-Intro!$B$12)</f>
        <v>555.95506018572746</v>
      </c>
      <c r="Y23" s="77">
        <f>X23+Y17/(1+Intro!$B$29)^(Y3-Intro!$B$12)</f>
        <v>576.9465237646898</v>
      </c>
      <c r="Z23" s="77">
        <f>Y23+Z17/(1+Intro!$B$29)^(Z3-Intro!$B$12)</f>
        <v>592.66777704151866</v>
      </c>
      <c r="AA23" s="77">
        <f>Z23+AA17/(1+Intro!$B$29)^(AA3-Intro!$B$12)</f>
        <v>605.25432033937227</v>
      </c>
      <c r="AB23" s="77">
        <f>AA23+AB17/(1+Intro!$B$29)^(AB3-Intro!$B$12)</f>
        <v>615.24488147658053</v>
      </c>
      <c r="AC23" s="77">
        <f>AB23+AC17/(1+Intro!$B$29)^(AC3-Intro!$B$12)</f>
        <v>622.88352889488908</v>
      </c>
      <c r="AD23" s="77">
        <f>AC23+AD17/(1+Intro!$B$29)^(AD3-Intro!$B$12)</f>
        <v>629.27272381155183</v>
      </c>
      <c r="AE23" s="77">
        <f>AD23+AE17/(1+Intro!$B$29)^(AE3-Intro!$B$12)</f>
        <v>634.66374129084568</v>
      </c>
      <c r="AF23" s="77">
        <f>AE23+AF17/(1+Intro!$B$29)^(AF3-Intro!$B$12)</f>
        <v>639.21383781643431</v>
      </c>
      <c r="AG23" s="77">
        <f>AF23+AG17/(1+Intro!$B$29)^(AG3-Intro!$B$12)</f>
        <v>643.08118045126605</v>
      </c>
      <c r="AH23" s="77">
        <f>AG23+AH17/(1+Intro!$B$29)^(AH3-Intro!$B$12)</f>
        <v>646.39248185024871</v>
      </c>
      <c r="AI23" s="77">
        <f>AH23+AI17/(1+Intro!$B$29)^(AI3-Intro!$B$12)</f>
        <v>646.39248185024871</v>
      </c>
      <c r="AJ23" s="77">
        <f>AI23+AJ17/(1+Intro!$B$29)^(AJ3-Intro!$B$12)</f>
        <v>646.39248185024871</v>
      </c>
    </row>
    <row r="24" spans="1:36" ht="15.6" outlineLevel="1" x14ac:dyDescent="0.3">
      <c r="A24" s="8" t="s">
        <v>182</v>
      </c>
      <c r="B24" s="116">
        <f>MIN(D18:AJ18)</f>
        <v>-1502.9774613066593</v>
      </c>
      <c r="C24" s="73" t="s">
        <v>0</v>
      </c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</row>
    <row r="25" spans="1:36" ht="15.6" x14ac:dyDescent="0.3">
      <c r="A25" s="8"/>
      <c r="B25" s="40"/>
      <c r="C25" s="73"/>
    </row>
    <row r="26" spans="1:36" ht="21" x14ac:dyDescent="0.3">
      <c r="A26" s="12" t="s">
        <v>185</v>
      </c>
      <c r="B26" s="41"/>
      <c r="C26" s="74"/>
    </row>
    <row r="27" spans="1:36" ht="15" outlineLevel="1" x14ac:dyDescent="0.3">
      <c r="A27" s="14"/>
      <c r="B27" s="15" t="str">
        <f>B3</f>
        <v>Total</v>
      </c>
      <c r="C27" s="15" t="str">
        <f t="shared" ref="C27:AB27" si="8">C3</f>
        <v>Unit</v>
      </c>
      <c r="D27" s="15">
        <f t="shared" si="8"/>
        <v>2022</v>
      </c>
      <c r="E27" s="15">
        <f t="shared" si="8"/>
        <v>2023</v>
      </c>
      <c r="F27" s="15">
        <f t="shared" si="8"/>
        <v>2024</v>
      </c>
      <c r="G27" s="15">
        <f t="shared" si="8"/>
        <v>2025</v>
      </c>
      <c r="H27" s="15">
        <f t="shared" si="8"/>
        <v>2026</v>
      </c>
      <c r="I27" s="15">
        <f t="shared" si="8"/>
        <v>2027</v>
      </c>
      <c r="J27" s="15">
        <f t="shared" si="8"/>
        <v>2028</v>
      </c>
      <c r="K27" s="15">
        <f t="shared" si="8"/>
        <v>2029</v>
      </c>
      <c r="L27" s="15">
        <f t="shared" si="8"/>
        <v>2030</v>
      </c>
      <c r="M27" s="15">
        <f t="shared" si="8"/>
        <v>2031</v>
      </c>
      <c r="N27" s="15">
        <f t="shared" si="8"/>
        <v>2032</v>
      </c>
      <c r="O27" s="15">
        <f t="shared" si="8"/>
        <v>2033</v>
      </c>
      <c r="P27" s="15">
        <f t="shared" si="8"/>
        <v>2034</v>
      </c>
      <c r="Q27" s="15">
        <f t="shared" si="8"/>
        <v>2035</v>
      </c>
      <c r="R27" s="15">
        <f t="shared" si="8"/>
        <v>2036</v>
      </c>
      <c r="S27" s="15">
        <f t="shared" si="8"/>
        <v>2037</v>
      </c>
      <c r="T27" s="15">
        <f t="shared" si="8"/>
        <v>2038</v>
      </c>
      <c r="U27" s="15">
        <f t="shared" si="8"/>
        <v>2039</v>
      </c>
      <c r="V27" s="15">
        <f t="shared" si="8"/>
        <v>2040</v>
      </c>
      <c r="W27" s="15">
        <f t="shared" si="8"/>
        <v>2041</v>
      </c>
      <c r="X27" s="15">
        <f t="shared" si="8"/>
        <v>2042</v>
      </c>
      <c r="Y27" s="15">
        <f t="shared" si="8"/>
        <v>2043</v>
      </c>
      <c r="Z27" s="15">
        <f t="shared" si="8"/>
        <v>2044</v>
      </c>
      <c r="AA27" s="15">
        <f t="shared" si="8"/>
        <v>2045</v>
      </c>
      <c r="AB27" s="15">
        <f t="shared" si="8"/>
        <v>2046</v>
      </c>
      <c r="AC27" s="15">
        <f t="shared" ref="AC27:AJ27" si="9">AC3</f>
        <v>2047</v>
      </c>
      <c r="AD27" s="15">
        <f t="shared" si="9"/>
        <v>2048</v>
      </c>
      <c r="AE27" s="15">
        <f t="shared" si="9"/>
        <v>2049</v>
      </c>
      <c r="AF27" s="15">
        <f t="shared" si="9"/>
        <v>2050</v>
      </c>
      <c r="AG27" s="15">
        <f t="shared" si="9"/>
        <v>2051</v>
      </c>
      <c r="AH27" s="15">
        <f t="shared" si="9"/>
        <v>2052</v>
      </c>
      <c r="AI27" s="15">
        <f t="shared" si="9"/>
        <v>2053</v>
      </c>
      <c r="AJ27" s="15">
        <f t="shared" si="9"/>
        <v>2054</v>
      </c>
    </row>
    <row r="28" spans="1:36" ht="15.6" outlineLevel="1" x14ac:dyDescent="0.3">
      <c r="A28" s="8" t="s">
        <v>175</v>
      </c>
      <c r="B28" s="10">
        <f>SUM(D28:AJ28)</f>
        <v>1381.3542198794346</v>
      </c>
      <c r="C28" s="73" t="s">
        <v>0</v>
      </c>
      <c r="D28" s="77">
        <f>Intro!$G$11*('RSA Model'!D25+'RSA Model'!D43+'RSA Model'!D51-'RSA Model'!D15-'RSA Model'!D30)</f>
        <v>0</v>
      </c>
      <c r="E28" s="77">
        <f>Intro!$G$11*('RSA Model'!E25+'RSA Model'!E43+'RSA Model'!E51-'RSA Model'!E15-'RSA Model'!E30)</f>
        <v>0</v>
      </c>
      <c r="F28" s="77">
        <f>Intro!$G$11*('RSA Model'!F25+'RSA Model'!F43+'RSA Model'!F51-'RSA Model'!F15-'RSA Model'!F30)</f>
        <v>0</v>
      </c>
      <c r="G28" s="77">
        <f>Intro!$G$11*('RSA Model'!G25+'RSA Model'!G43+'RSA Model'!G51-'RSA Model'!G15-'RSA Model'!G30)</f>
        <v>-6.8533499999999998</v>
      </c>
      <c r="H28" s="77">
        <f>Intro!$G$11*('RSA Model'!H25+'RSA Model'!H43+'RSA Model'!H51-'RSA Model'!H15-'RSA Model'!H30)</f>
        <v>-7.0233712499999985</v>
      </c>
      <c r="I28" s="77">
        <f>Intro!$G$11*('RSA Model'!I25+'RSA Model'!I43+'RSA Model'!I51-'RSA Model'!I15-'RSA Model'!I30)</f>
        <v>-78.299539506343748</v>
      </c>
      <c r="J28" s="77">
        <f>Intro!$G$11*('RSA Model'!J25+'RSA Model'!J43+'RSA Model'!J51-'RSA Model'!J15-'RSA Model'!J30)</f>
        <v>-165.98587894273436</v>
      </c>
      <c r="K28" s="77">
        <f>Intro!$G$11*('RSA Model'!K25+'RSA Model'!K43+'RSA Model'!K51-'RSA Model'!K15-'RSA Model'!K30)</f>
        <v>-236.7336802039151</v>
      </c>
      <c r="L28" s="77">
        <f>Intro!$G$11*('RSA Model'!L25+'RSA Model'!L43+'RSA Model'!L51-'RSA Model'!L15-'RSA Model'!L30)</f>
        <v>-254.88944015829506</v>
      </c>
      <c r="M28" s="77">
        <f>Intro!$G$11*('RSA Model'!M25+'RSA Model'!M43+'RSA Model'!M51-'RSA Model'!M15-'RSA Model'!M30)</f>
        <v>-59.510296026912805</v>
      </c>
      <c r="N28" s="77">
        <f>Intro!$G$11*('RSA Model'!N25+'RSA Model'!N43+'RSA Model'!N51-'RSA Model'!N15-'RSA Model'!N30)-Intro!$G$22*Intro!$G$23</f>
        <v>31.666756201934589</v>
      </c>
      <c r="O28" s="77">
        <f>Intro!$G$11*('RSA Model'!O25+'RSA Model'!O43+'RSA Model'!O51-'RSA Model'!O15-'RSA Model'!O30)-Intro!$G$22*Intro!$G$23</f>
        <v>237.0261602119615</v>
      </c>
      <c r="P28" s="77">
        <f>Intro!$G$11*('RSA Model'!P25+'RSA Model'!P43+'RSA Model'!P51-'RSA Model'!P15-'RSA Model'!P30)-Intro!$G$22*Intro!$G$23</f>
        <v>285.92280951959401</v>
      </c>
      <c r="Q28" s="77">
        <f>Intro!$G$11*('RSA Model'!Q25+'RSA Model'!Q43+'RSA Model'!Q51-'RSA Model'!Q15-'RSA Model'!Q30)-Intro!$G$22*Intro!$G$23</f>
        <v>277.16718597084855</v>
      </c>
      <c r="R28" s="77">
        <f>Intro!$G$11*('RSA Model'!R25+'RSA Model'!R43+'RSA Model'!R51-'RSA Model'!R15-'RSA Model'!R30)-Intro!$G$22*Intro!$G$23</f>
        <v>141.80634238057195</v>
      </c>
      <c r="S28" s="77">
        <f>Intro!$G$11*('RSA Model'!S25+'RSA Model'!S43+'RSA Model'!S51-'RSA Model'!S15-'RSA Model'!S30)</f>
        <v>189.45049564549126</v>
      </c>
      <c r="T28" s="77">
        <f>Intro!$G$11*('RSA Model'!T25+'RSA Model'!T43+'RSA Model'!T51-'RSA Model'!T15-'RSA Model'!T30)</f>
        <v>170.41923205766975</v>
      </c>
      <c r="U28" s="77">
        <f>Intro!$G$11*('RSA Model'!U25+'RSA Model'!U43+'RSA Model'!U51-'RSA Model'!U15-'RSA Model'!U30)</f>
        <v>152.76525652987138</v>
      </c>
      <c r="V28" s="77">
        <f>Intro!$G$11*('RSA Model'!V25+'RSA Model'!V43+'RSA Model'!V51-'RSA Model'!V15-'RSA Model'!V30)</f>
        <v>136.82280709926113</v>
      </c>
      <c r="W28" s="77">
        <f>Intro!$G$11*('RSA Model'!W25+'RSA Model'!W43+'RSA Model'!W51-'RSA Model'!W15-'RSA Model'!W30)</f>
        <v>119.1157437615839</v>
      </c>
      <c r="X28" s="77">
        <f>Intro!$G$11*('RSA Model'!X25+'RSA Model'!X43+'RSA Model'!X51-'RSA Model'!X15-'RSA Model'!X30)</f>
        <v>80.845638939328524</v>
      </c>
      <c r="Y28" s="77">
        <f>Intro!$G$11*('RSA Model'!Y25+'RSA Model'!Y43+'RSA Model'!Y51-'RSA Model'!Y15-'RSA Model'!Y30)</f>
        <v>62.844277885961652</v>
      </c>
      <c r="Z28" s="77">
        <f>Intro!$G$11*('RSA Model'!Z25+'RSA Model'!Z43+'RSA Model'!Z51-'RSA Model'!Z15-'RSA Model'!Z30)</f>
        <v>51.772945060308416</v>
      </c>
      <c r="AA28" s="77">
        <f>Intro!$G$11*('RSA Model'!AA25+'RSA Model'!AA43+'RSA Model'!AA51-'RSA Model'!AA15-'RSA Model'!AA30)</f>
        <v>45.594752753035671</v>
      </c>
      <c r="AB28" s="77">
        <f>Intro!$G$11*('RSA Model'!AB25+'RSA Model'!AB43+'RSA Model'!AB51-'RSA Model'!AB15-'RSA Model'!AB30)</f>
        <v>39.809888191625568</v>
      </c>
      <c r="AC28" s="77">
        <f>Intro!$G$11*('RSA Model'!AC25+'RSA Model'!AC43+'RSA Model'!AC51-'RSA Model'!AC15-'RSA Model'!AC30)</f>
        <v>33.481910077915735</v>
      </c>
      <c r="AD28" s="77">
        <f>Intro!$G$11*('RSA Model'!AD25+'RSA Model'!AD43+'RSA Model'!AD51-'RSA Model'!AD15-'RSA Model'!AD30)</f>
        <v>30.805806545405307</v>
      </c>
      <c r="AE28" s="77">
        <f>Intro!$G$11*('RSA Model'!AE25+'RSA Model'!AE43+'RSA Model'!AE51-'RSA Model'!AE15-'RSA Model'!AE30)</f>
        <v>28.592351319350144</v>
      </c>
      <c r="AF28" s="77">
        <f>Intro!$G$11*('RSA Model'!AF25+'RSA Model'!AF43+'RSA Model'!AF51-'RSA Model'!AF15-'RSA Model'!AF30)</f>
        <v>26.545592698577078</v>
      </c>
      <c r="AG28" s="77">
        <f>Intro!$G$11*('RSA Model'!AG25+'RSA Model'!AG43+'RSA Model'!AG51-'RSA Model'!AG15-'RSA Model'!AG30)</f>
        <v>24.818592752048556</v>
      </c>
      <c r="AH28" s="77">
        <f>Intro!$G$11*('RSA Model'!AH25+'RSA Model'!AH43+'RSA Model'!AH51-'RSA Model'!AH15-'RSA Model'!AH30)</f>
        <v>23.375230365291049</v>
      </c>
      <c r="AI28" s="77">
        <f>Intro!$G$11*('RSA Model'!AI25+'RSA Model'!AI43+'RSA Model'!AI51-'RSA Model'!AI15-'RSA Model'!AI30)</f>
        <v>0</v>
      </c>
      <c r="AJ28" s="77">
        <f>Intro!$G$11*('RSA Model'!AJ25+'RSA Model'!AJ43+'RSA Model'!AJ51-'RSA Model'!AJ15-'RSA Model'!AJ30)</f>
        <v>0</v>
      </c>
    </row>
    <row r="29" spans="1:36" ht="15.6" outlineLevel="1" x14ac:dyDescent="0.3">
      <c r="A29" s="8" t="s">
        <v>176</v>
      </c>
      <c r="B29" s="10">
        <f>AJ29</f>
        <v>1381.3542198794346</v>
      </c>
      <c r="C29" s="73" t="s">
        <v>0</v>
      </c>
      <c r="D29" s="77">
        <f>D28</f>
        <v>0</v>
      </c>
      <c r="E29" s="77">
        <f>E28+D29</f>
        <v>0</v>
      </c>
      <c r="F29" s="77">
        <f t="shared" ref="F29:AB29" si="10">F28+E29</f>
        <v>0</v>
      </c>
      <c r="G29" s="77">
        <f t="shared" si="10"/>
        <v>-6.8533499999999998</v>
      </c>
      <c r="H29" s="77">
        <f t="shared" si="10"/>
        <v>-13.876721249999999</v>
      </c>
      <c r="I29" s="77">
        <f t="shared" si="10"/>
        <v>-92.176260756343751</v>
      </c>
      <c r="J29" s="77">
        <f t="shared" si="10"/>
        <v>-258.16213969907812</v>
      </c>
      <c r="K29" s="77">
        <f t="shared" si="10"/>
        <v>-494.89581990299325</v>
      </c>
      <c r="L29" s="77">
        <f t="shared" si="10"/>
        <v>-749.78526006128834</v>
      </c>
      <c r="M29" s="77">
        <f t="shared" si="10"/>
        <v>-809.29555608820112</v>
      </c>
      <c r="N29" s="77">
        <f t="shared" si="10"/>
        <v>-777.62879988626651</v>
      </c>
      <c r="O29" s="77">
        <f t="shared" si="10"/>
        <v>-540.60263967430501</v>
      </c>
      <c r="P29" s="77">
        <f t="shared" si="10"/>
        <v>-254.679830154711</v>
      </c>
      <c r="Q29" s="77">
        <f t="shared" si="10"/>
        <v>22.487355816137551</v>
      </c>
      <c r="R29" s="77">
        <f t="shared" si="10"/>
        <v>164.2936981967095</v>
      </c>
      <c r="S29" s="77">
        <f t="shared" si="10"/>
        <v>353.74419384220073</v>
      </c>
      <c r="T29" s="77">
        <f t="shared" si="10"/>
        <v>524.1634258998705</v>
      </c>
      <c r="U29" s="77">
        <f t="shared" si="10"/>
        <v>676.92868242974191</v>
      </c>
      <c r="V29" s="77">
        <f t="shared" si="10"/>
        <v>813.75148952900304</v>
      </c>
      <c r="W29" s="77">
        <f t="shared" si="10"/>
        <v>932.86723329058691</v>
      </c>
      <c r="X29" s="77">
        <f t="shared" si="10"/>
        <v>1013.7128722299154</v>
      </c>
      <c r="Y29" s="77">
        <f t="shared" si="10"/>
        <v>1076.557150115877</v>
      </c>
      <c r="Z29" s="77">
        <f t="shared" si="10"/>
        <v>1128.3300951761853</v>
      </c>
      <c r="AA29" s="77">
        <f t="shared" si="10"/>
        <v>1173.924847929221</v>
      </c>
      <c r="AB29" s="77">
        <f t="shared" si="10"/>
        <v>1213.7347361208465</v>
      </c>
      <c r="AC29" s="77">
        <f t="shared" ref="AC29:AJ29" si="11">AC28+AB29</f>
        <v>1247.2166461987622</v>
      </c>
      <c r="AD29" s="77">
        <f t="shared" si="11"/>
        <v>1278.0224527441676</v>
      </c>
      <c r="AE29" s="77">
        <f t="shared" si="11"/>
        <v>1306.6148040635178</v>
      </c>
      <c r="AF29" s="77">
        <f t="shared" si="11"/>
        <v>1333.1603967620949</v>
      </c>
      <c r="AG29" s="77">
        <f t="shared" si="11"/>
        <v>1357.9789895141434</v>
      </c>
      <c r="AH29" s="77">
        <f t="shared" si="11"/>
        <v>1381.3542198794346</v>
      </c>
      <c r="AI29" s="77">
        <f t="shared" si="11"/>
        <v>1381.3542198794346</v>
      </c>
      <c r="AJ29" s="77">
        <f t="shared" si="11"/>
        <v>1381.3542198794346</v>
      </c>
    </row>
    <row r="30" spans="1:36" ht="15.6" outlineLevel="1" x14ac:dyDescent="0.3">
      <c r="A30" s="8" t="s">
        <v>177</v>
      </c>
      <c r="B30" s="42">
        <f>SUMPRODUCT('Model Inputs'!D11:AJ11,'Cash Flow'!D28:AJ28)</f>
        <v>121.76537789558427</v>
      </c>
      <c r="C30" s="73" t="s">
        <v>0</v>
      </c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</row>
    <row r="31" spans="1:36" ht="15.6" outlineLevel="1" x14ac:dyDescent="0.3">
      <c r="A31" s="8" t="s">
        <v>178</v>
      </c>
      <c r="B31" s="37">
        <f>IRR(D28:AJ28)</f>
        <v>0.12929143800149867</v>
      </c>
      <c r="C31" s="73" t="s">
        <v>146</v>
      </c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</row>
    <row r="32" spans="1:36" ht="15.6" outlineLevel="1" x14ac:dyDescent="0.3">
      <c r="A32" s="8" t="s">
        <v>179</v>
      </c>
      <c r="B32" s="37">
        <f>AJ32</f>
        <v>0.12929143800149867</v>
      </c>
      <c r="C32" s="73" t="s">
        <v>146</v>
      </c>
      <c r="D32" s="81" t="e">
        <f>IRR(D28)</f>
        <v>#NUM!</v>
      </c>
      <c r="E32" s="81" t="e">
        <f>IRR($D$28:E28)</f>
        <v>#NUM!</v>
      </c>
      <c r="F32" s="81" t="e">
        <f>IRR($D$28:F28)</f>
        <v>#NUM!</v>
      </c>
      <c r="G32" s="81" t="e">
        <f>IRR($D$28:G28)</f>
        <v>#NUM!</v>
      </c>
      <c r="H32" s="81" t="e">
        <f>IRR($D$28:H28)</f>
        <v>#NUM!</v>
      </c>
      <c r="I32" s="81" t="e">
        <f>IRR($D$28:I28)</f>
        <v>#NUM!</v>
      </c>
      <c r="J32" s="81" t="e">
        <f>IRR($D$28:J28)</f>
        <v>#NUM!</v>
      </c>
      <c r="K32" s="81" t="e">
        <f>IRR($D$28:K28)</f>
        <v>#NUM!</v>
      </c>
      <c r="L32" s="81" t="e">
        <f>IRR($D$28:L28)</f>
        <v>#NUM!</v>
      </c>
      <c r="M32" s="81" t="e">
        <f>IRR($D$28:M28)</f>
        <v>#NUM!</v>
      </c>
      <c r="N32" s="81" t="e">
        <f>IRR($D$28:N28)</f>
        <v>#NUM!</v>
      </c>
      <c r="O32" s="81" t="e">
        <f>IRR($D$28:O28)</f>
        <v>#NUM!</v>
      </c>
      <c r="P32" s="81">
        <f>IRR($D$28:P28)</f>
        <v>-8.2107276386043759E-2</v>
      </c>
      <c r="Q32" s="81">
        <f>IRR($D$28:Q28)</f>
        <v>5.5293472158914891E-3</v>
      </c>
      <c r="R32" s="81">
        <f>IRR($D$28:R28)</f>
        <v>3.5704104007565629E-2</v>
      </c>
      <c r="S32" s="81">
        <f>IRR($D$28:S28)</f>
        <v>6.5787051410359787E-2</v>
      </c>
      <c r="T32" s="81">
        <f>IRR($D$28:T28)</f>
        <v>8.5764668542476663E-2</v>
      </c>
      <c r="U32" s="81">
        <f>IRR($D$28:U28)</f>
        <v>9.949548599629221E-2</v>
      </c>
      <c r="V32" s="81">
        <f>IRR($D$28:V28)</f>
        <v>0.10918840069048019</v>
      </c>
      <c r="W32" s="81">
        <f>IRR($D$28:W28)</f>
        <v>0.11598884937523524</v>
      </c>
      <c r="X32" s="81">
        <f>IRR($D$28:X28)</f>
        <v>0.1198092386157108</v>
      </c>
      <c r="Y32" s="81">
        <f>IRR($D$28:Y28)</f>
        <v>0.12232578194126265</v>
      </c>
      <c r="Z32" s="81">
        <f>IRR($D$28:Z28)</f>
        <v>0.12410239477305596</v>
      </c>
      <c r="AA32" s="81">
        <f>IRR($D$28:AA28)</f>
        <v>0.12545184130948495</v>
      </c>
      <c r="AB32" s="81">
        <f>IRR($D$28:AB28)</f>
        <v>0.12647248955976265</v>
      </c>
      <c r="AC32" s="81">
        <f>IRR($D$28:AC28)</f>
        <v>0.12721915476689394</v>
      </c>
      <c r="AD32" s="81">
        <f>IRR($D$28:AD28)</f>
        <v>0.12781853529729337</v>
      </c>
      <c r="AE32" s="81">
        <f>IRR($D$28:AE28)</f>
        <v>0.12830477318111111</v>
      </c>
      <c r="AF32" s="81">
        <f>IRR($D$28:AF28)</f>
        <v>0.12869994322448441</v>
      </c>
      <c r="AG32" s="81">
        <f>IRR($D$28:AG28)</f>
        <v>0.12902378812581516</v>
      </c>
      <c r="AH32" s="81">
        <f>IRR($D$28:AH28)</f>
        <v>0.12929143800149867</v>
      </c>
      <c r="AI32" s="81">
        <f>IRR($D$28:AI28)</f>
        <v>0.12929143800149867</v>
      </c>
      <c r="AJ32" s="81">
        <f>IRR($D$28:AJ28)</f>
        <v>0.12929143800149867</v>
      </c>
    </row>
    <row r="33" spans="1:36" ht="15.6" outlineLevel="1" x14ac:dyDescent="0.3">
      <c r="A33" s="8" t="s">
        <v>180</v>
      </c>
      <c r="B33" s="39">
        <f>IF(COUNTIF(D29:AJ29,"&lt;0")+Intro!$B$18&gt;2060,"No Payback",COUNTIF(D29:AJ29,"&lt;0")+Intro!$B$18)</f>
        <v>2035</v>
      </c>
      <c r="C33" s="73" t="s">
        <v>113</v>
      </c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</row>
    <row r="34" spans="1:36" ht="15.6" outlineLevel="1" x14ac:dyDescent="0.3">
      <c r="A34" s="8" t="s">
        <v>181</v>
      </c>
      <c r="B34" s="39">
        <f>IF(COUNTIF(D34:AJ34,"&lt;0")+Intro!$B$18&gt;2060,"No Payback",COUNTIF(D34:AJ34,"&lt;0")+Intro!$B$18)</f>
        <v>2040</v>
      </c>
      <c r="C34" s="73" t="s">
        <v>113</v>
      </c>
      <c r="D34" s="77">
        <f>D28/(1+Intro!$B$30)^(D3-Intro!$B$12)</f>
        <v>0</v>
      </c>
      <c r="E34" s="77">
        <f>D34+E28/(1+Intro!$B$30)^('Cash Flow'!E3-Intro!$B$12)</f>
        <v>0</v>
      </c>
      <c r="F34" s="77">
        <f>E34+F28/(1+Intro!$B$30)^('Cash Flow'!F3-Intro!$B$12)</f>
        <v>0</v>
      </c>
      <c r="G34" s="77">
        <f>F34+G28/(1+Intro!$B$30)^('Cash Flow'!G3-Intro!$B$12)</f>
        <v>-6.8533499999999998</v>
      </c>
      <c r="H34" s="77">
        <f>G34+H28/(1+Intro!$B$30)^('Cash Flow'!H3-Intro!$B$12)</f>
        <v>-13.238232954545452</v>
      </c>
      <c r="I34" s="77">
        <f>H34+I28/(1+Intro!$B$30)^('Cash Flow'!I3-Intro!$B$12)</f>
        <v>-77.948596182928711</v>
      </c>
      <c r="J34" s="77">
        <f>I34+J28/(1+Intro!$B$30)^('Cash Flow'!J3-Intro!$B$12)</f>
        <v>-202.65624377326253</v>
      </c>
      <c r="K34" s="77">
        <f>J34+K28/(1+Intro!$B$30)^('Cash Flow'!K3-Intro!$B$12)</f>
        <v>-364.34853269062819</v>
      </c>
      <c r="L34" s="77">
        <f>K34+L28/(1+Intro!$B$30)^('Cash Flow'!L3-Intro!$B$12)</f>
        <v>-522.61482110752399</v>
      </c>
      <c r="M34" s="77">
        <f>L34+M28/(1+Intro!$B$30)^('Cash Flow'!M3-Intro!$B$12)</f>
        <v>-556.20683178449917</v>
      </c>
      <c r="N34" s="77">
        <f>M34+N28/(1+Intro!$B$30)^('Cash Flow'!N3-Intro!$B$12)</f>
        <v>-539.95677876144384</v>
      </c>
      <c r="O34" s="77">
        <f>N34+O28/(1+Intro!$B$30)^('Cash Flow'!O3-Intro!$B$12)</f>
        <v>-429.38232571978921</v>
      </c>
      <c r="P34" s="77">
        <f>O34+P28/(1+Intro!$B$30)^('Cash Flow'!P3-Intro!$B$12)</f>
        <v>-308.12314316415979</v>
      </c>
      <c r="Q34" s="77">
        <f>P34+Q28/(1+Intro!$B$30)^('Cash Flow'!Q3-Intro!$B$12)</f>
        <v>-201.26319456303213</v>
      </c>
      <c r="R34" s="77">
        <f>Q34+R28/(1+Intro!$B$30)^('Cash Flow'!R3-Intro!$B$12)</f>
        <v>-151.56093665087207</v>
      </c>
      <c r="S34" s="77">
        <f>R34+S28/(1+Intro!$B$30)^('Cash Flow'!S3-Intro!$B$12)</f>
        <v>-91.196170307716841</v>
      </c>
      <c r="T34" s="77">
        <f>S34+T28/(1+Intro!$B$30)^('Cash Flow'!T3-Intro!$B$12)</f>
        <v>-41.831789158529276</v>
      </c>
      <c r="U34" s="77">
        <f>T34+U28/(1+Intro!$B$30)^('Cash Flow'!U3-Intro!$B$12)</f>
        <v>-1.6039225421282097</v>
      </c>
      <c r="V34" s="77">
        <f>U34+V28/(1+Intro!$B$30)^('Cash Flow'!V3-Intro!$B$12)</f>
        <v>31.150369649805633</v>
      </c>
      <c r="W34" s="77">
        <f>V34+W28/(1+Intro!$B$30)^('Cash Flow'!W3-Intro!$B$12)</f>
        <v>57.073426023639911</v>
      </c>
      <c r="X34" s="77">
        <f>W34+X28/(1+Intro!$B$30)^('Cash Flow'!X3-Intro!$B$12)</f>
        <v>73.068304691611232</v>
      </c>
      <c r="Y34" s="77">
        <f>X34+Y28/(1+Intro!$B$30)^('Cash Flow'!Y3-Intro!$B$12)</f>
        <v>84.371400464898656</v>
      </c>
      <c r="Z34" s="77">
        <f>Y34+Z28/(1+Intro!$B$30)^('Cash Flow'!Z3-Intro!$B$12)</f>
        <v>92.836690690883444</v>
      </c>
      <c r="AA34" s="77">
        <f>Z34+AA28/(1+Intro!$B$30)^('Cash Flow'!AA3-Intro!$B$12)</f>
        <v>99.614060158958466</v>
      </c>
      <c r="AB34" s="77">
        <f>AA34+AB28/(1+Intro!$B$30)^('Cash Flow'!AB3-Intro!$B$12)</f>
        <v>104.99359307899368</v>
      </c>
      <c r="AC34" s="77">
        <f>AB34+AC28/(1+Intro!$B$30)^('Cash Flow'!AC3-Intro!$B$12)</f>
        <v>109.10671091962139</v>
      </c>
      <c r="AD34" s="77">
        <f>AC34+AD28/(1+Intro!$B$30)^('Cash Flow'!AD3-Intro!$B$12)</f>
        <v>112.54704664397823</v>
      </c>
      <c r="AE34" s="77">
        <f>AD34+AE28/(1+Intro!$B$30)^('Cash Flow'!AE3-Intro!$B$12)</f>
        <v>115.44990220975183</v>
      </c>
      <c r="AF34" s="77">
        <f>AE34+AF28/(1+Intro!$B$30)^('Cash Flow'!AF3-Intro!$B$12)</f>
        <v>117.89995418506878</v>
      </c>
      <c r="AG34" s="77">
        <f>AF34+AG28/(1+Intro!$B$30)^('Cash Flow'!AG3-Intro!$B$12)</f>
        <v>119.98236944997821</v>
      </c>
      <c r="AH34" s="77">
        <f>AG34+AH28/(1+Intro!$B$30)^('Cash Flow'!AH3-Intro!$B$12)</f>
        <v>121.76537789558428</v>
      </c>
      <c r="AI34" s="77">
        <f>AH34+AI28/(1+Intro!$B$30)^('Cash Flow'!AI3-Intro!$B$12)</f>
        <v>121.76537789558428</v>
      </c>
      <c r="AJ34" s="77">
        <f>AI34+AJ28/(1+Intro!$B$30)^('Cash Flow'!AJ3-Intro!$B$12)</f>
        <v>121.76537789558428</v>
      </c>
    </row>
    <row r="35" spans="1:36" ht="15.6" outlineLevel="1" x14ac:dyDescent="0.3">
      <c r="A35" s="8" t="s">
        <v>182</v>
      </c>
      <c r="B35" s="116">
        <f>MIN(D29:AJ29)</f>
        <v>-809.29555608820112</v>
      </c>
      <c r="C35" s="73" t="s">
        <v>0</v>
      </c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</row>
    <row r="36" spans="1:36" ht="15.6" x14ac:dyDescent="0.3">
      <c r="A36" s="8"/>
      <c r="B36" s="40"/>
      <c r="C36" s="73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</row>
    <row r="37" spans="1:36" ht="21" x14ac:dyDescent="0.3">
      <c r="A37" s="12" t="s">
        <v>186</v>
      </c>
      <c r="B37" s="41"/>
      <c r="C37" s="75"/>
    </row>
    <row r="38" spans="1:36" ht="15" outlineLevel="1" x14ac:dyDescent="0.3">
      <c r="A38" s="14"/>
      <c r="B38" s="15" t="str">
        <f>B3</f>
        <v>Total</v>
      </c>
      <c r="C38" s="15" t="str">
        <f t="shared" ref="C38:AB38" si="12">C3</f>
        <v>Unit</v>
      </c>
      <c r="D38" s="15">
        <f t="shared" si="12"/>
        <v>2022</v>
      </c>
      <c r="E38" s="15">
        <f t="shared" si="12"/>
        <v>2023</v>
      </c>
      <c r="F38" s="15">
        <f t="shared" si="12"/>
        <v>2024</v>
      </c>
      <c r="G38" s="15">
        <f t="shared" si="12"/>
        <v>2025</v>
      </c>
      <c r="H38" s="15">
        <f t="shared" si="12"/>
        <v>2026</v>
      </c>
      <c r="I38" s="15">
        <f t="shared" si="12"/>
        <v>2027</v>
      </c>
      <c r="J38" s="15">
        <f t="shared" si="12"/>
        <v>2028</v>
      </c>
      <c r="K38" s="15">
        <f t="shared" si="12"/>
        <v>2029</v>
      </c>
      <c r="L38" s="15">
        <f t="shared" si="12"/>
        <v>2030</v>
      </c>
      <c r="M38" s="15">
        <f t="shared" si="12"/>
        <v>2031</v>
      </c>
      <c r="N38" s="15">
        <f t="shared" si="12"/>
        <v>2032</v>
      </c>
      <c r="O38" s="15">
        <f t="shared" si="12"/>
        <v>2033</v>
      </c>
      <c r="P38" s="15">
        <f t="shared" si="12"/>
        <v>2034</v>
      </c>
      <c r="Q38" s="15">
        <f t="shared" si="12"/>
        <v>2035</v>
      </c>
      <c r="R38" s="15">
        <f t="shared" si="12"/>
        <v>2036</v>
      </c>
      <c r="S38" s="15">
        <f t="shared" si="12"/>
        <v>2037</v>
      </c>
      <c r="T38" s="15">
        <f t="shared" si="12"/>
        <v>2038</v>
      </c>
      <c r="U38" s="15">
        <f t="shared" si="12"/>
        <v>2039</v>
      </c>
      <c r="V38" s="15">
        <f t="shared" si="12"/>
        <v>2040</v>
      </c>
      <c r="W38" s="15">
        <f t="shared" si="12"/>
        <v>2041</v>
      </c>
      <c r="X38" s="15">
        <f t="shared" si="12"/>
        <v>2042</v>
      </c>
      <c r="Y38" s="15">
        <f t="shared" si="12"/>
        <v>2043</v>
      </c>
      <c r="Z38" s="15">
        <f t="shared" si="12"/>
        <v>2044</v>
      </c>
      <c r="AA38" s="15">
        <f t="shared" si="12"/>
        <v>2045</v>
      </c>
      <c r="AB38" s="15">
        <f t="shared" si="12"/>
        <v>2046</v>
      </c>
      <c r="AC38" s="15">
        <f t="shared" ref="AC38:AJ38" si="13">AC3</f>
        <v>2047</v>
      </c>
      <c r="AD38" s="15">
        <f t="shared" si="13"/>
        <v>2048</v>
      </c>
      <c r="AE38" s="15">
        <f t="shared" si="13"/>
        <v>2049</v>
      </c>
      <c r="AF38" s="15">
        <f t="shared" si="13"/>
        <v>2050</v>
      </c>
      <c r="AG38" s="15">
        <f t="shared" si="13"/>
        <v>2051</v>
      </c>
      <c r="AH38" s="15">
        <f t="shared" si="13"/>
        <v>2052</v>
      </c>
      <c r="AI38" s="15">
        <f t="shared" si="13"/>
        <v>2053</v>
      </c>
      <c r="AJ38" s="15">
        <f t="shared" si="13"/>
        <v>2054</v>
      </c>
    </row>
    <row r="39" spans="1:36" ht="15.6" outlineLevel="1" x14ac:dyDescent="0.3">
      <c r="A39" s="8" t="s">
        <v>175</v>
      </c>
      <c r="B39" s="64">
        <f ca="1">SUM(D39:AJ39)</f>
        <v>8947.1420821268348</v>
      </c>
      <c r="C39" s="73" t="s">
        <v>0</v>
      </c>
      <c r="D39" s="77">
        <f>'RSA Model'!D52-'RSA Model'!D84+D4</f>
        <v>0</v>
      </c>
      <c r="E39" s="77">
        <f ca="1">'RSA Model'!E52-'RSA Model'!E84+E4</f>
        <v>0</v>
      </c>
      <c r="F39" s="77">
        <f ca="1">'RSA Model'!F52-'RSA Model'!F84+F4</f>
        <v>0</v>
      </c>
      <c r="G39" s="77">
        <f ca="1">'RSA Model'!G52-'RSA Model'!G84+G4</f>
        <v>0</v>
      </c>
      <c r="H39" s="77">
        <f ca="1">'RSA Model'!H52-'RSA Model'!H84+H4</f>
        <v>0</v>
      </c>
      <c r="I39" s="77">
        <f ca="1">'RSA Model'!I52-'RSA Model'!I84+I4</f>
        <v>0</v>
      </c>
      <c r="J39" s="77">
        <f ca="1">'RSA Model'!J52-'RSA Model'!J84+J4</f>
        <v>0</v>
      </c>
      <c r="K39" s="77">
        <f ca="1">'RSA Model'!K52-'RSA Model'!K84+K4</f>
        <v>0</v>
      </c>
      <c r="L39" s="77">
        <f ca="1">'RSA Model'!L52-'RSA Model'!L84+L4</f>
        <v>0</v>
      </c>
      <c r="M39" s="77">
        <f ca="1">'RSA Model'!M52-'RSA Model'!M84+M4</f>
        <v>0</v>
      </c>
      <c r="N39" s="77">
        <f ca="1">'RSA Model'!N52-'RSA Model'!N84+N4</f>
        <v>76.442449749059449</v>
      </c>
      <c r="O39" s="77">
        <f ca="1">'RSA Model'!O52-'RSA Model'!O84+O4</f>
        <v>-70.440282105718268</v>
      </c>
      <c r="P39" s="77">
        <f ca="1">'RSA Model'!P52-'RSA Model'!P84+P4</f>
        <v>-88.48925977056075</v>
      </c>
      <c r="Q39" s="77">
        <f ca="1">'RSA Model'!Q52-'RSA Model'!Q84+Q4</f>
        <v>-27.765084883627082</v>
      </c>
      <c r="R39" s="77">
        <f ca="1">'RSA Model'!R52-'RSA Model'!R84+R4</f>
        <v>489.24819766838658</v>
      </c>
      <c r="S39" s="77">
        <f ca="1">'RSA Model'!S52-'RSA Model'!S84+S4</f>
        <v>592.14445631960882</v>
      </c>
      <c r="T39" s="77">
        <f ca="1">'RSA Model'!T52-'RSA Model'!T84+T4</f>
        <v>691.83208908102324</v>
      </c>
      <c r="U39" s="77">
        <f ca="1">'RSA Model'!U52-'RSA Model'!U84+U4</f>
        <v>787.39380676962037</v>
      </c>
      <c r="V39" s="77">
        <f ca="1">'RSA Model'!V52-'RSA Model'!V84+V4</f>
        <v>881.39903763840891</v>
      </c>
      <c r="W39" s="77">
        <f ca="1">'RSA Model'!W52-'RSA Model'!W84+W4</f>
        <v>948.98208667304118</v>
      </c>
      <c r="X39" s="77">
        <f ca="1">'RSA Model'!X52-'RSA Model'!X84+X4</f>
        <v>786.11588013358403</v>
      </c>
      <c r="Y39" s="77">
        <f ca="1">'RSA Model'!Y52-'RSA Model'!Y84+Y4</f>
        <v>662.35564953128278</v>
      </c>
      <c r="Z39" s="77">
        <f ca="1">'RSA Model'!Z52-'RSA Model'!Z84+Z4</f>
        <v>545.67722885749947</v>
      </c>
      <c r="AA39" s="77">
        <f ca="1">'RSA Model'!AA52-'RSA Model'!AA84+AA4</f>
        <v>480.56826176165333</v>
      </c>
      <c r="AB39" s="77">
        <f ca="1">'RSA Model'!AB52-'RSA Model'!AB84+AB4</f>
        <v>419.60267305046034</v>
      </c>
      <c r="AC39" s="77">
        <f ca="1">'RSA Model'!AC52-'RSA Model'!AC84+AC4</f>
        <v>353.16035069662854</v>
      </c>
      <c r="AD39" s="77">
        <f ca="1">'RSA Model'!AD52-'RSA Model'!AD84+AD4</f>
        <v>325.208349264086</v>
      </c>
      <c r="AE39" s="77">
        <f ca="1">'RSA Model'!AE52-'RSA Model'!AE84+AE4</f>
        <v>302.13197141071527</v>
      </c>
      <c r="AF39" s="77">
        <f ca="1">'RSA Model'!AF52-'RSA Model'!AF84+AF4</f>
        <v>280.8118994597242</v>
      </c>
      <c r="AG39" s="77">
        <f ca="1">'RSA Model'!AG52-'RSA Model'!AG84+AG4</f>
        <v>262.86165913238972</v>
      </c>
      <c r="AH39" s="77">
        <f ca="1">'RSA Model'!AH52-'RSA Model'!AH84+AH4</f>
        <v>247.90066168956901</v>
      </c>
      <c r="AI39" s="77">
        <f ca="1">'RSA Model'!AI52-'RSA Model'!AI84+AI4</f>
        <v>0</v>
      </c>
      <c r="AJ39" s="77">
        <f ca="1">'RSA Model'!AJ52-'RSA Model'!AJ84+AJ4</f>
        <v>0</v>
      </c>
    </row>
    <row r="40" spans="1:36" ht="15.6" outlineLevel="1" x14ac:dyDescent="0.3">
      <c r="A40" s="8" t="s">
        <v>176</v>
      </c>
      <c r="B40" s="64">
        <f ca="1">AJ40</f>
        <v>8947.1420821268348</v>
      </c>
      <c r="C40" s="73" t="s">
        <v>0</v>
      </c>
      <c r="D40" s="77">
        <f>D39</f>
        <v>0</v>
      </c>
      <c r="E40" s="77">
        <f ca="1">E39+D40</f>
        <v>0</v>
      </c>
      <c r="F40" s="77">
        <f t="shared" ref="F40:AB40" ca="1" si="14">F39+E40</f>
        <v>0</v>
      </c>
      <c r="G40" s="77">
        <f t="shared" ca="1" si="14"/>
        <v>0</v>
      </c>
      <c r="H40" s="77">
        <f t="shared" ca="1" si="14"/>
        <v>0</v>
      </c>
      <c r="I40" s="77">
        <f t="shared" ca="1" si="14"/>
        <v>0</v>
      </c>
      <c r="J40" s="77">
        <f t="shared" ca="1" si="14"/>
        <v>0</v>
      </c>
      <c r="K40" s="77">
        <f t="shared" ca="1" si="14"/>
        <v>0</v>
      </c>
      <c r="L40" s="77">
        <f t="shared" ca="1" si="14"/>
        <v>0</v>
      </c>
      <c r="M40" s="77">
        <f t="shared" ca="1" si="14"/>
        <v>0</v>
      </c>
      <c r="N40" s="77">
        <f t="shared" ca="1" si="14"/>
        <v>76.442449749059449</v>
      </c>
      <c r="O40" s="77">
        <f t="shared" ca="1" si="14"/>
        <v>6.0021676433411812</v>
      </c>
      <c r="P40" s="77">
        <f t="shared" ca="1" si="14"/>
        <v>-82.487092127219569</v>
      </c>
      <c r="Q40" s="77">
        <f t="shared" ca="1" si="14"/>
        <v>-110.25217701084665</v>
      </c>
      <c r="R40" s="77">
        <f t="shared" ca="1" si="14"/>
        <v>378.99602065753993</v>
      </c>
      <c r="S40" s="77">
        <f t="shared" ca="1" si="14"/>
        <v>971.14047697714875</v>
      </c>
      <c r="T40" s="77">
        <f t="shared" ca="1" si="14"/>
        <v>1662.9725660581721</v>
      </c>
      <c r="U40" s="77">
        <f t="shared" ca="1" si="14"/>
        <v>2450.3663728277925</v>
      </c>
      <c r="V40" s="77">
        <f t="shared" ca="1" si="14"/>
        <v>3331.7654104662015</v>
      </c>
      <c r="W40" s="77">
        <f t="shared" ca="1" si="14"/>
        <v>4280.747497139243</v>
      </c>
      <c r="X40" s="77">
        <f t="shared" ca="1" si="14"/>
        <v>5066.8633772728272</v>
      </c>
      <c r="Y40" s="77">
        <f t="shared" ca="1" si="14"/>
        <v>5729.2190268041104</v>
      </c>
      <c r="Z40" s="77">
        <f t="shared" ca="1" si="14"/>
        <v>6274.8962556616098</v>
      </c>
      <c r="AA40" s="77">
        <f t="shared" ca="1" si="14"/>
        <v>6755.4645174232628</v>
      </c>
      <c r="AB40" s="77">
        <f t="shared" ca="1" si="14"/>
        <v>7175.0671904737228</v>
      </c>
      <c r="AC40" s="77">
        <f t="shared" ref="AC40:AJ40" ca="1" si="15">AC39+AB40</f>
        <v>7528.2275411703513</v>
      </c>
      <c r="AD40" s="77">
        <f t="shared" ca="1" si="15"/>
        <v>7853.4358904344372</v>
      </c>
      <c r="AE40" s="77">
        <f t="shared" ca="1" si="15"/>
        <v>8155.567861845152</v>
      </c>
      <c r="AF40" s="77">
        <f t="shared" ca="1" si="15"/>
        <v>8436.3797613048755</v>
      </c>
      <c r="AG40" s="77">
        <f t="shared" ca="1" si="15"/>
        <v>8699.2414204372653</v>
      </c>
      <c r="AH40" s="77">
        <f t="shared" ca="1" si="15"/>
        <v>8947.1420821268348</v>
      </c>
      <c r="AI40" s="77">
        <f t="shared" ca="1" si="15"/>
        <v>8947.1420821268348</v>
      </c>
      <c r="AJ40" s="77">
        <f t="shared" ca="1" si="15"/>
        <v>8947.1420821268348</v>
      </c>
    </row>
    <row r="41" spans="1:36" ht="15.6" outlineLevel="1" x14ac:dyDescent="0.3">
      <c r="A41" s="8" t="s">
        <v>177</v>
      </c>
      <c r="B41" s="64">
        <f ca="1">SUMPRODUCT('Model Inputs'!D13:AJ13,'Cash Flow'!D39:AJ39)</f>
        <v>1812.8342144968171</v>
      </c>
      <c r="C41" s="73" t="s">
        <v>0</v>
      </c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</row>
    <row r="42" spans="1:36" ht="15.6" x14ac:dyDescent="0.3">
      <c r="A42" s="8"/>
      <c r="B42" s="42"/>
      <c r="C42" s="73"/>
    </row>
    <row r="43" spans="1:36" ht="15" x14ac:dyDescent="0.3">
      <c r="A43" s="12" t="s">
        <v>187</v>
      </c>
      <c r="B43" s="38"/>
      <c r="C43" s="76"/>
    </row>
    <row r="44" spans="1:36" ht="15" outlineLevel="1" x14ac:dyDescent="0.3">
      <c r="A44" s="14"/>
      <c r="B44" s="15" t="str">
        <f>B3</f>
        <v>Total</v>
      </c>
      <c r="C44" s="15" t="str">
        <f t="shared" ref="C44:AB44" si="16">C3</f>
        <v>Unit</v>
      </c>
      <c r="D44" s="15">
        <f t="shared" si="16"/>
        <v>2022</v>
      </c>
      <c r="E44" s="15">
        <f t="shared" si="16"/>
        <v>2023</v>
      </c>
      <c r="F44" s="15">
        <f t="shared" si="16"/>
        <v>2024</v>
      </c>
      <c r="G44" s="15">
        <f t="shared" si="16"/>
        <v>2025</v>
      </c>
      <c r="H44" s="15">
        <f t="shared" si="16"/>
        <v>2026</v>
      </c>
      <c r="I44" s="15">
        <f t="shared" si="16"/>
        <v>2027</v>
      </c>
      <c r="J44" s="15">
        <f t="shared" si="16"/>
        <v>2028</v>
      </c>
      <c r="K44" s="15">
        <f t="shared" si="16"/>
        <v>2029</v>
      </c>
      <c r="L44" s="15">
        <f t="shared" si="16"/>
        <v>2030</v>
      </c>
      <c r="M44" s="15">
        <f t="shared" si="16"/>
        <v>2031</v>
      </c>
      <c r="N44" s="15">
        <f t="shared" si="16"/>
        <v>2032</v>
      </c>
      <c r="O44" s="15">
        <f t="shared" si="16"/>
        <v>2033</v>
      </c>
      <c r="P44" s="15">
        <f t="shared" si="16"/>
        <v>2034</v>
      </c>
      <c r="Q44" s="15">
        <f t="shared" si="16"/>
        <v>2035</v>
      </c>
      <c r="R44" s="15">
        <f t="shared" si="16"/>
        <v>2036</v>
      </c>
      <c r="S44" s="15">
        <f t="shared" si="16"/>
        <v>2037</v>
      </c>
      <c r="T44" s="15">
        <f t="shared" si="16"/>
        <v>2038</v>
      </c>
      <c r="U44" s="15">
        <f t="shared" si="16"/>
        <v>2039</v>
      </c>
      <c r="V44" s="15">
        <f t="shared" si="16"/>
        <v>2040</v>
      </c>
      <c r="W44" s="15">
        <f t="shared" si="16"/>
        <v>2041</v>
      </c>
      <c r="X44" s="15">
        <f t="shared" si="16"/>
        <v>2042</v>
      </c>
      <c r="Y44" s="15">
        <f t="shared" si="16"/>
        <v>2043</v>
      </c>
      <c r="Z44" s="15">
        <f t="shared" si="16"/>
        <v>2044</v>
      </c>
      <c r="AA44" s="15">
        <f t="shared" si="16"/>
        <v>2045</v>
      </c>
      <c r="AB44" s="15">
        <f t="shared" si="16"/>
        <v>2046</v>
      </c>
      <c r="AC44" s="15">
        <f t="shared" ref="AC44:AJ44" si="17">AC3</f>
        <v>2047</v>
      </c>
      <c r="AD44" s="15">
        <f t="shared" si="17"/>
        <v>2048</v>
      </c>
      <c r="AE44" s="15">
        <f t="shared" si="17"/>
        <v>2049</v>
      </c>
      <c r="AF44" s="15">
        <f t="shared" si="17"/>
        <v>2050</v>
      </c>
      <c r="AG44" s="15">
        <f t="shared" si="17"/>
        <v>2051</v>
      </c>
      <c r="AH44" s="15">
        <f t="shared" si="17"/>
        <v>2052</v>
      </c>
      <c r="AI44" s="15">
        <f t="shared" si="17"/>
        <v>2053</v>
      </c>
      <c r="AJ44" s="15">
        <f t="shared" si="17"/>
        <v>2054</v>
      </c>
    </row>
    <row r="45" spans="1:36" ht="15.6" outlineLevel="1" x14ac:dyDescent="0.3">
      <c r="A45" s="8" t="s">
        <v>175</v>
      </c>
      <c r="B45" s="64">
        <f ca="1">SUM(D45:AJ45)</f>
        <v>10896.214988888465</v>
      </c>
      <c r="C45" s="73" t="s">
        <v>0</v>
      </c>
      <c r="D45" s="77">
        <f>'RSA Model'!D84+'Cash Flow'!D39</f>
        <v>0</v>
      </c>
      <c r="E45" s="77">
        <f ca="1">'RSA Model'!E84+'Cash Flow'!E39</f>
        <v>0</v>
      </c>
      <c r="F45" s="77">
        <f ca="1">'RSA Model'!F84+'Cash Flow'!F39</f>
        <v>0</v>
      </c>
      <c r="G45" s="77">
        <f ca="1">'RSA Model'!G84+'Cash Flow'!G39</f>
        <v>0</v>
      </c>
      <c r="H45" s="77">
        <f ca="1">'RSA Model'!H84+'Cash Flow'!H39</f>
        <v>0</v>
      </c>
      <c r="I45" s="77">
        <f ca="1">'RSA Model'!I84+'Cash Flow'!I39</f>
        <v>0</v>
      </c>
      <c r="J45" s="77">
        <f ca="1">'RSA Model'!J84+'Cash Flow'!J39</f>
        <v>0</v>
      </c>
      <c r="K45" s="77">
        <f ca="1">'RSA Model'!K84+'Cash Flow'!K39</f>
        <v>0</v>
      </c>
      <c r="L45" s="77">
        <f ca="1">'RSA Model'!L84+'Cash Flow'!L39</f>
        <v>0</v>
      </c>
      <c r="M45" s="77">
        <f ca="1">'RSA Model'!M84+'Cash Flow'!M39</f>
        <v>0</v>
      </c>
      <c r="N45" s="77">
        <f ca="1">'RSA Model'!N84+'Cash Flow'!N39</f>
        <v>76.442449749059449</v>
      </c>
      <c r="O45" s="77">
        <f ca="1">'RSA Model'!O84+'Cash Flow'!O39</f>
        <v>164.54430431284112</v>
      </c>
      <c r="P45" s="77">
        <f ca="1">'RSA Model'!P84+'Cash Flow'!P39</f>
        <v>178.82158463172811</v>
      </c>
      <c r="Q45" s="77">
        <f ca="1">'RSA Model'!Q84+'Cash Flow'!Q39</f>
        <v>233.64124935247946</v>
      </c>
      <c r="R45" s="77">
        <f ca="1">'RSA Model'!R84+'Cash Flow'!R39</f>
        <v>654.3667005178786</v>
      </c>
      <c r="S45" s="77">
        <f ca="1">'RSA Model'!S84+'Cash Flow'!S39</f>
        <v>742.52145650132434</v>
      </c>
      <c r="T45" s="77">
        <f ca="1">'RSA Model'!T84+'Cash Flow'!T39</f>
        <v>828.99170999659668</v>
      </c>
      <c r="U45" s="77">
        <f ca="1">'RSA Model'!U84+'Cash Flow'!U39</f>
        <v>912.32923511576882</v>
      </c>
      <c r="V45" s="77">
        <f ca="1">'RSA Model'!V84+'Cash Flow'!V39</f>
        <v>995.38685549697982</v>
      </c>
      <c r="W45" s="77">
        <f ca="1">'RSA Model'!W84+'Cash Flow'!W39</f>
        <v>1050.3735432097476</v>
      </c>
      <c r="X45" s="77">
        <f ca="1">'RSA Model'!X84+'Cash Flow'!X39</f>
        <v>857.18049829527195</v>
      </c>
      <c r="Y45" s="77">
        <f ca="1">'RSA Model'!Y84+'Cash Flow'!Y39</f>
        <v>718.22031869670468</v>
      </c>
      <c r="Z45" s="77">
        <f ca="1">'RSA Model'!Z84+'Cash Flow'!Z39</f>
        <v>591.69080068923904</v>
      </c>
      <c r="AA45" s="77">
        <f ca="1">'RSA Model'!AA84+'Cash Flow'!AA39</f>
        <v>521.08288860612197</v>
      </c>
      <c r="AB45" s="77">
        <f ca="1">'RSA Model'!AB84+'Cash Flow'!AB39</f>
        <v>454.97015076143509</v>
      </c>
      <c r="AC45" s="77">
        <f ca="1">'RSA Model'!AC84+'Cash Flow'!AC39</f>
        <v>382.65040089046556</v>
      </c>
      <c r="AD45" s="77">
        <f ca="1">'RSA Model'!AD84+'Cash Flow'!AD39</f>
        <v>352.06636051891792</v>
      </c>
      <c r="AE45" s="77">
        <f ca="1">'RSA Model'!AE84+'Cash Flow'!AE39</f>
        <v>326.76972936400165</v>
      </c>
      <c r="AF45" s="77">
        <f ca="1">'RSA Model'!AF84+'Cash Flow'!AF39</f>
        <v>303.37820226945229</v>
      </c>
      <c r="AG45" s="77">
        <f ca="1">'RSA Model'!AG84+'Cash Flow'!AG39</f>
        <v>283.64106002341208</v>
      </c>
      <c r="AH45" s="77">
        <f ca="1">'RSA Model'!AH84+'Cash Flow'!AH39</f>
        <v>267.14548988904056</v>
      </c>
      <c r="AI45" s="77">
        <f ca="1">'RSA Model'!AI84+'Cash Flow'!AI39</f>
        <v>0</v>
      </c>
      <c r="AJ45" s="77">
        <f ca="1">'RSA Model'!AJ84+'Cash Flow'!AJ39</f>
        <v>0</v>
      </c>
    </row>
    <row r="46" spans="1:36" ht="15.6" outlineLevel="1" x14ac:dyDescent="0.3">
      <c r="A46" s="8" t="s">
        <v>227</v>
      </c>
      <c r="B46" s="64">
        <f>SUM(D46:AJ46)</f>
        <v>0</v>
      </c>
      <c r="C46" s="73" t="s">
        <v>0</v>
      </c>
      <c r="D46" s="77">
        <f>'Model Inputs'!E25*('Model Inputs'!D17-'Model Inputs'!D20)</f>
        <v>0</v>
      </c>
      <c r="E46" s="77">
        <f>'Model Inputs'!F25*('Model Inputs'!E17-'Model Inputs'!E20)</f>
        <v>0</v>
      </c>
      <c r="F46" s="77">
        <f>'Model Inputs'!G25*('Model Inputs'!F17-'Model Inputs'!F20)</f>
        <v>0</v>
      </c>
      <c r="G46" s="77">
        <f>'Model Inputs'!H25*('Model Inputs'!G17-'Model Inputs'!G20)</f>
        <v>0</v>
      </c>
      <c r="H46" s="77">
        <f>'Model Inputs'!I25*('Model Inputs'!H17-'Model Inputs'!H20)</f>
        <v>0</v>
      </c>
      <c r="I46" s="77">
        <f>'Model Inputs'!J25*('Model Inputs'!I17-'Model Inputs'!I20)</f>
        <v>0</v>
      </c>
      <c r="J46" s="77">
        <f>'Model Inputs'!K25*('Model Inputs'!J17-'Model Inputs'!J20)</f>
        <v>0</v>
      </c>
      <c r="K46" s="77">
        <f>'Model Inputs'!L25*('Model Inputs'!K17-'Model Inputs'!K20)</f>
        <v>0</v>
      </c>
      <c r="L46" s="77">
        <f>'Model Inputs'!M25*('Model Inputs'!L17-'Model Inputs'!L20)</f>
        <v>0</v>
      </c>
      <c r="M46" s="77">
        <f>'Model Inputs'!N25*('Model Inputs'!M17-'Model Inputs'!M20)</f>
        <v>0</v>
      </c>
      <c r="N46" s="77">
        <f>'Model Inputs'!O25*('Model Inputs'!N17-'Model Inputs'!N20)</f>
        <v>0</v>
      </c>
      <c r="O46" s="77">
        <f>'Model Inputs'!P25*('Model Inputs'!O17-'Model Inputs'!O20)</f>
        <v>0</v>
      </c>
      <c r="P46" s="77">
        <f>'Model Inputs'!Q25*('Model Inputs'!P17-'Model Inputs'!P20)</f>
        <v>0</v>
      </c>
      <c r="Q46" s="77">
        <f>'Model Inputs'!R25*('Model Inputs'!Q17-'Model Inputs'!Q20)</f>
        <v>0</v>
      </c>
      <c r="R46" s="77">
        <f>'Model Inputs'!S25*('Model Inputs'!R17-'Model Inputs'!R20)</f>
        <v>0</v>
      </c>
      <c r="S46" s="77">
        <f>'Model Inputs'!T25*('Model Inputs'!S17-'Model Inputs'!S20)</f>
        <v>0</v>
      </c>
      <c r="T46" s="77">
        <f>'Model Inputs'!U25*('Model Inputs'!T17-'Model Inputs'!T20)</f>
        <v>0</v>
      </c>
      <c r="U46" s="77">
        <f>'Model Inputs'!V25*('Model Inputs'!U17-'Model Inputs'!U20)</f>
        <v>0</v>
      </c>
      <c r="V46" s="77">
        <f>'Model Inputs'!W25*('Model Inputs'!V17-'Model Inputs'!V20)</f>
        <v>0</v>
      </c>
      <c r="W46" s="77">
        <f>'Model Inputs'!X25*('Model Inputs'!W17-'Model Inputs'!W20)</f>
        <v>0</v>
      </c>
      <c r="X46" s="77">
        <f>'Model Inputs'!Y25*('Model Inputs'!X17-'Model Inputs'!X20)</f>
        <v>0</v>
      </c>
      <c r="Y46" s="77">
        <f>'Model Inputs'!Z25*('Model Inputs'!Y17-'Model Inputs'!Y20)</f>
        <v>0</v>
      </c>
      <c r="Z46" s="77">
        <f>'Model Inputs'!AA25*('Model Inputs'!Z17-'Model Inputs'!Z20)</f>
        <v>0</v>
      </c>
      <c r="AA46" s="77">
        <f>'Model Inputs'!AB25*('Model Inputs'!AA17-'Model Inputs'!AA20)</f>
        <v>0</v>
      </c>
      <c r="AB46" s="77">
        <f>'Model Inputs'!AC25*('Model Inputs'!AB17-'Model Inputs'!AB20)</f>
        <v>0</v>
      </c>
      <c r="AC46" s="77">
        <f>'Model Inputs'!AD25*('Model Inputs'!AC17-'Model Inputs'!AC20)</f>
        <v>0</v>
      </c>
      <c r="AD46" s="77">
        <f>'Model Inputs'!AE25*('Model Inputs'!AD17-'Model Inputs'!AD20)</f>
        <v>0</v>
      </c>
      <c r="AE46" s="77">
        <f>'Model Inputs'!AF25*('Model Inputs'!AE17-'Model Inputs'!AE20)</f>
        <v>0</v>
      </c>
      <c r="AF46" s="77">
        <f>'Model Inputs'!AG25*('Model Inputs'!AF17-'Model Inputs'!AF20)</f>
        <v>0</v>
      </c>
      <c r="AG46" s="77">
        <f>'Model Inputs'!AH25*('Model Inputs'!AG17-'Model Inputs'!AG20)</f>
        <v>0</v>
      </c>
      <c r="AH46" s="77">
        <f>'Model Inputs'!AI25*('Model Inputs'!AH17-'Model Inputs'!AH20)</f>
        <v>0</v>
      </c>
      <c r="AI46" s="77">
        <f>'Model Inputs'!AJ25*('Model Inputs'!AI17-'Model Inputs'!AI20)</f>
        <v>0</v>
      </c>
      <c r="AJ46" s="77">
        <f>'Model Inputs'!AK25*('Model Inputs'!AJ17-'Model Inputs'!AJ20)</f>
        <v>0</v>
      </c>
    </row>
    <row r="47" spans="1:36" ht="15.6" outlineLevel="1" x14ac:dyDescent="0.3">
      <c r="A47" s="8" t="s">
        <v>176</v>
      </c>
      <c r="B47" s="64">
        <f ca="1">AJ47</f>
        <v>10896.214988888465</v>
      </c>
      <c r="C47" s="73" t="s">
        <v>0</v>
      </c>
      <c r="D47" s="77">
        <f>D45</f>
        <v>0</v>
      </c>
      <c r="E47" s="77">
        <f ca="1">E45+D47</f>
        <v>0</v>
      </c>
      <c r="F47" s="77">
        <f t="shared" ref="F47:AB47" ca="1" si="18">F45+E47</f>
        <v>0</v>
      </c>
      <c r="G47" s="77">
        <f t="shared" ca="1" si="18"/>
        <v>0</v>
      </c>
      <c r="H47" s="77">
        <f t="shared" ca="1" si="18"/>
        <v>0</v>
      </c>
      <c r="I47" s="77">
        <f t="shared" ca="1" si="18"/>
        <v>0</v>
      </c>
      <c r="J47" s="77">
        <f t="shared" ca="1" si="18"/>
        <v>0</v>
      </c>
      <c r="K47" s="77">
        <f t="shared" ca="1" si="18"/>
        <v>0</v>
      </c>
      <c r="L47" s="77">
        <f t="shared" ca="1" si="18"/>
        <v>0</v>
      </c>
      <c r="M47" s="77">
        <f t="shared" ca="1" si="18"/>
        <v>0</v>
      </c>
      <c r="N47" s="77">
        <f t="shared" ca="1" si="18"/>
        <v>76.442449749059449</v>
      </c>
      <c r="O47" s="77">
        <f t="shared" ca="1" si="18"/>
        <v>240.98675406190057</v>
      </c>
      <c r="P47" s="77">
        <f t="shared" ca="1" si="18"/>
        <v>419.80833869362868</v>
      </c>
      <c r="Q47" s="77">
        <f t="shared" ca="1" si="18"/>
        <v>653.44958804610815</v>
      </c>
      <c r="R47" s="77">
        <f t="shared" ca="1" si="18"/>
        <v>1307.8162885639867</v>
      </c>
      <c r="S47" s="77">
        <f t="shared" ca="1" si="18"/>
        <v>2050.3377450653111</v>
      </c>
      <c r="T47" s="77">
        <f t="shared" ca="1" si="18"/>
        <v>2879.3294550619075</v>
      </c>
      <c r="U47" s="77">
        <f t="shared" ca="1" si="18"/>
        <v>3791.6586901776764</v>
      </c>
      <c r="V47" s="77">
        <f t="shared" ca="1" si="18"/>
        <v>4787.0455456746558</v>
      </c>
      <c r="W47" s="77">
        <f t="shared" ca="1" si="18"/>
        <v>5837.4190888844032</v>
      </c>
      <c r="X47" s="77">
        <f t="shared" ca="1" si="18"/>
        <v>6694.5995871796749</v>
      </c>
      <c r="Y47" s="77">
        <f t="shared" ca="1" si="18"/>
        <v>7412.8199058763794</v>
      </c>
      <c r="Z47" s="77">
        <f t="shared" ca="1" si="18"/>
        <v>8004.5107065656184</v>
      </c>
      <c r="AA47" s="77">
        <f t="shared" ca="1" si="18"/>
        <v>8525.5935951717402</v>
      </c>
      <c r="AB47" s="77">
        <f t="shared" ca="1" si="18"/>
        <v>8980.5637459331756</v>
      </c>
      <c r="AC47" s="77">
        <f t="shared" ref="AC47:AJ47" ca="1" si="19">AC45+AB47</f>
        <v>9363.2141468236405</v>
      </c>
      <c r="AD47" s="77">
        <f t="shared" ca="1" si="19"/>
        <v>9715.2805073425588</v>
      </c>
      <c r="AE47" s="77">
        <f t="shared" ca="1" si="19"/>
        <v>10042.05023670656</v>
      </c>
      <c r="AF47" s="77">
        <f t="shared" ca="1" si="19"/>
        <v>10345.428438976012</v>
      </c>
      <c r="AG47" s="77">
        <f t="shared" ca="1" si="19"/>
        <v>10629.069498999424</v>
      </c>
      <c r="AH47" s="77">
        <f t="shared" ca="1" si="19"/>
        <v>10896.214988888465</v>
      </c>
      <c r="AI47" s="77">
        <f t="shared" ca="1" si="19"/>
        <v>10896.214988888465</v>
      </c>
      <c r="AJ47" s="77">
        <f t="shared" ca="1" si="19"/>
        <v>10896.214988888465</v>
      </c>
    </row>
    <row r="48" spans="1:36" ht="15.6" outlineLevel="1" x14ac:dyDescent="0.3">
      <c r="A48" s="8" t="s">
        <v>177</v>
      </c>
      <c r="B48" s="64">
        <f ca="1">SUMPRODUCT('Model Inputs'!D13:AJ13,D45:AJ45)</f>
        <v>2421.2269037562082</v>
      </c>
      <c r="C48" s="73" t="s">
        <v>0</v>
      </c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</row>
    <row r="49" spans="1:37" ht="15.6" x14ac:dyDescent="0.3">
      <c r="A49" s="8"/>
      <c r="B49" s="10"/>
      <c r="C49" s="73"/>
    </row>
    <row r="50" spans="1:37" ht="15" x14ac:dyDescent="0.3">
      <c r="A50" s="12" t="s">
        <v>188</v>
      </c>
      <c r="B50" s="38"/>
      <c r="C50" s="76"/>
    </row>
    <row r="51" spans="1:37" ht="15" outlineLevel="1" x14ac:dyDescent="0.3">
      <c r="A51" s="14"/>
      <c r="B51" s="15" t="str">
        <f>B3</f>
        <v>Total</v>
      </c>
      <c r="C51" s="15" t="str">
        <f t="shared" ref="C51:AB51" si="20">C3</f>
        <v>Unit</v>
      </c>
      <c r="D51" s="15">
        <f t="shared" si="20"/>
        <v>2022</v>
      </c>
      <c r="E51" s="15">
        <f t="shared" si="20"/>
        <v>2023</v>
      </c>
      <c r="F51" s="15">
        <f t="shared" si="20"/>
        <v>2024</v>
      </c>
      <c r="G51" s="15">
        <f t="shared" si="20"/>
        <v>2025</v>
      </c>
      <c r="H51" s="15">
        <f t="shared" si="20"/>
        <v>2026</v>
      </c>
      <c r="I51" s="15">
        <f t="shared" si="20"/>
        <v>2027</v>
      </c>
      <c r="J51" s="15">
        <f t="shared" si="20"/>
        <v>2028</v>
      </c>
      <c r="K51" s="15">
        <f t="shared" si="20"/>
        <v>2029</v>
      </c>
      <c r="L51" s="15">
        <f t="shared" si="20"/>
        <v>2030</v>
      </c>
      <c r="M51" s="15">
        <f t="shared" si="20"/>
        <v>2031</v>
      </c>
      <c r="N51" s="15">
        <f t="shared" si="20"/>
        <v>2032</v>
      </c>
      <c r="O51" s="15">
        <f t="shared" si="20"/>
        <v>2033</v>
      </c>
      <c r="P51" s="15">
        <f t="shared" si="20"/>
        <v>2034</v>
      </c>
      <c r="Q51" s="15">
        <f t="shared" si="20"/>
        <v>2035</v>
      </c>
      <c r="R51" s="15">
        <f t="shared" si="20"/>
        <v>2036</v>
      </c>
      <c r="S51" s="15">
        <f t="shared" si="20"/>
        <v>2037</v>
      </c>
      <c r="T51" s="15">
        <f t="shared" si="20"/>
        <v>2038</v>
      </c>
      <c r="U51" s="15">
        <f t="shared" si="20"/>
        <v>2039</v>
      </c>
      <c r="V51" s="15">
        <f t="shared" si="20"/>
        <v>2040</v>
      </c>
      <c r="W51" s="15">
        <f t="shared" si="20"/>
        <v>2041</v>
      </c>
      <c r="X51" s="15">
        <f t="shared" si="20"/>
        <v>2042</v>
      </c>
      <c r="Y51" s="15">
        <f t="shared" si="20"/>
        <v>2043</v>
      </c>
      <c r="Z51" s="15">
        <f t="shared" si="20"/>
        <v>2044</v>
      </c>
      <c r="AA51" s="15">
        <f t="shared" si="20"/>
        <v>2045</v>
      </c>
      <c r="AB51" s="15">
        <f t="shared" si="20"/>
        <v>2046</v>
      </c>
      <c r="AC51" s="15">
        <f t="shared" ref="AC51:AJ51" si="21">AC3</f>
        <v>2047</v>
      </c>
      <c r="AD51" s="15">
        <f t="shared" si="21"/>
        <v>2048</v>
      </c>
      <c r="AE51" s="15">
        <f t="shared" si="21"/>
        <v>2049</v>
      </c>
      <c r="AF51" s="15">
        <f t="shared" si="21"/>
        <v>2050</v>
      </c>
      <c r="AG51" s="15">
        <f t="shared" si="21"/>
        <v>2051</v>
      </c>
      <c r="AH51" s="15">
        <f t="shared" si="21"/>
        <v>2052</v>
      </c>
      <c r="AI51" s="15">
        <f t="shared" si="21"/>
        <v>2053</v>
      </c>
      <c r="AJ51" s="15">
        <f t="shared" si="21"/>
        <v>2054</v>
      </c>
    </row>
    <row r="52" spans="1:37" ht="15.6" outlineLevel="1" x14ac:dyDescent="0.3">
      <c r="A52" s="8" t="s">
        <v>147</v>
      </c>
      <c r="B52" s="10">
        <f>SUM(D52:AJ52)</f>
        <v>4732.3263425126725</v>
      </c>
      <c r="C52" s="73" t="s">
        <v>0</v>
      </c>
      <c r="D52" s="77">
        <f>'RSA Model'!D51</f>
        <v>0</v>
      </c>
      <c r="E52" s="77">
        <f>'RSA Model'!E51</f>
        <v>0</v>
      </c>
      <c r="F52" s="77">
        <f>'RSA Model'!F51</f>
        <v>0</v>
      </c>
      <c r="G52" s="77">
        <f>'RSA Model'!G51</f>
        <v>0</v>
      </c>
      <c r="H52" s="77">
        <f>'RSA Model'!H51</f>
        <v>0</v>
      </c>
      <c r="I52" s="77">
        <f>'RSA Model'!I51</f>
        <v>0</v>
      </c>
      <c r="J52" s="77">
        <f>'RSA Model'!J51</f>
        <v>0</v>
      </c>
      <c r="K52" s="77">
        <f>'RSA Model'!K51</f>
        <v>0</v>
      </c>
      <c r="L52" s="77">
        <f>'RSA Model'!L51</f>
        <v>0</v>
      </c>
      <c r="M52" s="77">
        <f>'RSA Model'!M51</f>
        <v>0</v>
      </c>
      <c r="N52" s="77">
        <f>'RSA Model'!N51</f>
        <v>76.442449749059449</v>
      </c>
      <c r="O52" s="77">
        <f>'RSA Model'!O51</f>
        <v>164.54430431284112</v>
      </c>
      <c r="P52" s="77">
        <f>'RSA Model'!P51</f>
        <v>178.82158463172811</v>
      </c>
      <c r="Q52" s="77">
        <f>'RSA Model'!Q51</f>
        <v>233.64124935247946</v>
      </c>
      <c r="R52" s="77">
        <f>'RSA Model'!R51</f>
        <v>601.56097823020559</v>
      </c>
      <c r="S52" s="77">
        <f>'RSA Model'!S51</f>
        <v>541.28713041568938</v>
      </c>
      <c r="T52" s="77">
        <f>'RSA Model'!T51</f>
        <v>486.91209159334215</v>
      </c>
      <c r="U52" s="77">
        <f>'RSA Model'!U51</f>
        <v>436.47216151391825</v>
      </c>
      <c r="V52" s="77">
        <f>'RSA Model'!V51</f>
        <v>390.922305997889</v>
      </c>
      <c r="W52" s="77">
        <f>'RSA Model'!W51</f>
        <v>340.33069646166831</v>
      </c>
      <c r="X52" s="77">
        <f>'RSA Model'!X51</f>
        <v>230.98753982665292</v>
      </c>
      <c r="Y52" s="77">
        <f>'RSA Model'!Y51</f>
        <v>179.55507967417617</v>
      </c>
      <c r="Z52" s="77">
        <f>'RSA Model'!Z51</f>
        <v>147.92270017230976</v>
      </c>
      <c r="AA52" s="77">
        <f>'RSA Model'!AA51</f>
        <v>130.27072215153049</v>
      </c>
      <c r="AB52" s="77">
        <f>'RSA Model'!AB51</f>
        <v>113.74253769035877</v>
      </c>
      <c r="AC52" s="77">
        <f>'RSA Model'!AC51</f>
        <v>95.662600222616391</v>
      </c>
      <c r="AD52" s="77">
        <f>'RSA Model'!AD51</f>
        <v>88.016590129729465</v>
      </c>
      <c r="AE52" s="77">
        <f>'RSA Model'!AE51</f>
        <v>81.692432341000412</v>
      </c>
      <c r="AF52" s="77">
        <f>'RSA Model'!AF51</f>
        <v>75.844550567363072</v>
      </c>
      <c r="AG52" s="77">
        <f>'RSA Model'!AG51</f>
        <v>70.91026500585302</v>
      </c>
      <c r="AH52" s="77">
        <f>'RSA Model'!AH51</f>
        <v>66.78637247226014</v>
      </c>
      <c r="AI52" s="77">
        <f>'RSA Model'!AI51</f>
        <v>0</v>
      </c>
      <c r="AJ52" s="77">
        <f>'RSA Model'!AJ51</f>
        <v>0</v>
      </c>
    </row>
    <row r="53" spans="1:37" ht="15.6" outlineLevel="1" x14ac:dyDescent="0.3">
      <c r="A53" s="8" t="s">
        <v>189</v>
      </c>
      <c r="B53" s="10">
        <f>SUM(D53:AJ53)</f>
        <v>10896.214988888465</v>
      </c>
      <c r="C53" s="73" t="s">
        <v>0</v>
      </c>
      <c r="D53" s="77">
        <f>'RSA Model'!D52</f>
        <v>0</v>
      </c>
      <c r="E53" s="77">
        <f>'RSA Model'!E52</f>
        <v>0</v>
      </c>
      <c r="F53" s="77">
        <f>'RSA Model'!F52</f>
        <v>0</v>
      </c>
      <c r="G53" s="77">
        <f>'RSA Model'!G52</f>
        <v>0</v>
      </c>
      <c r="H53" s="77">
        <f>'RSA Model'!H52</f>
        <v>0</v>
      </c>
      <c r="I53" s="77">
        <f>'RSA Model'!I52</f>
        <v>0</v>
      </c>
      <c r="J53" s="77">
        <f>'RSA Model'!J52</f>
        <v>0</v>
      </c>
      <c r="K53" s="77">
        <f>'RSA Model'!K52</f>
        <v>0</v>
      </c>
      <c r="L53" s="77">
        <f>'RSA Model'!L52</f>
        <v>0</v>
      </c>
      <c r="M53" s="77">
        <f>'RSA Model'!M52</f>
        <v>0</v>
      </c>
      <c r="N53" s="77">
        <f>'RSA Model'!N52</f>
        <v>76.442449749059449</v>
      </c>
      <c r="O53" s="77">
        <f>'RSA Model'!O52</f>
        <v>164.54430431284112</v>
      </c>
      <c r="P53" s="77">
        <f>'RSA Model'!P52</f>
        <v>178.82158463172811</v>
      </c>
      <c r="Q53" s="77">
        <f>'RSA Model'!Q52</f>
        <v>233.64124935247946</v>
      </c>
      <c r="R53" s="77">
        <f>'RSA Model'!R52</f>
        <v>654.3667005178786</v>
      </c>
      <c r="S53" s="77">
        <f>'RSA Model'!S52</f>
        <v>742.52145650132434</v>
      </c>
      <c r="T53" s="77">
        <f>'RSA Model'!T52</f>
        <v>828.99170999659668</v>
      </c>
      <c r="U53" s="77">
        <f>'RSA Model'!U52</f>
        <v>912.32923511576882</v>
      </c>
      <c r="V53" s="77">
        <f>'RSA Model'!V52</f>
        <v>995.38685549697982</v>
      </c>
      <c r="W53" s="77">
        <f>'RSA Model'!W52</f>
        <v>1050.3735432097476</v>
      </c>
      <c r="X53" s="77">
        <f>'RSA Model'!X52</f>
        <v>857.18049829527195</v>
      </c>
      <c r="Y53" s="77">
        <f>'RSA Model'!Y52</f>
        <v>718.22031869670468</v>
      </c>
      <c r="Z53" s="77">
        <f>'RSA Model'!Z52</f>
        <v>591.69080068923904</v>
      </c>
      <c r="AA53" s="77">
        <f>'RSA Model'!AA52</f>
        <v>521.08288860612197</v>
      </c>
      <c r="AB53" s="77">
        <f>'RSA Model'!AB52</f>
        <v>454.97015076143509</v>
      </c>
      <c r="AC53" s="77">
        <f>'RSA Model'!AC52</f>
        <v>382.65040089046556</v>
      </c>
      <c r="AD53" s="77">
        <f>'RSA Model'!AD52</f>
        <v>352.06636051891786</v>
      </c>
      <c r="AE53" s="77">
        <f>'RSA Model'!AE52</f>
        <v>326.76972936400165</v>
      </c>
      <c r="AF53" s="77">
        <f>'RSA Model'!AF52</f>
        <v>303.37820226945229</v>
      </c>
      <c r="AG53" s="77">
        <f>'RSA Model'!AG52</f>
        <v>283.64106002341208</v>
      </c>
      <c r="AH53" s="77">
        <f>'RSA Model'!AH52</f>
        <v>267.14548988904056</v>
      </c>
      <c r="AI53" s="77">
        <f>'RSA Model'!AI52</f>
        <v>0</v>
      </c>
      <c r="AJ53" s="77">
        <f>'RSA Model'!AJ52</f>
        <v>0</v>
      </c>
    </row>
    <row r="54" spans="1:37" ht="15.6" outlineLevel="1" x14ac:dyDescent="0.3">
      <c r="A54" s="8" t="s">
        <v>190</v>
      </c>
      <c r="B54" s="10">
        <f>SUM(D54:AJ54)</f>
        <v>1167.4201704244633</v>
      </c>
      <c r="C54" s="73" t="s">
        <v>0</v>
      </c>
      <c r="D54" s="77">
        <f>'RSA Model'!D25</f>
        <v>0</v>
      </c>
      <c r="E54" s="77">
        <f>'RSA Model'!E25</f>
        <v>0</v>
      </c>
      <c r="F54" s="77">
        <f>'RSA Model'!F25</f>
        <v>0</v>
      </c>
      <c r="G54" s="77">
        <f>'RSA Model'!G25</f>
        <v>0</v>
      </c>
      <c r="H54" s="77">
        <f>'RSA Model'!H25</f>
        <v>0</v>
      </c>
      <c r="I54" s="77">
        <f>'RSA Model'!I25</f>
        <v>0</v>
      </c>
      <c r="J54" s="77">
        <f>'RSA Model'!J25</f>
        <v>0</v>
      </c>
      <c r="K54" s="77">
        <f>'RSA Model'!K25</f>
        <v>0</v>
      </c>
      <c r="L54" s="77">
        <f>'RSA Model'!L25</f>
        <v>0</v>
      </c>
      <c r="M54" s="77">
        <f>'RSA Model'!M25</f>
        <v>0</v>
      </c>
      <c r="N54" s="77">
        <f>'RSA Model'!N25</f>
        <v>53.566883291782133</v>
      </c>
      <c r="O54" s="77">
        <f>'RSA Model'!O25</f>
        <v>53.315541560774598</v>
      </c>
      <c r="P54" s="77">
        <f>'RSA Model'!P25</f>
        <v>56.759880666469869</v>
      </c>
      <c r="Q54" s="77">
        <f>'RSA Model'!Q25</f>
        <v>58.178877683131617</v>
      </c>
      <c r="R54" s="77">
        <f>'RSA Model'!R25</f>
        <v>59.796728665278962</v>
      </c>
      <c r="S54" s="77">
        <f>'RSA Model'!S25</f>
        <v>61.124183365840139</v>
      </c>
      <c r="T54" s="77">
        <f>'RSA Model'!T25</f>
        <v>62.652287949986146</v>
      </c>
      <c r="U54" s="77">
        <f>'RSA Model'!U25</f>
        <v>64.218595148735787</v>
      </c>
      <c r="V54" s="77">
        <f>'RSA Model'!V25</f>
        <v>66.004399917940361</v>
      </c>
      <c r="W54" s="77">
        <f>'RSA Model'!W25</f>
        <v>66.213656630434855</v>
      </c>
      <c r="X54" s="77">
        <f>'RSA Model'!X25</f>
        <v>101.54946152694575</v>
      </c>
      <c r="Y54" s="77">
        <f>'RSA Model'!Y25</f>
        <v>82.73826768354553</v>
      </c>
      <c r="Z54" s="77">
        <f>'RSA Model'!Z25</f>
        <v>67.325278925601282</v>
      </c>
      <c r="AA54" s="77">
        <f>'RSA Model'!AA25</f>
        <v>58.573592630696851</v>
      </c>
      <c r="AB54" s="77">
        <f>'RSA Model'!AB25</f>
        <v>50.531978643940938</v>
      </c>
      <c r="AC54" s="77">
        <f>'RSA Model'!AC25</f>
        <v>42.000077897927589</v>
      </c>
      <c r="AD54" s="77">
        <f>'RSA Model'!AD25</f>
        <v>38.195541885710377</v>
      </c>
      <c r="AE54" s="77">
        <f>'RSA Model'!AE25</f>
        <v>35.04655983957224</v>
      </c>
      <c r="AF54" s="77">
        <f>'RSA Model'!AF25</f>
        <v>32.172002161117156</v>
      </c>
      <c r="AG54" s="77">
        <f>'RSA Model'!AG25</f>
        <v>29.745902771350654</v>
      </c>
      <c r="AH54" s="77">
        <f>'RSA Model'!AH25</f>
        <v>27.710471577680483</v>
      </c>
      <c r="AI54" s="77">
        <f>'RSA Model'!AI25</f>
        <v>0</v>
      </c>
      <c r="AJ54" s="77">
        <f>'RSA Model'!AJ25</f>
        <v>0</v>
      </c>
    </row>
    <row r="55" spans="1:37" ht="15.6" outlineLevel="1" x14ac:dyDescent="0.3">
      <c r="A55" s="8" t="s">
        <v>191</v>
      </c>
      <c r="B55" s="10">
        <f>SUM(D55:AJ55)</f>
        <v>2713.7705768487835</v>
      </c>
      <c r="C55" s="73" t="s">
        <v>0</v>
      </c>
      <c r="D55" s="77">
        <f>'RSA Model'!D43</f>
        <v>0</v>
      </c>
      <c r="E55" s="77">
        <f>'RSA Model'!E43</f>
        <v>0</v>
      </c>
      <c r="F55" s="77">
        <f>'RSA Model'!F43</f>
        <v>0</v>
      </c>
      <c r="G55" s="77">
        <f>'RSA Model'!G43</f>
        <v>0</v>
      </c>
      <c r="H55" s="77">
        <f>'RSA Model'!H43</f>
        <v>0</v>
      </c>
      <c r="I55" s="77">
        <f>'RSA Model'!I43</f>
        <v>0</v>
      </c>
      <c r="J55" s="77">
        <f>'RSA Model'!J43</f>
        <v>0</v>
      </c>
      <c r="K55" s="77">
        <f>'RSA Model'!K43</f>
        <v>0</v>
      </c>
      <c r="L55" s="77">
        <f>'RSA Model'!L43</f>
        <v>0</v>
      </c>
      <c r="M55" s="77">
        <f>'RSA Model'!M43</f>
        <v>0</v>
      </c>
      <c r="N55" s="77">
        <f>'RSA Model'!N43</f>
        <v>356.73143216227732</v>
      </c>
      <c r="O55" s="77">
        <f>'RSA Model'!O43</f>
        <v>767.8734201265919</v>
      </c>
      <c r="P55" s="77">
        <f>'RSA Model'!P43</f>
        <v>834.50072828139787</v>
      </c>
      <c r="Q55" s="77">
        <f>'RSA Model'!Q43</f>
        <v>754.66499627851658</v>
      </c>
      <c r="R55" s="77">
        <f>'RSA Model'!R43</f>
        <v>0</v>
      </c>
      <c r="S55" s="77">
        <f>'RSA Model'!S43</f>
        <v>0</v>
      </c>
      <c r="T55" s="77">
        <f>'RSA Model'!T43</f>
        <v>0</v>
      </c>
      <c r="U55" s="77">
        <f>'RSA Model'!U43</f>
        <v>0</v>
      </c>
      <c r="V55" s="77">
        <f>'RSA Model'!V43</f>
        <v>0</v>
      </c>
      <c r="W55" s="77">
        <f>'RSA Model'!W43</f>
        <v>0</v>
      </c>
      <c r="X55" s="77">
        <f>'RSA Model'!X43</f>
        <v>0</v>
      </c>
      <c r="Y55" s="77">
        <f>'RSA Model'!Y43</f>
        <v>0</v>
      </c>
      <c r="Z55" s="77">
        <f>'RSA Model'!Z43</f>
        <v>0</v>
      </c>
      <c r="AA55" s="77">
        <f>'RSA Model'!AA43</f>
        <v>0</v>
      </c>
      <c r="AB55" s="77">
        <f>'RSA Model'!AB43</f>
        <v>0</v>
      </c>
      <c r="AC55" s="77">
        <f>'RSA Model'!AC43</f>
        <v>0</v>
      </c>
      <c r="AD55" s="77">
        <f>'RSA Model'!AD43</f>
        <v>0</v>
      </c>
      <c r="AE55" s="77">
        <f>'RSA Model'!AE43</f>
        <v>0</v>
      </c>
      <c r="AF55" s="77">
        <f>'RSA Model'!AF43</f>
        <v>0</v>
      </c>
      <c r="AG55" s="77">
        <f>'RSA Model'!AG43</f>
        <v>0</v>
      </c>
      <c r="AH55" s="77">
        <f>'RSA Model'!AH43</f>
        <v>0</v>
      </c>
      <c r="AI55" s="77">
        <f>'RSA Model'!AI43</f>
        <v>0</v>
      </c>
      <c r="AJ55" s="77">
        <f>'RSA Model'!AJ43</f>
        <v>0</v>
      </c>
    </row>
    <row r="58" spans="1:37" ht="15.6" x14ac:dyDescent="0.3">
      <c r="A58" s="8" t="s">
        <v>268</v>
      </c>
      <c r="B58" s="165">
        <f>(B52+B54+B55)/'RSA Model'!B6</f>
        <v>0.44149848163220784</v>
      </c>
      <c r="C58" s="190" t="s">
        <v>146</v>
      </c>
      <c r="D58" s="165">
        <f>IF('RSA Model'!D6=0,0,(D52+D54+D55)/'RSA Model'!D6)</f>
        <v>0</v>
      </c>
      <c r="E58" s="165">
        <f>IF('RSA Model'!E6=0,0,(E52+E54+E55)/'RSA Model'!E6)</f>
        <v>0</v>
      </c>
      <c r="F58" s="165">
        <f>IF('RSA Model'!F6=0,0,(F52+F54+F55)/'RSA Model'!F6)</f>
        <v>0</v>
      </c>
      <c r="G58" s="165">
        <f>IF('RSA Model'!G6=0,0,(G52+G54+G55)/'RSA Model'!G6)</f>
        <v>0</v>
      </c>
      <c r="H58" s="165">
        <f>IF('RSA Model'!H6=0,0,(H52+H54+H55)/'RSA Model'!H6)</f>
        <v>0</v>
      </c>
      <c r="I58" s="165">
        <f>IF('RSA Model'!I6=0,0,(I52+I54+I55)/'RSA Model'!I6)</f>
        <v>0</v>
      </c>
      <c r="J58" s="165">
        <f>IF('RSA Model'!J6=0,0,(J52+J54+J55)/'RSA Model'!J6)</f>
        <v>0</v>
      </c>
      <c r="K58" s="165">
        <f>IF('RSA Model'!K6=0,0,(K52+K54+K55)/'RSA Model'!K6)</f>
        <v>0</v>
      </c>
      <c r="L58" s="165">
        <f>IF('RSA Model'!L6=0,0,(L52+L54+L55)/'RSA Model'!L6)</f>
        <v>0</v>
      </c>
      <c r="M58" s="165">
        <f>IF('RSA Model'!M6=0,0,(M52+M54+M55)/'RSA Model'!M6)</f>
        <v>0</v>
      </c>
      <c r="N58" s="165">
        <f>IF('RSA Model'!N6=0,0,(N52+N54+N55)/'RSA Model'!N6)</f>
        <v>0.86426717324032742</v>
      </c>
      <c r="O58" s="165">
        <f>IF('RSA Model'!O6=0,0,(O52+O54+O55)/'RSA Model'!O6)</f>
        <v>0.85695252297403279</v>
      </c>
      <c r="P58" s="165">
        <f>IF('RSA Model'!P6=0,0,(P52+P54+P55)/'RSA Model'!P6)</f>
        <v>0.85681716417910458</v>
      </c>
      <c r="Q58" s="165">
        <f>IF('RSA Model'!Q6=0,0,(Q52+Q54+Q55)/'RSA Model'!Q6)</f>
        <v>0.81748579332383742</v>
      </c>
      <c r="R58" s="165">
        <f>IF('RSA Model'!R6=0,0,(R52+R54+R55)/'RSA Model'!R6)</f>
        <v>0.50265671379895949</v>
      </c>
      <c r="S58" s="165">
        <f>IF('RSA Model'!S6=0,0,(S52+S54+S55)/'RSA Model'!S6)</f>
        <v>0.44791184146315055</v>
      </c>
      <c r="T58" s="165">
        <f>IF('RSA Model'!T6=0,0,(T52+T54+T55)/'RSA Model'!T6)</f>
        <v>0.39865217216278676</v>
      </c>
      <c r="U58" s="165">
        <f>IF('RSA Model'!U6=0,0,(U52+U54+U55)/'RSA Model'!U6)</f>
        <v>0.35434088659459523</v>
      </c>
      <c r="V58" s="165">
        <f>IF('RSA Model'!V6=0,0,(V52+V54+V55)/'RSA Model'!V6)</f>
        <v>0.31461987139425418</v>
      </c>
      <c r="W58" s="165">
        <f>IF('RSA Model'!W6=0,0,(W52+W54+W55)/'RSA Model'!W6)</f>
        <v>0.27904410682582037</v>
      </c>
      <c r="X58" s="165">
        <f>IF('RSA Model'!X6=0,0,(X52+X54+X55)/'RSA Model'!X6)</f>
        <v>0.2795092124405521</v>
      </c>
      <c r="Y58" s="165">
        <f>IF('RSA Model'!Y6=0,0,(Y52+Y54+Y55)/'RSA Model'!Y6)</f>
        <v>0.26750605977088165</v>
      </c>
      <c r="Z58" s="165">
        <f>IF('RSA Model'!Z6=0,0,(Z52+Z54+Z55)/'RSA Model'!Z6)</f>
        <v>0.26674635609245101</v>
      </c>
      <c r="AA58" s="165">
        <f>IF('RSA Model'!AA6=0,0,(AA52+AA54+AA55)/'RSA Model'!AA6)</f>
        <v>0.26600518177203086</v>
      </c>
      <c r="AB58" s="165">
        <f>IF('RSA Model'!AB6=0,0,(AB52+AB54+AB55)/'RSA Model'!AB6)</f>
        <v>0.26528208487405991</v>
      </c>
      <c r="AC58" s="165">
        <f>IF('RSA Model'!AC6=0,0,(AC52+AC54+AC55)/'RSA Model'!AC6)</f>
        <v>0.26457662448579561</v>
      </c>
      <c r="AD58" s="165">
        <f>IF('RSA Model'!AD6=0,0,(AD52+AD54+AD55)/'RSA Model'!AD6)</f>
        <v>0.26388837044846469</v>
      </c>
      <c r="AE58" s="165">
        <f>IF('RSA Model'!AE6=0,0,(AE52+AE54+AE55)/'RSA Model'!AE6)</f>
        <v>0.26321690309497092</v>
      </c>
      <c r="AF58" s="165">
        <f>IF('RSA Model'!AF6=0,0,(AF52+AF54+AF55)/'RSA Model'!AF6)</f>
        <v>0.26256181299400155</v>
      </c>
      <c r="AG58" s="165">
        <f>IF('RSA Model'!AG6=0,0,(AG52+AG54+AG55)/'RSA Model'!AG6)</f>
        <v>0.26192270070037288</v>
      </c>
      <c r="AH58" s="165">
        <f>IF('RSA Model'!AH6=0,0,(AH52+AH54+AH55)/'RSA Model'!AH6)</f>
        <v>0.26129917651146667</v>
      </c>
      <c r="AI58" s="165">
        <f>IF('RSA Model'!AI6=0,0,(AI52+AI54+AI55)/'RSA Model'!AI6)</f>
        <v>0</v>
      </c>
      <c r="AJ58" s="165">
        <f>IF('RSA Model'!AJ6=0,0,(AJ52+AJ54+AJ55)/'RSA Model'!AJ6)</f>
        <v>0</v>
      </c>
    </row>
    <row r="59" spans="1:37" x14ac:dyDescent="0.3">
      <c r="A59" s="154" t="s">
        <v>267</v>
      </c>
      <c r="B59" s="165">
        <f>B53/'RSA Model'!B6</f>
        <v>0.55850151836779216</v>
      </c>
      <c r="C59" s="190" t="s">
        <v>146</v>
      </c>
      <c r="D59" s="165" t="e">
        <f>D53/'RSA Model'!D6</f>
        <v>#DIV/0!</v>
      </c>
      <c r="E59" s="165" t="e">
        <f>E53/'RSA Model'!E6</f>
        <v>#DIV/0!</v>
      </c>
      <c r="F59" s="165" t="e">
        <f>F53/'RSA Model'!F6</f>
        <v>#DIV/0!</v>
      </c>
      <c r="G59" s="165" t="e">
        <f>G53/'RSA Model'!G6</f>
        <v>#DIV/0!</v>
      </c>
      <c r="H59" s="165" t="e">
        <f>H53/'RSA Model'!H6</f>
        <v>#DIV/0!</v>
      </c>
      <c r="I59" s="165" t="e">
        <f>I53/'RSA Model'!I6</f>
        <v>#DIV/0!</v>
      </c>
      <c r="J59" s="165" t="e">
        <f>J53/'RSA Model'!J6</f>
        <v>#DIV/0!</v>
      </c>
      <c r="K59" s="165" t="e">
        <f>K53/'RSA Model'!K6</f>
        <v>#DIV/0!</v>
      </c>
      <c r="L59" s="165" t="e">
        <f>L53/'RSA Model'!L6</f>
        <v>#DIV/0!</v>
      </c>
      <c r="M59" s="165" t="e">
        <f>M53/'RSA Model'!M6</f>
        <v>#DIV/0!</v>
      </c>
      <c r="N59" s="165">
        <f>N53/'RSA Model'!N6</f>
        <v>0.13573282675967255</v>
      </c>
      <c r="O59" s="165">
        <f>O53/'RSA Model'!O6</f>
        <v>0.14304747702596712</v>
      </c>
      <c r="P59" s="165">
        <f>P53/'RSA Model'!P6</f>
        <v>0.14318283582089553</v>
      </c>
      <c r="Q59" s="165">
        <f>Q53/'RSA Model'!Q6</f>
        <v>0.18251420667616261</v>
      </c>
      <c r="R59" s="165">
        <f>R53/'RSA Model'!R6</f>
        <v>0.4973432862010404</v>
      </c>
      <c r="S59" s="165">
        <f>S53/'RSA Model'!S6</f>
        <v>0.55208815853684945</v>
      </c>
      <c r="T59" s="165">
        <f>T53/'RSA Model'!T6</f>
        <v>0.60134782783721319</v>
      </c>
      <c r="U59" s="165">
        <f>U53/'RSA Model'!U6</f>
        <v>0.64565911340540472</v>
      </c>
      <c r="V59" s="165">
        <f>V53/'RSA Model'!V6</f>
        <v>0.68538012860574571</v>
      </c>
      <c r="W59" s="165">
        <f>W53/'RSA Model'!W6</f>
        <v>0.72095589317417963</v>
      </c>
      <c r="X59" s="165">
        <f>X53/'RSA Model'!X6</f>
        <v>0.72049078755944784</v>
      </c>
      <c r="Y59" s="165">
        <f>Y53/'RSA Model'!Y6</f>
        <v>0.73249394022911829</v>
      </c>
      <c r="Z59" s="165">
        <f>Z53/'RSA Model'!Z6</f>
        <v>0.73325364390754899</v>
      </c>
      <c r="AA59" s="165">
        <f>AA53/'RSA Model'!AA6</f>
        <v>0.7339948182279693</v>
      </c>
      <c r="AB59" s="165">
        <f>AB53/'RSA Model'!AB6</f>
        <v>0.73471791512594009</v>
      </c>
      <c r="AC59" s="165">
        <f>AC53/'RSA Model'!AC6</f>
        <v>0.73542337551420434</v>
      </c>
      <c r="AD59" s="165">
        <f>AD53/'RSA Model'!AD6</f>
        <v>0.73611162955153531</v>
      </c>
      <c r="AE59" s="165">
        <f>AE53/'RSA Model'!AE6</f>
        <v>0.73678309690502919</v>
      </c>
      <c r="AF59" s="165">
        <f>AF53/'RSA Model'!AF6</f>
        <v>0.7374381870059985</v>
      </c>
      <c r="AG59" s="165">
        <f>AG53/'RSA Model'!AG6</f>
        <v>0.73807729929962729</v>
      </c>
      <c r="AH59" s="165">
        <f>AH53/'RSA Model'!AH6</f>
        <v>0.73870082348853328</v>
      </c>
      <c r="AI59" s="165" t="e">
        <f>AI53/'RSA Model'!AI6</f>
        <v>#DIV/0!</v>
      </c>
      <c r="AJ59" s="165" t="e">
        <f>AJ53/'RSA Model'!AJ6</f>
        <v>#DIV/0!</v>
      </c>
    </row>
    <row r="61" spans="1:37" x14ac:dyDescent="0.3">
      <c r="A61" t="s">
        <v>269</v>
      </c>
    </row>
    <row r="62" spans="1:37" x14ac:dyDescent="0.3">
      <c r="A62" t="s">
        <v>270</v>
      </c>
      <c r="D62" s="191">
        <v>0</v>
      </c>
      <c r="E62" s="191">
        <f>E58*'Model Inputs'!F24</f>
        <v>0</v>
      </c>
      <c r="F62" s="191">
        <f>F58*'Model Inputs'!G24</f>
        <v>0</v>
      </c>
      <c r="G62" s="191">
        <f>G58*'Model Inputs'!H24</f>
        <v>0</v>
      </c>
      <c r="H62" s="191">
        <f>H58*'Model Inputs'!I24</f>
        <v>0</v>
      </c>
      <c r="I62" s="191">
        <f>I58*'Model Inputs'!J24</f>
        <v>0</v>
      </c>
      <c r="J62" s="191">
        <f>J58*'Model Inputs'!K24</f>
        <v>0</v>
      </c>
      <c r="K62" s="191">
        <f>K58*'Model Inputs'!L24</f>
        <v>0</v>
      </c>
      <c r="L62" s="191">
        <f>L58*'Model Inputs'!M24</f>
        <v>0</v>
      </c>
      <c r="M62" s="191">
        <f>M58*'Model Inputs'!N24</f>
        <v>0</v>
      </c>
      <c r="N62" s="191">
        <f>N58*'Model Inputs'!O24</f>
        <v>6.1116131979594792</v>
      </c>
      <c r="O62" s="191">
        <f>O58*'Model Inputs'!P24</f>
        <v>12.07518205680686</v>
      </c>
      <c r="P62" s="191">
        <f>P58*'Model Inputs'!Q24</f>
        <v>12.78873375855267</v>
      </c>
      <c r="Q62" s="191">
        <f>Q58*'Model Inputs'!R24</f>
        <v>12.201679190488759</v>
      </c>
      <c r="R62" s="191">
        <f>R58*'Model Inputs'!S24</f>
        <v>7.5231391859591454</v>
      </c>
      <c r="S62" s="191">
        <f>S58*'Model Inputs'!T24</f>
        <v>6.6854698146288385</v>
      </c>
      <c r="T62" s="191">
        <f>T58*'Model Inputs'!U24</f>
        <v>5.9502268455874088</v>
      </c>
      <c r="U62" s="191">
        <f>U58*'Model Inputs'!V24</f>
        <v>5.2888427635192974</v>
      </c>
      <c r="V62" s="191">
        <f>V58*'Model Inputs'!W24</f>
        <v>4.7088380960414424</v>
      </c>
      <c r="W62" s="191">
        <f>W58*'Model Inputs'!X24</f>
        <v>4.0874389972695191</v>
      </c>
      <c r="X62" s="191">
        <f>X58*'Model Inputs'!Y24</f>
        <v>3.2618160236416367</v>
      </c>
      <c r="Y62" s="191">
        <f>Y58*'Model Inputs'!Z24</f>
        <v>2.5100530234734886</v>
      </c>
      <c r="Z62" s="191">
        <f>Z58*'Model Inputs'!AA24</f>
        <v>2.0096056243485592</v>
      </c>
      <c r="AA62" s="191">
        <f>AA58*'Model Inputs'!AB24</f>
        <v>1.7200925079952185</v>
      </c>
      <c r="AB62" s="191">
        <f>AB58*'Model Inputs'!AC24</f>
        <v>1.4598028972844765</v>
      </c>
      <c r="AC62" s="191">
        <f>AC58*'Model Inputs'!AD24</f>
        <v>1.1934833725212755</v>
      </c>
      <c r="AD62" s="191">
        <f>AD58*'Model Inputs'!AE24</f>
        <v>1.067523382392664</v>
      </c>
      <c r="AE62" s="191">
        <f>AE58*'Model Inputs'!AF24</f>
        <v>0.96331509924020586</v>
      </c>
      <c r="AF62" s="191">
        <f>AF58*'Model Inputs'!AG24</f>
        <v>0.86959868726110723</v>
      </c>
      <c r="AG62" s="191">
        <f>AG58*'Model Inputs'!AH24</f>
        <v>0.79057866281836919</v>
      </c>
      <c r="AH62" s="191">
        <f>AH58*'Model Inputs'!AI24</f>
        <v>0.7240993142062796</v>
      </c>
      <c r="AI62" s="191">
        <f>AI58*'Model Inputs'!AJ24</f>
        <v>0</v>
      </c>
      <c r="AJ62" s="191">
        <f>AJ58*'Model Inputs'!AK24</f>
        <v>0</v>
      </c>
      <c r="AK62" s="191"/>
    </row>
    <row r="63" spans="1:37" x14ac:dyDescent="0.3">
      <c r="A63" t="s">
        <v>271</v>
      </c>
      <c r="D63" s="191">
        <v>0</v>
      </c>
      <c r="E63" s="191">
        <f>E58*'Model Inputs'!F27</f>
        <v>0</v>
      </c>
      <c r="F63" s="191">
        <f>F58*'Model Inputs'!G27</f>
        <v>0</v>
      </c>
      <c r="G63" s="191">
        <f>G58*'Model Inputs'!H27</f>
        <v>0</v>
      </c>
      <c r="H63" s="191">
        <f>H58*'Model Inputs'!I27</f>
        <v>0</v>
      </c>
      <c r="I63" s="191">
        <f>I58*'Model Inputs'!J27</f>
        <v>0</v>
      </c>
      <c r="J63" s="191">
        <f>J58*'Model Inputs'!K27</f>
        <v>0</v>
      </c>
      <c r="K63" s="191">
        <f>K58*'Model Inputs'!L27</f>
        <v>0</v>
      </c>
      <c r="L63" s="191">
        <f>L58*'Model Inputs'!M27</f>
        <v>0</v>
      </c>
      <c r="M63" s="191">
        <f>M58*'Model Inputs'!N27</f>
        <v>0</v>
      </c>
      <c r="N63" s="191">
        <f>N58*'Model Inputs'!O27</f>
        <v>0</v>
      </c>
      <c r="O63" s="191">
        <f>O58*'Model Inputs'!P27</f>
        <v>0</v>
      </c>
      <c r="P63" s="191">
        <f>P58*'Model Inputs'!Q27</f>
        <v>0</v>
      </c>
      <c r="Q63" s="191">
        <f>Q58*'Model Inputs'!R27</f>
        <v>0</v>
      </c>
      <c r="R63" s="191">
        <f>R58*'Model Inputs'!S27</f>
        <v>0</v>
      </c>
      <c r="S63" s="191">
        <f>S58*'Model Inputs'!T27</f>
        <v>0</v>
      </c>
      <c r="T63" s="191">
        <f>T58*'Model Inputs'!U27</f>
        <v>0</v>
      </c>
      <c r="U63" s="191">
        <f>U58*'Model Inputs'!V27</f>
        <v>0</v>
      </c>
      <c r="V63" s="191">
        <f>V58*'Model Inputs'!W27</f>
        <v>0</v>
      </c>
      <c r="W63" s="191">
        <f>W58*'Model Inputs'!X27</f>
        <v>0</v>
      </c>
      <c r="X63" s="191">
        <f>X58*'Model Inputs'!Y27</f>
        <v>0</v>
      </c>
      <c r="Y63" s="191">
        <f>Y58*'Model Inputs'!Z27</f>
        <v>0</v>
      </c>
      <c r="Z63" s="191">
        <f>Z58*'Model Inputs'!AA27</f>
        <v>0</v>
      </c>
      <c r="AA63" s="191">
        <f>AA58*'Model Inputs'!AB27</f>
        <v>0</v>
      </c>
      <c r="AB63" s="191">
        <f>AB58*'Model Inputs'!AC27</f>
        <v>0</v>
      </c>
      <c r="AC63" s="191">
        <f>AC58*'Model Inputs'!AD27</f>
        <v>0</v>
      </c>
      <c r="AD63" s="191">
        <f>AD58*'Model Inputs'!AE27</f>
        <v>0</v>
      </c>
      <c r="AE63" s="191">
        <f>AE58*'Model Inputs'!AF27</f>
        <v>0</v>
      </c>
      <c r="AF63" s="191">
        <f>AF58*'Model Inputs'!AG27</f>
        <v>0</v>
      </c>
      <c r="AG63" s="191">
        <f>AG58*'Model Inputs'!AH27</f>
        <v>0</v>
      </c>
      <c r="AH63" s="191">
        <f>AH58*'Model Inputs'!AI27</f>
        <v>0</v>
      </c>
      <c r="AI63" s="191">
        <f>AI58*'Model Inputs'!AJ27</f>
        <v>0</v>
      </c>
      <c r="AJ63" s="191">
        <f>AJ58*'Model Inputs'!AK27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9ED84-C3C4-4D9A-8935-E7373F293B63}">
  <sheetPr>
    <tabColor rgb="FF7030A0"/>
  </sheetPr>
  <dimension ref="A1:L69"/>
  <sheetViews>
    <sheetView showGridLines="0" zoomScaleNormal="100" workbookViewId="0">
      <selection activeCell="H10" sqref="H10"/>
    </sheetView>
  </sheetViews>
  <sheetFormatPr defaultColWidth="0" defaultRowHeight="14.4" x14ac:dyDescent="0.3"/>
  <cols>
    <col min="1" max="1" width="3.21875" customWidth="1"/>
    <col min="2" max="2" width="30" bestFit="1" customWidth="1"/>
    <col min="3" max="5" width="16.88671875" customWidth="1"/>
    <col min="6" max="7" width="14.77734375" customWidth="1"/>
    <col min="8" max="8" width="9.21875" customWidth="1"/>
    <col min="9" max="10" width="9.21875" hidden="1" customWidth="1"/>
    <col min="11" max="12" width="9.5546875" hidden="1" customWidth="1"/>
    <col min="13" max="16384" width="9.21875" hidden="1"/>
  </cols>
  <sheetData>
    <row r="1" spans="2:8" ht="15.6" thickBot="1" x14ac:dyDescent="0.35">
      <c r="B1" s="119" t="s">
        <v>218</v>
      </c>
    </row>
    <row r="2" spans="2:8" ht="30.6" thickBot="1" x14ac:dyDescent="0.35">
      <c r="B2" s="129"/>
      <c r="C2" s="130" t="s">
        <v>210</v>
      </c>
      <c r="D2" s="131" t="s">
        <v>220</v>
      </c>
      <c r="E2" s="132" t="s">
        <v>232</v>
      </c>
      <c r="F2" s="131" t="s">
        <v>266</v>
      </c>
      <c r="G2" s="132" t="s">
        <v>211</v>
      </c>
    </row>
    <row r="3" spans="2:8" x14ac:dyDescent="0.3">
      <c r="B3" s="121" t="s">
        <v>212</v>
      </c>
      <c r="C3" s="151">
        <f>'RSA Model'!B30</f>
        <v>2517.3705768487844</v>
      </c>
      <c r="D3" s="148">
        <f>C3*Intro!$G$10</f>
        <v>1636.2908749517098</v>
      </c>
      <c r="E3" s="152">
        <f>C3*Intro!$G$11</f>
        <v>881.07970189707453</v>
      </c>
      <c r="F3" s="149">
        <v>0</v>
      </c>
      <c r="G3" s="150">
        <v>0</v>
      </c>
    </row>
    <row r="4" spans="2:8" x14ac:dyDescent="0.3">
      <c r="B4" s="109" t="s">
        <v>230</v>
      </c>
      <c r="C4" s="151">
        <f>'Cash Flow'!B5</f>
        <v>15824.941331401136</v>
      </c>
      <c r="D4" s="148">
        <f>'Cash Flow'!B17</f>
        <v>3547.3721226332364</v>
      </c>
      <c r="E4" s="152">
        <f>'Cash Flow'!B28</f>
        <v>1381.3542198794346</v>
      </c>
      <c r="F4" s="149">
        <f ca="1">'Cash Flow'!B39</f>
        <v>8947.1420821268348</v>
      </c>
      <c r="G4" s="150">
        <f ca="1">SUM('Cash Flow'!B45:B46)</f>
        <v>10896.214988888465</v>
      </c>
      <c r="H4" s="191">
        <f>C5*1000000*1.7</f>
        <v>5421954097.9534702</v>
      </c>
    </row>
    <row r="5" spans="2:8" x14ac:dyDescent="0.3">
      <c r="B5" s="109" t="s">
        <v>213</v>
      </c>
      <c r="C5" s="151">
        <f>'Cash Flow'!B7</f>
        <v>3189.3847635020416</v>
      </c>
      <c r="D5" s="148">
        <f>'Cash Flow'!B19</f>
        <v>646.39248185024871</v>
      </c>
      <c r="E5" s="152">
        <f>'Cash Flow'!B30</f>
        <v>121.76537789558427</v>
      </c>
      <c r="F5" s="149">
        <f ca="1">'Cash Flow'!B41</f>
        <v>1812.8342144968171</v>
      </c>
      <c r="G5" s="150">
        <f ca="1">'Cash Flow'!B48</f>
        <v>2421.2269037562082</v>
      </c>
    </row>
    <row r="6" spans="2:8" x14ac:dyDescent="0.3">
      <c r="B6" s="109" t="s">
        <v>214</v>
      </c>
      <c r="C6" s="122">
        <f>'Cash Flow'!B8</f>
        <v>0.2585234686371285</v>
      </c>
      <c r="D6" s="126">
        <f>'Cash Flow'!B20</f>
        <v>0.18313169735395185</v>
      </c>
      <c r="E6" s="123">
        <f>'Cash Flow'!B31</f>
        <v>0.12929143800149867</v>
      </c>
      <c r="F6" s="133" t="s">
        <v>217</v>
      </c>
      <c r="G6" s="117" t="s">
        <v>217</v>
      </c>
    </row>
    <row r="7" spans="2:8" x14ac:dyDescent="0.3">
      <c r="B7" s="109" t="s">
        <v>215</v>
      </c>
      <c r="C7" s="109">
        <f>'Cash Flow'!B10</f>
        <v>2034</v>
      </c>
      <c r="D7" s="127">
        <f>'Cash Flow'!B22</f>
        <v>2034</v>
      </c>
      <c r="E7" s="124">
        <f>'Cash Flow'!B33</f>
        <v>2035</v>
      </c>
      <c r="F7" s="133" t="s">
        <v>217</v>
      </c>
      <c r="G7" s="117" t="s">
        <v>217</v>
      </c>
    </row>
    <row r="8" spans="2:8" ht="15" thickBot="1" x14ac:dyDescent="0.35">
      <c r="B8" s="110" t="s">
        <v>216</v>
      </c>
      <c r="C8" s="110">
        <f>'Cash Flow'!B11</f>
        <v>2035</v>
      </c>
      <c r="D8" s="128">
        <f>'Cash Flow'!B23</f>
        <v>2036</v>
      </c>
      <c r="E8" s="125">
        <f>'Cash Flow'!B34</f>
        <v>2040</v>
      </c>
      <c r="F8" s="134" t="s">
        <v>217</v>
      </c>
      <c r="G8" s="118" t="s">
        <v>217</v>
      </c>
    </row>
    <row r="22" spans="2:7" ht="15" thickBot="1" x14ac:dyDescent="0.35"/>
    <row r="23" spans="2:7" ht="30.6" thickBot="1" x14ac:dyDescent="0.35">
      <c r="B23" s="129"/>
      <c r="C23" s="130" t="s">
        <v>210</v>
      </c>
      <c r="D23" s="131" t="s">
        <v>233</v>
      </c>
      <c r="E23" s="132" t="str">
        <f>F2</f>
        <v>State Share</v>
      </c>
    </row>
    <row r="24" spans="2:7" x14ac:dyDescent="0.3">
      <c r="B24" s="121" t="s">
        <v>212</v>
      </c>
      <c r="C24" s="151">
        <f>C3</f>
        <v>2517.3705768487844</v>
      </c>
      <c r="D24" s="148">
        <f>D3*2</f>
        <v>3272.5817499034197</v>
      </c>
      <c r="E24" s="188">
        <f>F3</f>
        <v>0</v>
      </c>
      <c r="G24" s="135">
        <v>2</v>
      </c>
    </row>
    <row r="25" spans="2:7" x14ac:dyDescent="0.3">
      <c r="B25" s="109" t="s">
        <v>230</v>
      </c>
      <c r="C25" s="151">
        <f t="shared" ref="C25:C26" si="0">C4</f>
        <v>15824.941331401136</v>
      </c>
      <c r="D25" s="148">
        <f>D4*2</f>
        <v>7094.7442452664727</v>
      </c>
      <c r="E25" s="148">
        <f t="shared" ref="E25:E26" ca="1" si="1">F4</f>
        <v>8947.1420821268348</v>
      </c>
    </row>
    <row r="26" spans="2:7" x14ac:dyDescent="0.3">
      <c r="B26" s="109" t="s">
        <v>213</v>
      </c>
      <c r="C26" s="151">
        <f t="shared" si="0"/>
        <v>3189.3847635020416</v>
      </c>
      <c r="D26" s="148">
        <f>D5*2</f>
        <v>1292.7849637004974</v>
      </c>
      <c r="E26" s="148">
        <f t="shared" ca="1" si="1"/>
        <v>1812.8342144968171</v>
      </c>
    </row>
    <row r="27" spans="2:7" x14ac:dyDescent="0.3">
      <c r="B27" s="109" t="s">
        <v>214</v>
      </c>
      <c r="C27" s="122">
        <f t="shared" ref="C27:D29" si="2">C6</f>
        <v>0.2585234686371285</v>
      </c>
      <c r="D27" s="126">
        <f t="shared" si="2"/>
        <v>0.18313169735395185</v>
      </c>
      <c r="E27" s="148"/>
    </row>
    <row r="28" spans="2:7" x14ac:dyDescent="0.3">
      <c r="B28" s="109" t="s">
        <v>215</v>
      </c>
      <c r="C28" s="127">
        <f t="shared" si="2"/>
        <v>2034</v>
      </c>
      <c r="D28" s="127">
        <f t="shared" si="2"/>
        <v>2034</v>
      </c>
      <c r="E28" s="148"/>
    </row>
    <row r="29" spans="2:7" ht="15" thickBot="1" x14ac:dyDescent="0.35">
      <c r="B29" s="110" t="s">
        <v>216</v>
      </c>
      <c r="C29" s="128">
        <f t="shared" si="2"/>
        <v>2035</v>
      </c>
      <c r="D29" s="128">
        <f t="shared" si="2"/>
        <v>2036</v>
      </c>
      <c r="E29" s="189"/>
    </row>
    <row r="32" spans="2:7" ht="15" x14ac:dyDescent="0.3">
      <c r="B32" s="139" t="s">
        <v>237</v>
      </c>
      <c r="C32" s="142" t="s">
        <v>3</v>
      </c>
    </row>
    <row r="33" spans="2:3" x14ac:dyDescent="0.3">
      <c r="B33" s="140" t="s">
        <v>192</v>
      </c>
      <c r="C33" s="143">
        <f>SUM(C34:C35,C47,C48,C49)</f>
        <v>2642.4889902372474</v>
      </c>
    </row>
    <row r="34" spans="2:3" x14ac:dyDescent="0.3">
      <c r="B34" s="141" t="s">
        <v>22</v>
      </c>
      <c r="C34" s="144">
        <v>400.93941687500001</v>
      </c>
    </row>
    <row r="35" spans="2:3" x14ac:dyDescent="0.3">
      <c r="B35" s="141" t="s">
        <v>23</v>
      </c>
      <c r="C35" s="144">
        <v>1064.9353437499999</v>
      </c>
    </row>
    <row r="36" spans="2:3" hidden="1" x14ac:dyDescent="0.3">
      <c r="B36" s="141" t="s">
        <v>24</v>
      </c>
      <c r="C36" s="144">
        <v>132.45754687499999</v>
      </c>
    </row>
    <row r="37" spans="2:3" hidden="1" x14ac:dyDescent="0.3">
      <c r="B37" s="141" t="s">
        <v>25</v>
      </c>
      <c r="C37" s="144">
        <v>190.64280097656248</v>
      </c>
    </row>
    <row r="38" spans="2:3" hidden="1" x14ac:dyDescent="0.3">
      <c r="B38" s="141" t="s">
        <v>26</v>
      </c>
      <c r="C38" s="144">
        <v>45.256328515624986</v>
      </c>
    </row>
    <row r="39" spans="2:3" hidden="1" x14ac:dyDescent="0.3">
      <c r="B39" s="141" t="s">
        <v>27</v>
      </c>
      <c r="C39" s="144">
        <v>72.979039062499993</v>
      </c>
    </row>
    <row r="40" spans="2:3" hidden="1" x14ac:dyDescent="0.3">
      <c r="B40" s="141" t="s">
        <v>28</v>
      </c>
      <c r="C40" s="144">
        <v>414.33366796874992</v>
      </c>
    </row>
    <row r="41" spans="2:3" hidden="1" x14ac:dyDescent="0.3">
      <c r="B41" s="141" t="s">
        <v>29</v>
      </c>
      <c r="C41" s="144">
        <v>0</v>
      </c>
    </row>
    <row r="42" spans="2:3" hidden="1" x14ac:dyDescent="0.3">
      <c r="B42" s="141" t="s">
        <v>30</v>
      </c>
      <c r="C42" s="144">
        <v>0</v>
      </c>
    </row>
    <row r="43" spans="2:3" hidden="1" x14ac:dyDescent="0.3">
      <c r="B43" s="141" t="s">
        <v>31</v>
      </c>
      <c r="C43" s="144">
        <v>0</v>
      </c>
    </row>
    <row r="44" spans="2:3" hidden="1" x14ac:dyDescent="0.3">
      <c r="B44" s="141" t="s">
        <v>32</v>
      </c>
      <c r="C44" s="144">
        <v>0</v>
      </c>
    </row>
    <row r="45" spans="2:3" hidden="1" x14ac:dyDescent="0.3">
      <c r="B45" s="141" t="s">
        <v>33</v>
      </c>
      <c r="C45" s="144">
        <v>0</v>
      </c>
    </row>
    <row r="46" spans="2:3" hidden="1" x14ac:dyDescent="0.3">
      <c r="B46" s="141" t="s">
        <v>34</v>
      </c>
      <c r="C46" s="144">
        <v>595.75109263592049</v>
      </c>
    </row>
    <row r="47" spans="2:3" x14ac:dyDescent="0.3">
      <c r="B47" s="141" t="s">
        <v>235</v>
      </c>
      <c r="C47" s="145">
        <f>SUM(C36:C37)</f>
        <v>323.10034785156245</v>
      </c>
    </row>
    <row r="48" spans="2:3" x14ac:dyDescent="0.3">
      <c r="B48" s="141" t="s">
        <v>249</v>
      </c>
      <c r="C48" s="145">
        <f>'Model Inputs'!C46</f>
        <v>357.00804778966631</v>
      </c>
    </row>
    <row r="49" spans="2:7" x14ac:dyDescent="0.3">
      <c r="B49" s="141" t="s">
        <v>236</v>
      </c>
      <c r="C49" s="162">
        <f>SUM('Model Inputs'!C44:C45)+'Model Inputs'!C78</f>
        <v>496.50583397101911</v>
      </c>
    </row>
    <row r="50" spans="2:7" x14ac:dyDescent="0.3">
      <c r="B50" s="141"/>
      <c r="C50" s="186">
        <v>15759.475422134818</v>
      </c>
      <c r="D50" s="185">
        <v>16123.738816366669</v>
      </c>
      <c r="G50" s="184">
        <f>C4</f>
        <v>15824.941331401136</v>
      </c>
    </row>
    <row r="51" spans="2:7" x14ac:dyDescent="0.3">
      <c r="B51" s="169" t="s">
        <v>261</v>
      </c>
      <c r="C51" s="173" t="s">
        <v>256</v>
      </c>
      <c r="D51" s="173" t="s">
        <v>265</v>
      </c>
      <c r="E51" s="180" t="s">
        <v>257</v>
      </c>
      <c r="G51" s="173" t="s">
        <v>265</v>
      </c>
    </row>
    <row r="52" spans="2:7" x14ac:dyDescent="0.3">
      <c r="B52" s="171" t="s">
        <v>258</v>
      </c>
      <c r="C52" s="172">
        <v>2768.1997296281079</v>
      </c>
      <c r="D52" s="172">
        <v>2841.1321105445913</v>
      </c>
      <c r="E52" s="176"/>
      <c r="G52" s="172">
        <f>D24</f>
        <v>3272.5817499034197</v>
      </c>
    </row>
    <row r="53" spans="2:7" x14ac:dyDescent="0.3">
      <c r="B53" s="141" t="s">
        <v>259</v>
      </c>
      <c r="C53" s="172">
        <v>5031.8687564970305</v>
      </c>
      <c r="D53" s="172">
        <v>5153.8644622028269</v>
      </c>
      <c r="E53" s="176"/>
      <c r="G53" s="172">
        <f>D25</f>
        <v>7094.7442452664727</v>
      </c>
    </row>
    <row r="54" spans="2:7" x14ac:dyDescent="0.3">
      <c r="B54" t="s">
        <v>177</v>
      </c>
      <c r="C54" s="172">
        <v>884.09222034761171</v>
      </c>
      <c r="D54" s="172">
        <v>830.92815128592326</v>
      </c>
      <c r="E54" s="176"/>
      <c r="G54" s="172">
        <f>D26</f>
        <v>1292.7849637004974</v>
      </c>
    </row>
    <row r="55" spans="2:7" x14ac:dyDescent="0.3">
      <c r="B55" s="141" t="s">
        <v>254</v>
      </c>
      <c r="C55" s="174">
        <v>0.15907278436811545</v>
      </c>
      <c r="D55" s="174">
        <v>0.16016905424346373</v>
      </c>
      <c r="E55" s="177"/>
      <c r="G55" s="174">
        <f>D27</f>
        <v>0.18313169735395185</v>
      </c>
    </row>
    <row r="56" spans="2:7" x14ac:dyDescent="0.3">
      <c r="B56" t="s">
        <v>255</v>
      </c>
      <c r="C56" s="175">
        <v>2032</v>
      </c>
      <c r="D56" s="175">
        <v>2033</v>
      </c>
      <c r="E56" s="178"/>
      <c r="G56" s="175">
        <f>D28</f>
        <v>2034</v>
      </c>
    </row>
    <row r="57" spans="2:7" x14ac:dyDescent="0.3">
      <c r="B57" s="169"/>
      <c r="C57" s="181"/>
      <c r="D57" s="181"/>
      <c r="E57" s="182"/>
      <c r="G57" s="181"/>
    </row>
    <row r="58" spans="2:7" x14ac:dyDescent="0.3">
      <c r="B58" t="s">
        <v>263</v>
      </c>
      <c r="C58" s="163">
        <v>10727.606665637792</v>
      </c>
      <c r="D58" s="163">
        <v>10969.874354163841</v>
      </c>
      <c r="E58" s="179"/>
      <c r="G58" s="183">
        <f ca="1">F4</f>
        <v>8947.1420821268348</v>
      </c>
    </row>
    <row r="59" spans="2:7" x14ac:dyDescent="0.3">
      <c r="B59" t="s">
        <v>264</v>
      </c>
      <c r="C59" s="163">
        <v>2849.6277449925979</v>
      </c>
      <c r="D59" s="163">
        <v>2648.4823487064382</v>
      </c>
      <c r="E59" s="179"/>
      <c r="G59" s="183">
        <f ca="1">F5</f>
        <v>1812.8342144968171</v>
      </c>
    </row>
    <row r="60" spans="2:7" x14ac:dyDescent="0.3">
      <c r="C60" s="185">
        <v>16834.189539524523</v>
      </c>
      <c r="D60" s="185">
        <v>17196.461585722838</v>
      </c>
      <c r="E60" s="179"/>
    </row>
    <row r="61" spans="2:7" x14ac:dyDescent="0.3">
      <c r="B61" s="169" t="s">
        <v>262</v>
      </c>
      <c r="C61" s="173" t="s">
        <v>256</v>
      </c>
      <c r="D61" s="173" t="s">
        <v>265</v>
      </c>
      <c r="E61" s="180" t="s">
        <v>257</v>
      </c>
    </row>
    <row r="62" spans="2:7" x14ac:dyDescent="0.3">
      <c r="B62" s="171" t="s">
        <v>258</v>
      </c>
      <c r="C62" s="172">
        <v>2917.2952366593581</v>
      </c>
      <c r="D62" s="172">
        <v>2990.2276175758411</v>
      </c>
      <c r="E62" s="176"/>
    </row>
    <row r="63" spans="2:7" x14ac:dyDescent="0.3">
      <c r="B63" s="141" t="s">
        <v>259</v>
      </c>
      <c r="C63" s="172">
        <v>5350.8651509131723</v>
      </c>
      <c r="D63" s="172">
        <v>5471.946437982896</v>
      </c>
      <c r="E63" s="176"/>
    </row>
    <row r="64" spans="2:7" x14ac:dyDescent="0.3">
      <c r="B64" t="s">
        <v>177</v>
      </c>
      <c r="C64" s="172">
        <v>957.80735297163449</v>
      </c>
      <c r="D64" s="172">
        <v>887.96147171116502</v>
      </c>
      <c r="E64" s="176"/>
    </row>
    <row r="65" spans="2:5" x14ac:dyDescent="0.3">
      <c r="B65" s="141" t="s">
        <v>254</v>
      </c>
      <c r="C65" s="174">
        <v>0.16124743332821345</v>
      </c>
      <c r="D65" s="174">
        <v>0.16096322107146421</v>
      </c>
      <c r="E65" s="177"/>
    </row>
    <row r="66" spans="2:5" x14ac:dyDescent="0.3">
      <c r="B66" t="s">
        <v>255</v>
      </c>
      <c r="C66" s="175">
        <v>2032</v>
      </c>
      <c r="D66" s="175">
        <v>2033</v>
      </c>
      <c r="E66" s="178"/>
    </row>
    <row r="67" spans="2:5" x14ac:dyDescent="0.3">
      <c r="B67" s="169"/>
      <c r="C67" s="181"/>
      <c r="D67" s="181"/>
      <c r="E67" s="182"/>
    </row>
    <row r="68" spans="2:5" x14ac:dyDescent="0.3">
      <c r="B68" t="s">
        <v>263</v>
      </c>
      <c r="C68" s="163">
        <v>11483.324388611347</v>
      </c>
      <c r="D68" s="163">
        <v>11724.515147739947</v>
      </c>
      <c r="E68" s="179"/>
    </row>
    <row r="69" spans="2:5" x14ac:dyDescent="0.3">
      <c r="B69" t="s">
        <v>264</v>
      </c>
      <c r="C69" s="163">
        <v>3050.0360806813055</v>
      </c>
      <c r="D69" s="163">
        <v>2830.347903824068</v>
      </c>
      <c r="E69" s="179"/>
    </row>
  </sheetData>
  <phoneticPr fontId="39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3b20dc79-6921-41c1-a919-3f129ca88eeb" xsi:nil="true"/>
    <ItemType xmlns="3b20dc79-6921-41c1-a919-3f129ca88eeb" xsi:nil="true"/>
    <_ip_UnifiedCompliancePolicyUIAction xmlns="http://schemas.microsoft.com/sharepoint/v3" xsi:nil="true"/>
    <lcf76f155ced4ddcb4097134ff3c332f xmlns="3b20dc79-6921-41c1-a919-3f129ca88eeb">
      <Terms xmlns="http://schemas.microsoft.com/office/infopath/2007/PartnerControls"/>
    </lcf76f155ced4ddcb4097134ff3c332f>
    <_ip_UnifiedCompliancePolicyProperties xmlns="http://schemas.microsoft.com/sharepoint/v3" xsi:nil="true"/>
    <Status xmlns="3b20dc79-6921-41c1-a919-3f129ca88ee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37A2A1492E91459D1965E7CE47D561" ma:contentTypeVersion="19" ma:contentTypeDescription="Create a new document." ma:contentTypeScope="" ma:versionID="0549ce388c458296588ca57c7c628ff3">
  <xsd:schema xmlns:xsd="http://www.w3.org/2001/XMLSchema" xmlns:xs="http://www.w3.org/2001/XMLSchema" xmlns:p="http://schemas.microsoft.com/office/2006/metadata/properties" xmlns:ns1="http://schemas.microsoft.com/sharepoint/v3" xmlns:ns2="3b20dc79-6921-41c1-a919-3f129ca88eeb" xmlns:ns3="d4462715-f1c1-4490-8d7e-880b86c265f4" targetNamespace="http://schemas.microsoft.com/office/2006/metadata/properties" ma:root="true" ma:fieldsID="fd725ffafb0f37d4439c803ff24acf5a" ns1:_="" ns2:_="" ns3:_="">
    <xsd:import namespace="http://schemas.microsoft.com/sharepoint/v3"/>
    <xsd:import namespace="3b20dc79-6921-41c1-a919-3f129ca88eeb"/>
    <xsd:import namespace="d4462715-f1c1-4490-8d7e-880b86c265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date" minOccurs="0"/>
                <xsd:element ref="ns2:MediaServiceObjectDetectorVersions" minOccurs="0"/>
                <xsd:element ref="ns2:Status" minOccurs="0"/>
                <xsd:element ref="ns2:ItemType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20dc79-6921-41c1-a919-3f129ca88e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5c4000d3-e43c-4d42-b6f6-47536037d5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description="" ma:internalName="MediaServiceLocation" ma:readOnly="true">
      <xsd:simpleType>
        <xsd:restriction base="dms:Text"/>
      </xsd:simpleType>
    </xsd:element>
    <xsd:element name="date" ma:index="20" nillable="true" ma:displayName="date" ma:format="DateTime" ma:internalName="date">
      <xsd:simpleType>
        <xsd:restriction base="dms:DateTime"/>
      </xsd:simpleType>
    </xsd:element>
    <xsd:element name="MediaServiceObjectDetectorVersions" ma:index="21" nillable="true" ma:displayName="MediaServiceObjectDetectorVersions" ma:description="" ma:hidden="true" ma:internalName="MediaServiceObjectDetectorVersions" ma:readOnly="true">
      <xsd:simpleType>
        <xsd:restriction base="dms:Text"/>
      </xsd:simpleType>
    </xsd:element>
    <xsd:element name="Status" ma:index="22" nillable="true" ma:displayName="Status" ma:format="Dropdown" ma:internalName="Status">
      <xsd:simpleType>
        <xsd:restriction base="dms:Choice">
          <xsd:enumeration value="Choice 1"/>
          <xsd:enumeration value="Choice 2"/>
          <xsd:enumeration value="Choice 3"/>
        </xsd:restriction>
      </xsd:simpleType>
    </xsd:element>
    <xsd:element name="ItemType" ma:index="23" nillable="true" ma:displayName="Item Type" ma:format="Dropdown" ma:internalName="ItemType">
      <xsd:simpleType>
        <xsd:restriction base="dms:Choice">
          <xsd:enumeration value="Folder"/>
          <xsd:enumeration value="File"/>
        </xsd:restriction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462715-f1c1-4490-8d7e-880b86c265f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CBB51D-F6DC-4138-A224-20155D241D51}">
  <ds:schemaRefs>
    <ds:schemaRef ds:uri="http://schemas.microsoft.com/office/2006/metadata/properties"/>
    <ds:schemaRef ds:uri="http://schemas.microsoft.com/office/infopath/2007/PartnerControls"/>
    <ds:schemaRef ds:uri="3b20dc79-6921-41c1-a919-3f129ca88eeb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D2B83E1-D306-4B1B-836D-69A8A70317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b20dc79-6921-41c1-a919-3f129ca88eeb"/>
    <ds:schemaRef ds:uri="d4462715-f1c1-4490-8d7e-880b86c265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240141-7E3A-4625-A268-CB5C0E2455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Intro</vt:lpstr>
      <vt:lpstr>Model Inputs</vt:lpstr>
      <vt:lpstr>RSA Model</vt:lpstr>
      <vt:lpstr>Cash Flow</vt:lpstr>
      <vt:lpstr>Result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Jeyhun ISGANDARLI</dc:creator>
  <cp:lastModifiedBy>Murad MIRZAYEV</cp:lastModifiedBy>
  <dcterms:created xsi:type="dcterms:W3CDTF">2015-06-05T18:17:20Z</dcterms:created>
  <dcterms:modified xsi:type="dcterms:W3CDTF">2025-02-13T06:00:43Z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0x0101004137A2A1492E91459D1965E7CE47D561</vt:lpwstr>
  </property>
  <property fmtid="{D5CDD505-2E9C-101B-9397-08002B2CF9AE}" pid="3" name="MediaServiceImageTags">
    <vt:lpwstr/>
  </property>
</Properties>
</file>