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mitry/Bootcamp/HW_GitHub/01-Excel/oct2024_data_mod1/"/>
    </mc:Choice>
  </mc:AlternateContent>
  <xr:revisionPtr revIDLastSave="0" documentId="13_ncr:1_{DAB53583-1CD0-CB41-8DC6-CFAA1419CF5D}" xr6:coauthVersionLast="47" xr6:coauthVersionMax="47" xr10:uidLastSave="{00000000-0000-0000-0000-000000000000}"/>
  <bookViews>
    <workbookView xWindow="-76760" yWindow="500" windowWidth="37780" windowHeight="20060" activeTab="5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7" r:id="rId4"/>
    <sheet name="Outcomes Based on Goal" sheetId="8" r:id="rId5"/>
    <sheet name="Stats" sheetId="9" r:id="rId6"/>
  </sheets>
  <definedNames>
    <definedName name="_xlnm._FilterDatabase" localSheetId="0" hidden="1">Crowdfunding!$A$1:$T$1001</definedName>
    <definedName name="_xlchart.v1.0" hidden="1">Stats!$A$1</definedName>
    <definedName name="_xlchart.v1.1" hidden="1">Stats!$A$2:$A$1048141</definedName>
    <definedName name="_xlchart.v1.2" hidden="1">Stats!$B$1</definedName>
    <definedName name="_xlchart.v1.3" hidden="1">Stats!$B$2:$B$1048141</definedName>
    <definedName name="_xlchart.v1.4" hidden="1">Stats!$D$1</definedName>
    <definedName name="_xlchart.v1.5" hidden="1">Stats!$D$2:$D$1048141</definedName>
    <definedName name="_xlchart.v1.6" hidden="1">Stats!$E$1</definedName>
    <definedName name="_xlchart.v1.7" hidden="1">Stats!$E$2:$E$1048141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L3" i="9"/>
  <c r="L2" i="9"/>
  <c r="K3" i="9"/>
  <c r="K2" i="9"/>
  <c r="J3" i="9"/>
  <c r="J2" i="9"/>
  <c r="I3" i="9"/>
  <c r="I2" i="9"/>
  <c r="H3" i="9"/>
  <c r="H2" i="9"/>
  <c r="D2" i="8"/>
  <c r="C2" i="8"/>
  <c r="B2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8" i="8"/>
  <c r="C7" i="8"/>
  <c r="C6" i="8"/>
  <c r="C5" i="8"/>
  <c r="C4" i="8"/>
  <c r="C3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2" i="3"/>
  <c r="E7" i="8" l="1"/>
  <c r="H7" i="8"/>
  <c r="E8" i="8"/>
  <c r="G8" i="8" s="1"/>
  <c r="G7" i="8"/>
  <c r="E6" i="8"/>
  <c r="G6" i="8" s="1"/>
  <c r="E5" i="8"/>
  <c r="G5" i="8" s="1"/>
  <c r="F7" i="8"/>
  <c r="E2" i="8"/>
  <c r="F2" i="8" s="1"/>
  <c r="E4" i="8"/>
  <c r="F4" i="8" s="1"/>
  <c r="E13" i="8"/>
  <c r="F13" i="8" s="1"/>
  <c r="E3" i="8"/>
  <c r="G3" i="8" s="1"/>
  <c r="E12" i="8"/>
  <c r="G12" i="8" s="1"/>
  <c r="E11" i="8"/>
  <c r="H11" i="8" s="1"/>
  <c r="E10" i="8"/>
  <c r="F10" i="8" s="1"/>
  <c r="E9" i="8"/>
  <c r="F9" i="8" s="1"/>
  <c r="H2" i="8" l="1"/>
  <c r="G2" i="8"/>
  <c r="F5" i="8"/>
  <c r="H5" i="8"/>
  <c r="F3" i="8"/>
  <c r="H9" i="8"/>
  <c r="H10" i="8"/>
  <c r="G10" i="8"/>
  <c r="F6" i="8"/>
  <c r="H8" i="8"/>
  <c r="H3" i="8"/>
  <c r="H6" i="8"/>
  <c r="F8" i="8"/>
  <c r="G4" i="8"/>
  <c r="F12" i="8"/>
  <c r="G13" i="8"/>
  <c r="G11" i="8"/>
  <c r="H12" i="8"/>
  <c r="H4" i="8"/>
  <c r="F11" i="8"/>
  <c r="G9" i="8"/>
  <c r="H13" i="8"/>
</calcChain>
</file>

<file path=xl/sharedStrings.xml><?xml version="1.0" encoding="utf-8"?>
<sst xmlns="http://schemas.openxmlformats.org/spreadsheetml/2006/main" count="7064" uniqueCount="2112">
  <si>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</si>
  <si>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</si>
  <si>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</si>
  <si>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</si>
  <si>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</si>
  <si>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</si>
  <si>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</si>
  <si>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</si>
  <si>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</si>
  <si>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</si>
  <si>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</si>
  <si>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</si>
  <si>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</si>
  <si>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</si>
  <si>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</si>
  <si>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</si>
  <si>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</si>
  <si>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</si>
  <si>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</si>
  <si>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</si>
  <si>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</si>
  <si>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</si>
  <si>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</si>
  <si>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</si>
  <si>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</si>
  <si>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</si>
  <si>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</si>
  <si>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</si>
  <si>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</si>
  <si>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</si>
  <si>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</si>
  <si>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</si>
  <si>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</si>
  <si>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</si>
  <si>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</si>
  <si>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</si>
  <si>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</si>
  <si>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</si>
  <si>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</si>
  <si>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</si>
  <si>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</si>
  <si>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</si>
  <si>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</si>
  <si>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</si>
  <si>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</si>
  <si>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</si>
  <si>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</si>
  <si>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</si>
  <si>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</si>
  <si>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</si>
  <si>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</si>
  <si>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</si>
  <si>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</si>
  <si>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</si>
  <si>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</si>
  <si>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</si>
  <si>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</si>
  <si>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</si>
  <si>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</si>
  <si>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</si>
  <si>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</si>
  <si>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</si>
  <si>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</si>
  <si>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</si>
  <si>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</si>
  <si>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</si>
  <si>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</si>
  <si>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</si>
  <si>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</si>
  <si>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</si>
  <si>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</si>
  <si>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</si>
  <si>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</si>
  <si>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</si>
  <si>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</si>
  <si>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</si>
  <si>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</si>
  <si>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</si>
  <si>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</si>
  <si>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</si>
  <si>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</si>
  <si>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</si>
  <si>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</si>
  <si>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</si>
  <si>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</si>
  <si>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</si>
  <si>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</si>
  <si>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</si>
  <si>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</si>
  <si>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</si>
  <si>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</si>
  <si>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</si>
  <si>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</si>
  <si>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</si>
  <si>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</si>
  <si>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</si>
  <si>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</si>
  <si>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</si>
  <si>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</si>
  <si>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</si>
  <si>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</si>
  <si>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</si>
  <si>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</si>
  <si>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</si>
  <si>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</si>
  <si>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</si>
  <si>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</si>
  <si>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</si>
  <si>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</si>
  <si>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</si>
  <si>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</si>
  <si>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</si>
  <si>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</si>
  <si>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</si>
  <si>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</si>
  <si>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</si>
  <si>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</si>
  <si>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</si>
  <si>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</si>
  <si>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</si>
  <si>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</si>
  <si>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</si>
  <si>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</si>
  <si>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</si>
  <si>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</si>
  <si>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</si>
  <si>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</si>
  <si>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</si>
  <si>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</si>
  <si>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</si>
  <si>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</si>
  <si>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</si>
  <si>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</si>
  <si>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</si>
  <si>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</si>
  <si>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</si>
  <si>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</si>
  <si>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</si>
  <si>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</si>
  <si>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</si>
  <si>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</si>
  <si>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</si>
  <si>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</si>
  <si>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</si>
  <si>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</si>
  <si>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</si>
  <si>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</si>
  <si>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</si>
  <si>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</si>
  <si>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</si>
  <si>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</si>
  <si>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</si>
  <si>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</si>
  <si>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</si>
  <si>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</si>
  <si>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</si>
  <si>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</si>
  <si>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</si>
  <si>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</si>
  <si>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</si>
  <si>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</si>
  <si>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</si>
  <si>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</si>
  <si>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</si>
  <si>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</si>
  <si>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</si>
  <si>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</si>
  <si>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</si>
  <si>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</si>
  <si>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</si>
  <si>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</si>
  <si>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</si>
  <si>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</si>
  <si>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</si>
  <si>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</si>
  <si>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</si>
  <si>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</si>
  <si>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</si>
  <si>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</si>
  <si>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</si>
  <si>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</si>
  <si>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</si>
  <si>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</si>
  <si>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</si>
  <si>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</si>
  <si>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</si>
  <si>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</si>
  <si>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</si>
  <si>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</si>
  <si>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</si>
  <si>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</si>
  <si>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</si>
  <si>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</si>
  <si>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</si>
  <si>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</si>
  <si>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</si>
  <si>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</si>
  <si>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</si>
  <si>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</si>
  <si>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</si>
  <si>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</si>
  <si>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</si>
  <si>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</si>
  <si>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</si>
  <si>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</si>
  <si>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</si>
  <si>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</si>
  <si>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</si>
  <si>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</si>
  <si>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</si>
  <si>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</si>
  <si>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</si>
  <si>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</si>
  <si>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</si>
  <si>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</si>
  <si>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</si>
  <si>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</si>
  <si>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</si>
  <si>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</si>
  <si>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</si>
  <si>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</si>
  <si>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</si>
  <si>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</si>
  <si>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</si>
  <si>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</si>
  <si>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</si>
  <si>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</si>
  <si>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</si>
  <si>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</si>
  <si>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</si>
  <si>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</si>
  <si>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</si>
  <si>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</si>
  <si>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</si>
  <si>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</si>
  <si>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</si>
  <si>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</si>
  <si>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</si>
  <si>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</si>
  <si>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</si>
  <si>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</si>
  <si>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</si>
  <si>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</si>
  <si>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</si>
  <si>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</si>
  <si>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</si>
  <si>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</si>
  <si>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</si>
  <si>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</si>
  <si>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</si>
  <si>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</si>
  <si>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</si>
  <si>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</si>
  <si>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</si>
  <si>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</si>
  <si>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</si>
  <si>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</si>
  <si>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</si>
  <si>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</si>
  <si>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</si>
  <si>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</si>
  <si>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</si>
  <si>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</si>
  <si>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</si>
  <si>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</si>
  <si>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</si>
  <si>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</si>
  <si>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</si>
  <si>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</si>
  <si>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</si>
  <si>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</si>
  <si>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</si>
  <si>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</si>
  <si>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</si>
  <si>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</si>
  <si>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</si>
  <si>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</si>
  <si>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</si>
  <si>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</si>
  <si>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</si>
  <si>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</si>
  <si>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</si>
  <si>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</si>
  <si>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</si>
  <si>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</si>
  <si>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</si>
  <si>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</si>
  <si>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</si>
  <si>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</si>
  <si>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</si>
  <si>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</si>
  <si>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</si>
  <si>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</si>
  <si>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</si>
  <si>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</si>
  <si>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</si>
  <si>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</si>
  <si>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</si>
  <si>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</si>
  <si>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</si>
  <si>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</si>
  <si>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</si>
  <si>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</si>
  <si>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</si>
  <si>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</si>
  <si>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</si>
  <si>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</si>
  <si>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</si>
  <si>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</si>
  <si>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</si>
  <si>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</si>
  <si>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</si>
  <si>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</si>
  <si>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</si>
  <si>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</si>
  <si>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</si>
  <si>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</si>
  <si>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</si>
  <si>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</si>
  <si>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</si>
  <si>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</si>
  <si>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</si>
  <si>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</si>
  <si>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</si>
  <si>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</si>
  <si>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</si>
  <si>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</si>
  <si>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</si>
  <si>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</si>
  <si>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</si>
  <si>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</si>
  <si>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</si>
  <si>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</si>
  <si>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</si>
  <si>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</si>
  <si>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</si>
  <si>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</si>
  <si>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</si>
  <si>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</si>
  <si>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</si>
  <si>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</si>
  <si>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</si>
  <si>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</si>
  <si>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</si>
  <si>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</si>
  <si>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</si>
  <si>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</si>
  <si>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</si>
  <si>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</si>
  <si>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</si>
  <si>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</si>
  <si>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</si>
  <si>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</si>
  <si>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</si>
  <si>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</si>
  <si>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</si>
  <si>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</si>
  <si>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</si>
  <si>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</si>
  <si>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</si>
  <si>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</si>
  <si>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</si>
  <si>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</si>
  <si>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</si>
  <si>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</si>
  <si>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</si>
  <si>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</si>
  <si>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</si>
  <si>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</si>
  <si>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</si>
  <si>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</si>
  <si>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</si>
  <si>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</si>
  <si>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</si>
  <si>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</si>
  <si>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</si>
  <si>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</si>
  <si>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</si>
  <si>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</si>
  <si>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</si>
  <si>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</si>
  <si>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</si>
  <si>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</si>
  <si>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</si>
  <si>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</si>
  <si>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</si>
  <si>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</si>
  <si>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</si>
  <si>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</si>
  <si>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</si>
  <si>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</si>
  <si>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</si>
  <si>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</si>
  <si>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</si>
  <si>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</si>
  <si>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</si>
  <si>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</si>
  <si>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</si>
  <si>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</si>
  <si>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</si>
  <si>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</si>
  <si>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</si>
  <si>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</si>
  <si>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</si>
  <si>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</si>
  <si>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</si>
  <si>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</si>
  <si>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</si>
  <si>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</si>
  <si>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</si>
  <si>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</si>
  <si>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</si>
  <si>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</si>
  <si>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</si>
  <si>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</si>
  <si>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</si>
  <si>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</si>
  <si>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</si>
  <si>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</si>
  <si>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</si>
  <si>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</si>
  <si>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</si>
  <si>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</si>
  <si>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</si>
  <si>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</si>
  <si>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</si>
  <si>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</si>
  <si>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</si>
  <si>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</si>
  <si>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</si>
  <si>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</si>
  <si>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</si>
  <si>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</si>
  <si>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</si>
  <si>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</si>
  <si>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</si>
  <si>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</si>
  <si>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</si>
  <si>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</si>
  <si>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</si>
  <si>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</si>
  <si>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</si>
  <si>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</si>
  <si>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</si>
  <si>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</si>
  <si>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</si>
  <si>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</si>
  <si>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</si>
  <si>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</si>
  <si>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</si>
  <si>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</si>
  <si>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</si>
  <si>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</si>
  <si>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</si>
  <si>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</si>
  <si>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</si>
  <si>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</si>
  <si>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</si>
  <si>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</si>
  <si>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</si>
  <si>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</si>
  <si>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</si>
  <si>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</si>
  <si>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</si>
  <si>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</si>
  <si>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</si>
  <si>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</si>
  <si>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</si>
  <si>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</si>
  <si>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</si>
  <si>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</si>
  <si>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</si>
  <si>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</si>
  <si>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</si>
  <si>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</si>
  <si>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</si>
  <si>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</si>
  <si>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</si>
  <si>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</si>
  <si>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</si>
  <si>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</si>
  <si>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</si>
  <si>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</si>
  <si>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</si>
  <si>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</si>
  <si>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</si>
  <si>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</si>
  <si>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</si>
  <si>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</si>
  <si>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</si>
  <si>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</si>
  <si>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</si>
  <si>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</si>
  <si>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</si>
  <si>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</si>
  <si>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</si>
  <si>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</si>
  <si>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</si>
  <si>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</si>
  <si>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</si>
  <si>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</si>
  <si>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</si>
  <si>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</si>
  <si>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</si>
  <si>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</si>
  <si>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</si>
  <si>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</si>
  <si>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</si>
  <si>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</si>
  <si>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</si>
  <si>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</si>
  <si>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</si>
  <si>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</si>
  <si>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</si>
  <si>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</si>
  <si>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</si>
  <si>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</si>
  <si>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</si>
  <si>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</si>
  <si>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</si>
  <si>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</si>
  <si>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</si>
  <si>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</si>
  <si>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</si>
  <si>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</si>
  <si>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</si>
  <si>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</si>
  <si>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</si>
  <si>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</si>
  <si>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</si>
  <si>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</si>
  <si>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</si>
  <si>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</si>
  <si>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</si>
  <si>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</si>
  <si>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</si>
  <si>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</si>
  <si>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</si>
  <si>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</si>
  <si>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</si>
  <si>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</si>
  <si>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</si>
  <si>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</si>
  <si>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</si>
  <si>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</si>
  <si>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</si>
  <si>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</si>
  <si>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</si>
  <si>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</si>
  <si>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</si>
  <si>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</si>
  <si>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</si>
  <si>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</si>
  <si>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</si>
  <si>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</si>
  <si>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</si>
  <si>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</si>
  <si>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</si>
  <si>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</si>
  <si>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</si>
  <si>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</si>
  <si>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</si>
  <si>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</si>
  <si>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</si>
  <si>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</si>
  <si>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</si>
  <si>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</si>
  <si>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</si>
  <si>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</si>
  <si>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</si>
  <si>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</si>
  <si>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</si>
  <si>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</si>
  <si>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</si>
  <si>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</si>
  <si>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</si>
  <si>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</si>
  <si>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</si>
  <si>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</si>
  <si>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</si>
  <si>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</si>
  <si>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</si>
  <si>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</si>
  <si>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</si>
  <si>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</si>
  <si>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</si>
  <si>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</si>
  <si>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</si>
  <si>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</si>
  <si>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</si>
  <si>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</si>
  <si>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</si>
  <si>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</si>
  <si>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</si>
  <si>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</si>
  <si>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</si>
  <si>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</si>
  <si>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</si>
  <si>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</si>
  <si>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</si>
  <si>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</si>
  <si>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</si>
  <si>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</si>
  <si>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</si>
  <si>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</si>
  <si>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</si>
  <si>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</si>
  <si>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</si>
  <si>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</si>
  <si>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</si>
  <si>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</si>
  <si>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</si>
  <si>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</si>
  <si>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</si>
  <si>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</si>
  <si>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</si>
  <si>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</si>
  <si>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</si>
  <si>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</si>
  <si>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</si>
  <si>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</si>
  <si>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</si>
  <si>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</si>
  <si>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</si>
  <si>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</si>
  <si>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</si>
  <si>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</si>
  <si>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</si>
  <si>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</si>
  <si>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</si>
  <si>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</si>
  <si>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</si>
  <si>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</si>
  <si>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</si>
  <si>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</si>
  <si>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</si>
  <si>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</si>
  <si>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</si>
  <si>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</si>
  <si>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</si>
  <si>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</si>
  <si>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</si>
  <si>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</si>
  <si>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</si>
  <si>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</si>
  <si>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</si>
  <si>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</si>
  <si>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</si>
  <si>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</si>
  <si>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</si>
  <si>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</si>
  <si>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</si>
  <si>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</si>
  <si>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</si>
  <si>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</si>
  <si>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</si>
  <si>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</si>
  <si>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</si>
  <si>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</si>
  <si>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</si>
  <si>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</si>
  <si>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</si>
  <si>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</si>
  <si>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</si>
  <si>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</si>
  <si>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</si>
  <si>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</si>
  <si>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</si>
  <si>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</si>
  <si>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</si>
  <si>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</si>
  <si>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</si>
  <si>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</si>
  <si>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</si>
  <si>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</si>
  <si>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</si>
  <si>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</si>
  <si>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</si>
  <si>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</si>
  <si>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</si>
  <si>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</si>
  <si>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</si>
  <si>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</si>
  <si>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</si>
  <si>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</si>
  <si>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</si>
  <si>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</si>
  <si>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</si>
  <si>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</si>
  <si>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</si>
  <si>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</si>
  <si>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</si>
  <si>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</si>
  <si>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</si>
  <si>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</si>
  <si>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</si>
  <si>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</si>
  <si>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</si>
  <si>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</si>
  <si>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</si>
  <si>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</si>
  <si>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</si>
  <si>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</si>
  <si>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</si>
  <si>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</si>
  <si>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</si>
  <si>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</si>
  <si>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</si>
  <si>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</si>
  <si>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</si>
  <si>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</si>
  <si>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</si>
  <si>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</si>
  <si>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</si>
  <si>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</si>
  <si>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</si>
  <si>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</si>
  <si>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</si>
  <si>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</si>
  <si>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</si>
  <si>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</si>
  <si>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</si>
  <si>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</si>
  <si>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</si>
  <si>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</si>
  <si>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</si>
  <si>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</si>
  <si>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</si>
  <si>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</si>
  <si>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</si>
  <si>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</si>
  <si>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</si>
  <si>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</si>
  <si>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</si>
  <si>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</si>
  <si>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</si>
  <si>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</si>
  <si>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</si>
  <si>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</si>
  <si>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</si>
  <si>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</si>
  <si>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</si>
  <si>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</si>
  <si>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</si>
  <si>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</si>
  <si>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</si>
  <si>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</si>
  <si>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</si>
  <si>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</si>
  <si>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</si>
  <si>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</si>
  <si>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</si>
  <si>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</si>
  <si>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</si>
  <si>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</si>
  <si>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</si>
  <si>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</si>
  <si>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</si>
  <si>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</si>
  <si>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</si>
  <si>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</si>
  <si>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</si>
  <si>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</si>
  <si>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</si>
  <si>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</si>
  <si>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</si>
  <si>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</si>
  <si>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</si>
  <si>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</si>
  <si>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</si>
  <si>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</si>
  <si>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</si>
  <si>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</si>
  <si>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</si>
  <si>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</si>
  <si>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</si>
  <si>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</si>
  <si>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</si>
  <si>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</si>
  <si>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</si>
  <si>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</si>
  <si>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</si>
  <si>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</si>
  <si>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</si>
  <si>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</si>
  <si>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</si>
  <si>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</si>
  <si>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</si>
  <si>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</si>
  <si>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</si>
  <si>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</si>
  <si>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</si>
  <si>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</si>
  <si>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</si>
  <si>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</si>
  <si>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</si>
  <si>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</si>
  <si>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</si>
  <si>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</si>
  <si>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</si>
  <si>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</si>
  <si>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</si>
  <si>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</si>
  <si>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</si>
  <si>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</si>
  <si>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</si>
  <si>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</si>
  <si>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</si>
  <si>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</si>
  <si>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</si>
  <si>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</si>
  <si>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</si>
  <si>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</si>
  <si>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</si>
  <si>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</si>
  <si>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</si>
  <si>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</si>
  <si>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</si>
  <si>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</si>
  <si>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</si>
  <si>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</si>
  <si>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</si>
  <si>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</si>
  <si>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</si>
  <si>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</si>
  <si>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</si>
  <si>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</si>
  <si>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</si>
  <si>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</si>
  <si>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</si>
  <si>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</si>
  <si>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</si>
  <si>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</si>
  <si>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</si>
  <si>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</si>
  <si>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</si>
  <si>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</si>
  <si>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</si>
  <si>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</si>
  <si>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</si>
  <si>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</si>
  <si>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</si>
  <si>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</si>
  <si>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</si>
  <si>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</si>
  <si>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</si>
  <si>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</si>
  <si>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</si>
  <si>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</si>
  <si>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</si>
  <si>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</si>
  <si>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</si>
  <si>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</si>
  <si>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</si>
  <si>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</si>
  <si>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</si>
  <si>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</si>
  <si>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</si>
  <si>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</si>
  <si>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</si>
  <si>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</si>
  <si>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</si>
  <si>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</si>
  <si>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</si>
  <si>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</si>
  <si>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</si>
  <si>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</si>
  <si>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</si>
  <si>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</si>
  <si>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</si>
  <si>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</si>
  <si>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</si>
  <si>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</si>
  <si>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</si>
  <si>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</si>
  <si>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</si>
  <si>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</si>
  <si>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</si>
  <si>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</si>
  <si>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</si>
  <si>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</si>
  <si>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</si>
  <si>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</si>
  <si>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</si>
  <si>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</si>
  <si>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</si>
  <si>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</si>
  <si>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</si>
  <si>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</si>
  <si>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</si>
  <si>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</si>
  <si>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</si>
  <si>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</si>
  <si>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</si>
  <si>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</si>
  <si>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</si>
  <si>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</si>
  <si>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</si>
  <si>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</si>
  <si>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</si>
  <si>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</si>
  <si>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</si>
  <si>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</si>
  <si>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</si>
  <si>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</si>
  <si>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</si>
  <si>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</si>
  <si>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</si>
  <si>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</si>
  <si>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</si>
  <si>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</si>
  <si>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</si>
  <si>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</si>
  <si>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</si>
  <si>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</si>
  <si>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</si>
  <si>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</si>
  <si>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</si>
  <si>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</si>
  <si>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</si>
  <si>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</si>
  <si>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</si>
  <si>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</si>
  <si>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</si>
  <si>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</si>
  <si>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</si>
  <si>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</si>
  <si>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</si>
  <si>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</si>
  <si>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</si>
  <si>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</si>
  <si>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</si>
  <si>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</si>
  <si>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</si>
  <si>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</si>
  <si>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</si>
  <si>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</si>
  <si>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</si>
  <si>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</si>
  <si>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</si>
  <si>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</si>
  <si>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</si>
  <si>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</si>
  <si>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</si>
  <si>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</si>
  <si>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</si>
  <si>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</si>
  <si>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</si>
  <si>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</si>
  <si>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</si>
  <si>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</si>
  <si>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</si>
  <si>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</si>
  <si>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</si>
  <si>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</si>
  <si>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</si>
  <si>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</si>
  <si>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</si>
  <si>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</si>
  <si>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</si>
  <si>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</si>
  <si>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</si>
  <si>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</si>
  <si>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</si>
  <si>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</si>
  <si>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</si>
  <si>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</si>
  <si>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</si>
  <si>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</si>
  <si>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</si>
  <si>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</si>
  <si>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</si>
  <si>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</si>
  <si>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</si>
  <si>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</si>
  <si>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</si>
  <si>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</si>
  <si>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</si>
  <si>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</si>
  <si>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</si>
  <si>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</si>
  <si>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</si>
  <si>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</si>
  <si>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</si>
  <si>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</si>
  <si>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</si>
  <si>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</si>
  <si>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</si>
  <si>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</si>
  <si>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</si>
  <si>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</si>
  <si>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</si>
  <si>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</si>
  <si>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</si>
  <si>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</si>
  <si>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</si>
  <si>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</si>
  <si>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</si>
  <si>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</si>
  <si>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</si>
  <si>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</si>
  <si>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</si>
  <si>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</si>
  <si>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</si>
  <si>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</si>
  <si>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</si>
  <si>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</si>
  <si>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</si>
  <si>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</si>
  <si>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</si>
  <si>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</si>
  <si>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</si>
  <si>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</si>
  <si>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</si>
  <si>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</si>
  <si>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</si>
  <si>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</si>
  <si>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</si>
  <si>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</si>
  <si>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</si>
  <si>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</si>
  <si>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</si>
  <si>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</si>
  <si>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</si>
  <si>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</si>
  <si>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</si>
  <si>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</si>
  <si>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</si>
  <si>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</si>
  <si>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</si>
  <si>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</si>
  <si>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</si>
  <si>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</si>
  <si>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</si>
  <si>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</si>
  <si>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</si>
  <si>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</si>
  <si>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</si>
  <si>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</si>
  <si>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</si>
  <si>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</si>
  <si>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</si>
  <si>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</si>
  <si>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</si>
  <si>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</si>
  <si>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</si>
  <si>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</si>
  <si>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</si>
  <si>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</si>
  <si>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</si>
  <si>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</si>
  <si>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</si>
  <si>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</si>
  <si>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</si>
  <si>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</si>
  <si>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</si>
  <si>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</si>
  <si>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</si>
  <si>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</si>
  <si>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</si>
  <si>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</si>
  <si>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</si>
  <si>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</si>
  <si>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</si>
  <si>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</si>
  <si>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</si>
  <si>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</si>
  <si>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</si>
  <si>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</si>
  <si>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</si>
  <si>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</si>
  <si>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</si>
  <si>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</si>
  <si>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</si>
  <si>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</si>
  <si>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</si>
  <si>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</si>
  <si>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</si>
  <si>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</si>
  <si>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</si>
  <si>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</si>
  <si>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</si>
  <si>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</si>
  <si>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</si>
  <si>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</si>
  <si>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</si>
  <si>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</si>
  <si>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</si>
  <si>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</si>
  <si>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</si>
  <si>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</si>
  <si>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</si>
  <si>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</si>
  <si>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</si>
  <si>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</si>
  <si>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</si>
  <si>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</si>
  <si>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</si>
  <si>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</si>
  <si>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</si>
  <si>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</si>
  <si>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</si>
  <si>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</si>
  <si>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</si>
  <si>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</si>
  <si>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</si>
  <si>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</si>
  <si>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</si>
  <si>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</si>
  <si>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</si>
  <si>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</si>
  <si>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</si>
  <si>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</si>
  <si>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</si>
  <si>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</si>
  <si>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</si>
  <si>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</si>
  <si>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</si>
  <si>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</si>
  <si>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</si>
  <si>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</si>
  <si>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</si>
  <si>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</si>
  <si>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</si>
  <si>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</si>
  <si>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</si>
  <si>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</si>
  <si>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</si>
  <si>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</si>
  <si>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</si>
  <si>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</si>
  <si>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</si>
  <si>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</si>
  <si>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</si>
  <si>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</si>
  <si>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</si>
  <si>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</si>
  <si>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</si>
  <si>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</si>
  <si>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</si>
  <si>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</si>
  <si>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</si>
  <si>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</si>
  <si>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</si>
  <si>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</si>
  <si>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</si>
  <si>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</si>
  <si>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</si>
  <si>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</si>
  <si>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</si>
  <si>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</si>
  <si>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</si>
  <si>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</si>
  <si>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</si>
  <si>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</si>
  <si>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</si>
  <si>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</si>
  <si>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</si>
  <si>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</si>
  <si>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</si>
  <si>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</si>
  <si>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</si>
  <si>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</si>
  <si>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</si>
  <si>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</si>
  <si>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</si>
  <si>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</si>
  <si>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</si>
  <si>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</si>
  <si>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</si>
  <si>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</si>
  <si>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</si>
  <si>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</si>
  <si>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</si>
  <si>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</si>
  <si>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</si>
  <si>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</si>
  <si>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</si>
  <si>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</si>
  <si>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</si>
  <si>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</si>
  <si>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</si>
  <si>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</si>
  <si>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</si>
  <si>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</si>
  <si>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</si>
  <si>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</si>
  <si>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</si>
  <si>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</si>
  <si>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</si>
  <si>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</si>
  <si>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</si>
  <si>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</si>
  <si>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</si>
  <si>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</si>
  <si>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</si>
  <si>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</si>
  <si>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</si>
  <si>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</si>
  <si>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</si>
  <si>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</si>
  <si>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</si>
  <si>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</si>
  <si>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</si>
  <si>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</si>
  <si>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</si>
  <si>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</si>
  <si>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</si>
  <si>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</si>
  <si>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</si>
  <si>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</si>
  <si>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</si>
  <si>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</si>
  <si>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</si>
  <si>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</si>
  <si>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</si>
  <si>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</si>
  <si>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</si>
  <si>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</si>
  <si>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</si>
  <si>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</si>
  <si>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</si>
  <si>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</si>
  <si>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</si>
  <si>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</si>
  <si>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</si>
  <si>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</si>
  <si>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</si>
  <si>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</si>
  <si>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</si>
  <si>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</si>
  <si>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</si>
  <si>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</si>
  <si>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</si>
  <si>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</si>
  <si>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</si>
  <si>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</si>
  <si>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</si>
  <si>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</si>
  <si>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</si>
  <si>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</si>
  <si>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</si>
  <si>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</si>
  <si>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</si>
  <si>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</si>
  <si>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</si>
  <si>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</si>
  <si>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</si>
  <si>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</si>
  <si>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</si>
  <si>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</si>
  <si>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</si>
  <si>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</si>
  <si>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</si>
  <si>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</si>
  <si>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</si>
  <si>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</si>
  <si>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</si>
  <si>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</si>
  <si>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</si>
  <si>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</si>
  <si>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</si>
  <si>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</si>
  <si>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</si>
  <si>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</si>
  <si>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</si>
  <si>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</si>
  <si>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</si>
  <si>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</si>
  <si>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</si>
  <si>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</si>
  <si>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</si>
  <si>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</si>
  <si>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</si>
  <si>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</si>
  <si>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</si>
  <si>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</si>
  <si>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</si>
  <si>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</si>
  <si>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</si>
  <si>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</si>
  <si>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</si>
  <si>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</si>
  <si>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</si>
  <si>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</si>
  <si>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</si>
  <si>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</si>
  <si>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</si>
  <si>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</si>
  <si>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</si>
  <si>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</si>
  <si>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</si>
  <si>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</si>
  <si>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</si>
  <si>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</si>
  <si>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</si>
  <si>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</si>
  <si>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</si>
  <si>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</si>
  <si>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</si>
  <si>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</si>
  <si>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</si>
  <si>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</si>
  <si>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</si>
  <si>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</si>
  <si>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</si>
  <si>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</si>
  <si>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</si>
  <si>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</si>
  <si>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</si>
  <si>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</si>
  <si>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</si>
  <si>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</si>
  <si>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</si>
  <si>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</si>
  <si>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</si>
  <si>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</si>
  <si>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</si>
  <si>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</si>
  <si>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</si>
  <si>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</si>
  <si>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</si>
  <si>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</si>
  <si>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</si>
  <si>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</si>
  <si>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</si>
  <si>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</si>
  <si>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</si>
  <si>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</si>
  <si>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</si>
  <si>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</si>
  <si>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</si>
  <si>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</si>
  <si>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</si>
  <si>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</si>
  <si>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</si>
  <si>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</si>
  <si>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</si>
  <si>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</si>
  <si>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</si>
  <si>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</si>
  <si>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</si>
  <si>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</si>
  <si>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</si>
  <si>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</si>
  <si>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</si>
  <si>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</si>
  <si>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</si>
  <si>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</si>
  <si>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</si>
  <si>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</si>
  <si>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</si>
  <si>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</si>
  <si>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</si>
  <si>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</si>
  <si>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</si>
  <si>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</si>
  <si>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</si>
  <si>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</si>
  <si>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</si>
  <si>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</si>
  <si>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</si>
  <si>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</si>
  <si>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</si>
  <si>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</si>
  <si>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</si>
  <si>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</si>
  <si>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</si>
  <si>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</si>
  <si>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</si>
  <si>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</si>
  <si>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</si>
  <si>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</si>
  <si>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</si>
  <si>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</si>
  <si>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</si>
  <si>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</si>
  <si>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</si>
  <si>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</si>
  <si>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</si>
  <si>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</si>
  <si>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</si>
  <si>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</si>
  <si>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</si>
  <si>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</si>
  <si>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</si>
  <si>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</si>
  <si>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</si>
  <si>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</si>
  <si>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</si>
  <si>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</si>
  <si>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</si>
  <si>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</si>
  <si>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</si>
  <si>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</si>
  <si>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</si>
  <si>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</si>
  <si>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</si>
  <si>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</si>
  <si>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</si>
  <si>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</si>
  <si>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</si>
  <si>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</si>
  <si>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</si>
  <si>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</si>
  <si>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</si>
  <si>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</si>
  <si>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</si>
  <si>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</si>
  <si>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</si>
  <si>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</si>
  <si>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</si>
  <si>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</si>
  <si>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</si>
  <si>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</si>
  <si>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</si>
  <si>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</si>
  <si>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</si>
  <si>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</si>
  <si>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</si>
  <si>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</si>
  <si>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</si>
  <si>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</si>
  <si>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</si>
  <si>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</si>
  <si>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</si>
  <si>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</si>
  <si>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</si>
  <si>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</si>
  <si>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</si>
  <si>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</si>
  <si>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</si>
  <si>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</si>
  <si>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</si>
  <si>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</si>
  <si>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</si>
  <si>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</si>
  <si>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</si>
  <si>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</si>
  <si>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</si>
  <si>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</si>
  <si>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</si>
  <si>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</si>
  <si>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</si>
  <si>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</si>
  <si>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</si>
  <si>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</si>
  <si>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</si>
  <si>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</si>
  <si>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</si>
  <si>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</si>
  <si>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</si>
  <si>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</si>
  <si>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</si>
  <si>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</si>
  <si>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</si>
  <si>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</si>
  <si>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</si>
  <si>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</si>
  <si>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</si>
  <si>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</si>
  <si>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</si>
  <si>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</si>
  <si>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</si>
  <si>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</si>
  <si>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</si>
  <si>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</si>
  <si>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</si>
  <si>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</si>
  <si>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</si>
  <si>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</si>
  <si>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</si>
  <si>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</si>
  <si>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</si>
  <si>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</si>
  <si>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</si>
  <si>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</si>
  <si>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</si>
  <si>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</si>
  <si>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</si>
  <si>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</si>
  <si>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</si>
  <si>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</si>
  <si>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</si>
  <si>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</si>
  <si>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</si>
  <si>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</si>
  <si>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</si>
  <si>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</si>
  <si>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</si>
  <si>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</si>
  <si>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</si>
  <si>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</si>
  <si>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</si>
  <si>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</si>
  <si>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</si>
  <si>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</si>
  <si>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</si>
  <si>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</si>
  <si>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</si>
  <si>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</si>
  <si>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</si>
  <si>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</si>
  <si>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</si>
  <si>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</si>
  <si>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</si>
  <si>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</si>
  <si>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</si>
  <si>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</si>
  <si>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</si>
  <si>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</si>
  <si>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</si>
  <si>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</si>
  <si>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</si>
  <si>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</si>
  <si>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</si>
  <si>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</si>
  <si>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</si>
  <si>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</si>
  <si>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</si>
  <si>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</si>
  <si>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</si>
  <si>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</si>
  <si>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</si>
  <si>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</si>
  <si>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</si>
  <si>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</si>
  <si>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</si>
  <si>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</si>
  <si>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</si>
  <si>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</si>
  <si>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</si>
  <si>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</si>
  <si>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</si>
  <si>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</si>
  <si>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</si>
  <si>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</si>
  <si>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</si>
  <si>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</si>
  <si>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</si>
  <si>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</si>
  <si>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</si>
  <si>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</si>
  <si>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</si>
  <si>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</si>
  <si>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</si>
  <si>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</si>
  <si>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</si>
  <si>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</si>
  <si>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</si>
  <si>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</si>
  <si>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</si>
  <si>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</si>
  <si>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</si>
  <si>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</si>
  <si>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</si>
  <si>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</si>
  <si>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</si>
  <si>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</si>
  <si>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</si>
  <si>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</si>
  <si>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</si>
  <si>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</si>
  <si>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</si>
  <si>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</si>
  <si>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</si>
  <si>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</si>
  <si>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</si>
  <si>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</si>
  <si>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</si>
  <si>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</si>
  <si>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</si>
  <si>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</si>
  <si>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</si>
  <si>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</si>
  <si>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</si>
  <si>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</si>
  <si>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</si>
  <si>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</si>
  <si>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</si>
  <si>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</si>
  <si>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</si>
  <si>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</si>
  <si>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</si>
  <si>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</si>
  <si>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</si>
  <si>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</si>
  <si>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</si>
  <si>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</si>
  <si>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</si>
  <si>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</si>
  <si>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</si>
  <si>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</si>
  <si>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</si>
  <si>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</si>
  <si>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</si>
  <si>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</si>
  <si>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</si>
  <si>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</si>
  <si>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</si>
  <si>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</si>
  <si>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</si>
  <si>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</si>
  <si>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</si>
  <si>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</si>
  <si>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</si>
  <si>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</si>
  <si>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</si>
  <si>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</si>
  <si>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</si>
  <si>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</si>
  <si>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</si>
  <si>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</si>
  <si>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</si>
  <si>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</si>
  <si>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</si>
  <si>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</si>
  <si>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</si>
  <si>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</si>
  <si>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</si>
  <si>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</si>
  <si>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</si>
  <si>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</si>
  <si>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</si>
  <si>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</si>
  <si>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</si>
  <si>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</si>
  <si>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</si>
  <si>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</si>
  <si>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</si>
  <si>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</si>
  <si>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</si>
  <si>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</si>
  <si>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</si>
  <si>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</si>
  <si>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</si>
  <si>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</si>
  <si>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</si>
  <si>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</si>
  <si>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</si>
  <si>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</si>
  <si>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</si>
  <si>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</si>
  <si>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</si>
  <si>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</si>
  <si>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</si>
  <si>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</si>
  <si>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</si>
  <si>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</si>
  <si>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</si>
  <si>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</si>
  <si>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</si>
  <si>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</si>
  <si>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</si>
  <si>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</si>
  <si>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</si>
  <si>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</si>
  <si>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</si>
  <si>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</si>
  <si>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</si>
  <si>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</si>
  <si>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</si>
  <si>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</si>
  <si>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</si>
  <si>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</si>
  <si>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</si>
  <si>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</si>
  <si>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</si>
  <si>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</si>
  <si>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</si>
  <si>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</si>
  <si>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</si>
  <si>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</si>
  <si>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</si>
  <si>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</si>
  <si>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</si>
  <si>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</si>
  <si>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</si>
  <si>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</si>
  <si>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</si>
  <si>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</si>
  <si>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</si>
  <si>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</si>
  <si>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</si>
  <si>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</si>
  <si>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</si>
  <si>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</si>
  <si>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</si>
  <si>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</si>
  <si>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</si>
  <si>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</si>
  <si>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</si>
  <si>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</si>
  <si>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</si>
  <si>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</si>
  <si>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</si>
  <si>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</si>
  <si>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</si>
  <si>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</si>
  <si>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</si>
  <si>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</si>
  <si>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</si>
  <si>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</si>
  <si>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</si>
  <si>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</si>
  <si>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</si>
  <si>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</si>
  <si>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</si>
  <si>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</si>
  <si>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</si>
  <si>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</si>
  <si>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</si>
  <si>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</si>
  <si>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</si>
  <si>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</si>
  <si>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</si>
  <si>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</si>
  <si>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</si>
  <si>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</si>
  <si>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</si>
  <si>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</si>
  <si>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</si>
  <si>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</si>
  <si>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</si>
  <si>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</si>
  <si>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</si>
  <si>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</si>
  <si>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</si>
  <si>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</si>
  <si>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</si>
  <si>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</si>
  <si>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</si>
  <si>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</si>
  <si>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</si>
  <si>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</si>
  <si>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</si>
  <si>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</si>
  <si>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</si>
  <si>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</si>
  <si>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</si>
  <si>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</si>
  <si>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</si>
  <si>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</si>
  <si>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</si>
  <si>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</si>
  <si>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</si>
  <si>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</si>
  <si>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</si>
  <si>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</si>
  <si>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</si>
  <si>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</si>
  <si>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</si>
  <si>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</si>
  <si>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</si>
  <si>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</si>
  <si>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</si>
  <si>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</si>
  <si>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</si>
  <si>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</si>
  <si>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</si>
  <si>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</si>
  <si>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</si>
  <si>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</si>
  <si>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</si>
  <si>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</si>
  <si>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</si>
  <si>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</si>
  <si>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</si>
  <si>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</si>
  <si>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</si>
  <si>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</si>
  <si>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</si>
  <si>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</si>
  <si>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</si>
  <si>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</si>
  <si>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</si>
  <si>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</si>
  <si>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</si>
  <si>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</si>
  <si>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</si>
  <si>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</si>
  <si>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</si>
  <si>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</si>
  <si>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</si>
  <si>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</si>
  <si>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</si>
  <si>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</si>
  <si>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</si>
  <si>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</si>
  <si>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</si>
  <si>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</si>
  <si>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</si>
  <si>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</si>
  <si>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</si>
  <si>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</si>
  <si>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</si>
  <si>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</si>
  <si>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</si>
  <si>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</si>
  <si>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</si>
  <si>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</si>
  <si>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</si>
  <si>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</si>
  <si>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</si>
  <si>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</si>
  <si>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</si>
  <si>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</si>
  <si>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</si>
  <si>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</si>
  <si>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</si>
  <si>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</si>
  <si>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</si>
  <si>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</si>
  <si>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</si>
  <si>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</si>
  <si>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</si>
  <si>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</si>
  <si>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</si>
  <si>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</si>
  <si>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</si>
  <si>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</si>
  <si>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</si>
  <si>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</si>
  <si>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</si>
  <si>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</si>
  <si>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</si>
  <si>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</si>
  <si>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</si>
  <si>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</si>
  <si>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</si>
  <si>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</si>
  <si>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</si>
  <si>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</si>
  <si>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</si>
  <si>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</si>
  <si>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</si>
  <si>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</si>
  <si>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</si>
  <si>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</si>
  <si>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</si>
  <si>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</si>
  <si>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</si>
  <si>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</si>
  <si>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</si>
  <si>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</si>
  <si>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</si>
  <si>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</si>
  <si>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</si>
  <si>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</si>
  <si>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</si>
  <si>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</si>
  <si>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</si>
  <si>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</si>
  <si>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</si>
  <si>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</si>
  <si>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</si>
  <si>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</si>
  <si>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</si>
  <si>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</si>
  <si>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</si>
  <si>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</si>
  <si>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</si>
  <si>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</si>
  <si>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</si>
  <si>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</si>
  <si>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</si>
  <si>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</si>
  <si>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</si>
  <si>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</si>
  <si>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</si>
  <si>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</si>
  <si>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</si>
  <si>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</si>
  <si>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</si>
  <si>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</si>
  <si>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</si>
  <si>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</si>
  <si>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</si>
  <si>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</si>
  <si>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</si>
  <si>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</si>
  <si>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</si>
  <si>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</si>
  <si>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</si>
  <si>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</si>
  <si>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</si>
  <si>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</si>
  <si>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</si>
  <si>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</si>
  <si>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</si>
  <si>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</si>
  <si>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</si>
  <si>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</si>
  <si>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</si>
  <si>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</si>
  <si>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</si>
  <si>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</si>
  <si>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</si>
  <si>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</si>
  <si>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</si>
  <si>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</si>
  <si>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</si>
  <si>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</si>
  <si>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</si>
  <si>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</si>
  <si>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</si>
  <si>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</si>
  <si>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</si>
  <si>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</si>
  <si>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</si>
  <si>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</si>
  <si>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</si>
  <si>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</si>
  <si>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</si>
  <si>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</si>
  <si>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</si>
  <si>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</si>
  <si>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</si>
  <si>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</si>
  <si>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</si>
  <si>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</si>
  <si>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</si>
  <si>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</si>
  <si>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</si>
  <si>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</si>
  <si>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</si>
  <si>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</si>
  <si>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</si>
  <si>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</si>
  <si>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</si>
  <si>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</si>
  <si>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</si>
  <si>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</si>
  <si>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</si>
  <si>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</si>
  <si>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</si>
  <si>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</si>
  <si>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</si>
  <si>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</si>
  <si>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</si>
  <si>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</si>
  <si>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</si>
  <si>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</si>
  <si>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</si>
  <si>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</si>
  <si>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</si>
  <si>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</si>
  <si>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</si>
  <si>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</si>
  <si>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</si>
  <si>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</si>
  <si>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</si>
  <si>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</si>
  <si>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</si>
  <si>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</si>
  <si>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</si>
  <si>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</si>
  <si>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</si>
  <si>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</si>
  <si>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</si>
  <si>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</si>
  <si>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</si>
  <si>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</si>
  <si>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</si>
  <si>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</si>
  <si>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</si>
  <si>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</si>
  <si>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</si>
  <si>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</si>
  <si>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</si>
  <si>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</si>
  <si>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</si>
  <si>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</si>
  <si>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</si>
  <si>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</si>
  <si>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</si>
  <si>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</si>
  <si>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</si>
  <si>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</si>
  <si>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</si>
  <si>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</si>
  <si>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</si>
  <si>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</si>
  <si>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</si>
  <si>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</si>
  <si>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</si>
  <si>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</si>
  <si>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</si>
  <si>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</si>
  <si>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</si>
  <si>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</si>
  <si>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</si>
  <si>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</si>
  <si>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</si>
  <si>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</si>
  <si>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</si>
  <si>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</si>
  <si>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</si>
  <si>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</si>
  <si>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</si>
  <si>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</si>
  <si>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</si>
  <si>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</si>
  <si>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</si>
  <si>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</si>
  <si>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</si>
  <si>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</si>
  <si>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</si>
  <si>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</si>
  <si>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</si>
  <si>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</si>
  <si>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</si>
  <si>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</si>
  <si>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</si>
  <si>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</si>
  <si>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</si>
  <si>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</si>
  <si>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</si>
  <si>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</si>
  <si>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</si>
  <si>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</si>
  <si>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</si>
  <si>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</si>
  <si>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</si>
  <si>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</si>
  <si>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</si>
  <si>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</si>
  <si>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</si>
  <si>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</si>
  <si>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</si>
  <si>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average_donation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</si>
  <si>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</si>
  <si>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</si>
  <si>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</si>
  <si>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</si>
  <si>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</si>
  <si>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</si>
  <si>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</si>
  <si>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</si>
  <si>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</si>
  <si>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</si>
  <si>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</si>
  <si>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</si>
  <si>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</si>
  <si>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</si>
  <si>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</si>
  <si>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</si>
  <si>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</si>
  <si>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</si>
  <si>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</si>
  <si>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</si>
  <si>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</si>
  <si>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</si>
  <si>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</si>
  <si>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</si>
  <si>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</si>
  <si>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</si>
  <si>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</si>
  <si>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</si>
  <si>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</si>
  <si>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</si>
  <si>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</si>
  <si>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</si>
  <si>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</si>
  <si>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</si>
  <si>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</si>
  <si>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</si>
  <si>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</si>
  <si>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</si>
  <si>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</si>
  <si>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</si>
  <si>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</si>
  <si>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</si>
  <si>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Years (date_created_conversion)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</si>
  <si>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</si>
  <si>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</si>
  <si>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</si>
  <si>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</si>
  <si>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</si>
  <si>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</si>
  <si>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</si>
  <si>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</si>
  <si>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</si>
  <si>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</si>
  <si>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</si>
  <si>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</si>
  <si>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</si>
  <si>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</si>
  <si>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</si>
  <si>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</si>
  <si>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</si>
  <si>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</si>
  <si>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</si>
  <si>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</si>
  <si>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</si>
  <si>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</si>
  <si>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</si>
  <si>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</si>
  <si>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</si>
  <si>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</si>
  <si>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</si>
  <si>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</si>
  <si>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</si>
  <si>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</si>
  <si>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</si>
  <si>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</si>
  <si>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</si>
  <si>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</si>
  <si>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min</t>
  </si>
  <si>
    <t>max</t>
  </si>
  <si>
    <t>variance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</si>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</sst>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3-2349-99EE-8D48AECB1514}"/>
            </c:ext>
          </c:extLst>
        </c:ser>
        <c:ser>
          <c:idx val="1"/>
          <c:order val="1"/>
          <c:tx>
            <c:strRef>
              <c:f>'Category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CA-424C-86F4-AAA67F679D39}"/>
            </c:ext>
          </c:extLst>
        </c:ser>
        <c:ser>
          <c:idx val="2"/>
          <c:order val="2"/>
          <c:tx>
            <c:strRef>
              <c:f>'Category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CA-424C-86F4-AAA67F679D39}"/>
            </c:ext>
          </c:extLst>
        </c:ser>
        <c:ser>
          <c:idx val="3"/>
          <c:order val="3"/>
          <c:tx>
            <c:strRef>
              <c:f>'Category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Statistics'!$A$6:$A$15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CA-424C-86F4-AAA67F67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0772495"/>
        <c:axId val="1311275391"/>
      </c:barChart>
      <c:catAx>
        <c:axId val="13107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75391"/>
        <c:crosses val="autoZero"/>
        <c:auto val="1"/>
        <c:lblAlgn val="ctr"/>
        <c:lblOffset val="100"/>
        <c:noMultiLvlLbl val="0"/>
      </c:catAx>
      <c:valAx>
        <c:axId val="13112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7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B24F-8831-563D237AC3BC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0F7-614F-90F7-D8C9FE250FCB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0F7-614F-90F7-D8C9FE250FCB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0F7-614F-90F7-D8C9FE25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456720"/>
        <c:axId val="200448048"/>
      </c:barChart>
      <c:catAx>
        <c:axId val="2004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8048"/>
        <c:crosses val="autoZero"/>
        <c:auto val="1"/>
        <c:lblAlgn val="ctr"/>
        <c:lblOffset val="100"/>
        <c:noMultiLvlLbl val="0"/>
      </c:catAx>
      <c:valAx>
        <c:axId val="200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F-AB48-B65D-1BC30C6425D1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5E-5D42-A88A-C771DD733D9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F5E-5D42-A88A-C771DD733D9B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5E-5D42-A88A-C771DD73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622447"/>
        <c:axId val="1417624159"/>
      </c:lineChart>
      <c:catAx>
        <c:axId val="141762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24159"/>
        <c:crosses val="autoZero"/>
        <c:auto val="1"/>
        <c:lblAlgn val="ctr"/>
        <c:lblOffset val="100"/>
        <c:noMultiLvlLbl val="0"/>
      </c:catAx>
      <c:valAx>
        <c:axId val="14176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2-C844-A74C-85CEB66C720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2-C844-A74C-85CEB66C720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2-C844-A74C-85CEB66C7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51456"/>
        <c:axId val="1105523808"/>
      </c:lineChart>
      <c:catAx>
        <c:axId val="11059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3808"/>
        <c:crosses val="autoZero"/>
        <c:auto val="1"/>
        <c:lblAlgn val="ctr"/>
        <c:lblOffset val="100"/>
        <c:noMultiLvlLbl val="0"/>
      </c:catAx>
      <c:valAx>
        <c:axId val="11055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5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FFC52824-F51F-4843-9F0B-340F694F1CD4}" formatIdx="0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244C624-5ABD-E848-9B60-2D3E9E778A3F}" formatIdx="1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267173-264E-2540-8E22-8C63AA8F8D80}" formatIdx="3">
          <cx:tx>
            <cx:txData>
              <cx:f>_xlchart.v1.4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DA45BA6-7CE1-1048-A5DB-152AB78B5F03}" formatIdx="4">
          <cx:tx>
            <cx:txData>
              <cx:f>_xlchart.v1.6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</xdr:row>
      <xdr:rowOff>25400</xdr:rowOff>
    </xdr:from>
    <xdr:to>
      <xdr:col>18</xdr:col>
      <xdr:colOff>419100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890AB-C9EB-70C2-5932-445AEC4A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0</xdr:rowOff>
    </xdr:from>
    <xdr:to>
      <xdr:col>24</xdr:col>
      <xdr:colOff>393700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5B427-7BF1-4D5A-2721-4E4C46810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171450</xdr:rowOff>
    </xdr:from>
    <xdr:to>
      <xdr:col>19</xdr:col>
      <xdr:colOff>254000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FB2C0-BA7D-5D2D-BC8A-462889B3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19050</xdr:rowOff>
    </xdr:from>
    <xdr:to>
      <xdr:col>8</xdr:col>
      <xdr:colOff>38100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3DABDB-AD34-6BD4-11ED-85228CDB4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6350</xdr:rowOff>
    </xdr:from>
    <xdr:to>
      <xdr:col>15</xdr:col>
      <xdr:colOff>76200</xdr:colOff>
      <xdr:row>36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A07569D-E548-80CD-2E79-3C0FDFD61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7950" y="2038350"/>
              <a:ext cx="7956550" cy="5403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Mitry" refreshedDate="45591.94814212963" createdVersion="8" refreshedVersion="8" minRefreshableVersion="3" recordCount="1000" xr:uid="{3E374749-0F6C-2F49-9596-A1352FBDA6F5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_created_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_created_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28977-0BDC-F940-BE49-FB457E0DB40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1BA64-38EE-474A-BBF8-861B298880F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F8AF2-DECF-4E4B-A0AA-776882DE25D7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66" sqref="C66"/>
    </sheetView>
  </sheetViews>
  <sheetFormatPr baseColWidth="10" defaultRowHeight="16" x14ac:dyDescent="0.2"/>
  <cols>
    <col min="1" max="1" width="4.33203125" customWidth="1"/>
    <col min="2" max="2" width="30.6640625" bestFit="1" customWidth="1"/>
    <col min="3" max="3" width="33.5" style="3" customWidth="1"/>
    <col min="6" max="6" width="13.5" style="5" bestFit="1" customWidth="1"/>
    <col min="8" max="8" width="13" bestFit="1" customWidth="1"/>
    <col min="9" max="9" width="16" bestFit="1" customWidth="1"/>
    <col min="12" max="12" width="11.1640625" bestFit="1" customWidth="1"/>
    <col min="13" max="13" width="22.1640625" bestFit="1" customWidth="1"/>
    <col min="14" max="14" width="11.1640625" bestFit="1" customWidth="1"/>
    <col min="15" max="15" width="20.83203125" bestFit="1" customWidth="1"/>
    <col min="18" max="18" width="28" bestFit="1" customWidth="1"/>
    <col min="20" max="20" width="11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6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9">
        <f t="shared" ref="M3:M66" si="2">(((L3/60)/60)/24)+DATE(1970,1,1)</f>
        <v>41870.208333333336</v>
      </c>
      <c r="N3">
        <v>1408597200</v>
      </c>
      <c r="O3" s="9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 t="shared" ref="T3:T66" si="5">RIGHT(R3,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>
        <v>1384840800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>
        <v>1568955600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>
        <v>1548309600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>
        <v>1347080400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>
        <v>1505365200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>
        <v>1439614800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>
        <v>1281502800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>
        <v>1383804000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>
        <v>1285909200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>
        <v>1285563600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>
        <v>1572411600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>
        <v>1466658000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>
        <v>1333342800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>
        <v>1576303200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>
        <v>1392271200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>
        <v>1294898400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>
        <v>1537074000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>
        <v>1553490000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>
        <v>1406523600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>
        <v>1316322000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>
        <v>1524027600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>
        <v>1554699600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>
        <v>1403499600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>
        <v>1307422800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>
        <v>1535346000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>
        <v>1444539600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>
        <v>1267682400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>
        <v>1535518800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>
        <v>1559106000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>
        <v>1454392800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>
        <v>1517896800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>
        <v>1415685600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>
        <v>1490677200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>
        <v>1551506400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>
        <v>1300856400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>
        <v>1573192800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>
        <v>1287810000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>
        <v>1362978000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>
        <v>1277355600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>
        <v>1348981200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>
        <v>1310533200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>
        <v>1407560400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>
        <v>1552885200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>
        <v>1479362400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>
        <v>1280552400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>
        <v>1398661200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>
        <v>1436245200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>
        <v>1575439200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>
        <v>1377752400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>
        <v>1334206800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>
        <v>1284872400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>
        <v>1403931600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>
        <v>1521262800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>
        <v>1533358800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>
        <v>1421474400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>
        <v>1505278800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>
        <v>1443934800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>
        <v>1498539600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>
        <v>1342760400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>
        <v>1301720400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>
        <v>1433566800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>
        <v>1493874000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>
        <v>1531803600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6">
        <f t="shared" ref="I67:I130" si="7">IF(H67=0, 0, E67/H67)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ref="T67:T130" si="11">RIGHT(R67,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6">
        <f t="shared" ref="I131:I194" si="13">IF(H131=0, 0, E131/H131)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ref="T131:T194" si="17">RIGHT(R131,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6">
        <f t="shared" ref="I195:I258" si="19">IF(H195=0, 0, E195/H195)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ref="T195:T258" si="23">RIGHT(R195,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6">
        <f t="shared" ref="I259:I322" si="25">IF(H259=0, 0, E259/H259)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ref="T259:T322" si="29">RIGHT(R259,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6">
        <f t="shared" ref="I323:I386" si="31">IF(H323=0, 0, E323/H323)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ref="T323:T386" si="35">RIGHT(R323,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6">
        <f t="shared" ref="I387:I450" si="37">IF(H387=0, 0, E387/H387)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ref="T387:T450" si="41">RIGHT(R387,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6">
        <f t="shared" ref="I451:I514" si="43">IF(H451=0, 0, E451/H451)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ref="T451:T514" si="47">RIGHT(R451,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6">
        <f t="shared" ref="I515:I578" si="49">IF(H515=0, 0, E515/H515)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ref="T515:T578" si="53">RIGHT(R515,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6">
        <f t="shared" ref="I579:I642" si="55">IF(H579=0, 0, E579/H579)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ref="T579:T642" si="59">RIGHT(R579,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6">
        <f t="shared" ref="I643:I706" si="61">IF(H643=0, 0, E643/H643)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ref="T643:T706" si="65">RIGHT(R643,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6">
        <f t="shared" ref="I707:I770" si="67">IF(H707=0, 0, E707/H707)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ref="T707:T770" si="71">RIGHT(R707,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6">
        <f t="shared" ref="I771:I834" si="73">IF(H771=0, 0, E771/H771)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ref="T771:T834" si="77">RIGHT(R771,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6">
        <f t="shared" ref="I835:I898" si="79">IF(H835=0, 0, E835/H835)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ref="T835:T898" si="83">RIGHT(R835,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6">
        <f t="shared" ref="I899:I962" si="85">IF(H899=0, 0, E899/H899)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ref="T899:T962" si="89">RIGHT(R899,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6">
        <f t="shared" ref="I963:I1001" si="91">IF(H963=0, 0, E963/H963)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ref="T963:T1001" si="95">RIGHT(R963,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 G1:G1048576">
    <cfRule type="cellIs" dxfId="18" priority="8" operator="equal">
      <formula>"canceled"</formula>
    </cfRule>
    <cfRule type="cellIs" dxfId="17" priority="9" operator="equal">
      <formula>"live"</formula>
    </cfRule>
    <cfRule type="cellIs" dxfId="16" priority="10" operator="equal">
      <formula>"successful"</formula>
    </cfRule>
    <cfRule type="cellIs" dxfId="15" priority="11" operator="equal">
      <formula>"failed"</formula>
    </cfRule>
  </conditionalFormatting>
  <conditionalFormatting sqref="F2:F1001">
    <cfRule type="cellIs" dxfId="14" priority="1" operator="greaterThan">
      <formula>2</formula>
    </cfRule>
    <cfRule type="cellIs" dxfId="13" priority="2" operator="between">
      <formula>1.01</formula>
      <formula>2</formula>
    </cfRule>
    <cfRule type="cellIs" dxfId="12" priority="3" operator="between">
      <formula>0</formula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682C-9127-C54A-B3FA-37052BCBAB56}">
  <dimension ref="A2:H22"/>
  <sheetViews>
    <sheetView workbookViewId="0">
      <selection activeCell="G24" sqref="G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8" x14ac:dyDescent="0.2">
      <c r="A2" s="7" t="s">
        <v>6</v>
      </c>
      <c r="B2" t="s">
        <v>2046</v>
      </c>
    </row>
    <row r="4" spans="1:8" x14ac:dyDescent="0.2">
      <c r="A4" s="7" t="s">
        <v>2044</v>
      </c>
      <c r="B4" s="7" t="s">
        <v>2045</v>
      </c>
    </row>
    <row r="5" spans="1:8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8" x14ac:dyDescent="0.2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G6" s="5"/>
      <c r="H6" s="5"/>
    </row>
    <row r="7" spans="1:8" x14ac:dyDescent="0.2">
      <c r="A7" s="8" t="s">
        <v>2035</v>
      </c>
      <c r="B7">
        <v>4</v>
      </c>
      <c r="C7">
        <v>20</v>
      </c>
      <c r="E7">
        <v>22</v>
      </c>
      <c r="F7">
        <v>46</v>
      </c>
      <c r="G7" s="5"/>
      <c r="H7" s="5"/>
    </row>
    <row r="8" spans="1:8" x14ac:dyDescent="0.2">
      <c r="A8" s="8" t="s">
        <v>2036</v>
      </c>
      <c r="B8">
        <v>1</v>
      </c>
      <c r="C8">
        <v>23</v>
      </c>
      <c r="D8">
        <v>3</v>
      </c>
      <c r="E8">
        <v>21</v>
      </c>
      <c r="F8">
        <v>48</v>
      </c>
      <c r="G8" s="5"/>
      <c r="H8" s="5"/>
    </row>
    <row r="9" spans="1:8" x14ac:dyDescent="0.2">
      <c r="A9" s="8" t="s">
        <v>2037</v>
      </c>
      <c r="E9">
        <v>4</v>
      </c>
      <c r="F9">
        <v>4</v>
      </c>
      <c r="G9" s="5"/>
      <c r="H9" s="5"/>
    </row>
    <row r="10" spans="1:8" x14ac:dyDescent="0.2">
      <c r="A10" s="8" t="s">
        <v>2038</v>
      </c>
      <c r="B10">
        <v>10</v>
      </c>
      <c r="C10">
        <v>66</v>
      </c>
      <c r="E10">
        <v>99</v>
      </c>
      <c r="F10">
        <v>175</v>
      </c>
      <c r="G10" s="5"/>
      <c r="H10" s="5"/>
    </row>
    <row r="11" spans="1:8" x14ac:dyDescent="0.2">
      <c r="A11" s="8" t="s">
        <v>2039</v>
      </c>
      <c r="B11">
        <v>4</v>
      </c>
      <c r="C11">
        <v>11</v>
      </c>
      <c r="D11">
        <v>1</v>
      </c>
      <c r="E11">
        <v>26</v>
      </c>
      <c r="F11">
        <v>42</v>
      </c>
      <c r="G11" s="5"/>
      <c r="H11" s="5"/>
    </row>
    <row r="12" spans="1:8" x14ac:dyDescent="0.2">
      <c r="A12" s="8" t="s">
        <v>2040</v>
      </c>
      <c r="B12">
        <v>2</v>
      </c>
      <c r="C12">
        <v>24</v>
      </c>
      <c r="D12">
        <v>1</v>
      </c>
      <c r="E12">
        <v>40</v>
      </c>
      <c r="F12">
        <v>67</v>
      </c>
      <c r="G12" s="5"/>
      <c r="H12" s="5"/>
    </row>
    <row r="13" spans="1:8" x14ac:dyDescent="0.2">
      <c r="A13" s="8" t="s">
        <v>2041</v>
      </c>
      <c r="B13">
        <v>2</v>
      </c>
      <c r="C13">
        <v>28</v>
      </c>
      <c r="D13">
        <v>2</v>
      </c>
      <c r="E13">
        <v>64</v>
      </c>
      <c r="F13">
        <v>96</v>
      </c>
      <c r="G13" s="5"/>
      <c r="H13" s="5"/>
    </row>
    <row r="14" spans="1:8" x14ac:dyDescent="0.2">
      <c r="A14" s="8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  <c r="G14" s="5"/>
      <c r="H14" s="5"/>
    </row>
    <row r="15" spans="1:8" x14ac:dyDescent="0.2">
      <c r="A15" s="8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  <row r="21" spans="6:6" x14ac:dyDescent="0.2">
      <c r="F21" s="5"/>
    </row>
    <row r="22" spans="6:6" x14ac:dyDescent="0.2">
      <c r="F22" s="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DB30-6626-364F-99A8-20F2203EFBD5}">
  <dimension ref="A1:F32"/>
  <sheetViews>
    <sheetView workbookViewId="0">
      <selection activeCell="F27" sqref="F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2031</v>
      </c>
      <c r="B2" t="s">
        <v>2046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  <row r="32" spans="1:6" x14ac:dyDescent="0.2">
      <c r="F32" s="5">
        <f>GETPIVOTDATA("outcome",$A$4,"outcome","successful")/GETPIVOTDATA("outcome",$A$4)</f>
        <v>0.56499999999999995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408A-D915-A24A-8358-B60696218343}">
  <dimension ref="A1:F18"/>
  <sheetViews>
    <sheetView workbookViewId="0">
      <selection activeCell="A6" sqref="A6"/>
    </sheetView>
  </sheetViews>
  <sheetFormatPr baseColWidth="10" defaultRowHeight="16" x14ac:dyDescent="0.2"/>
  <cols>
    <col min="1" max="1" width="28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2046</v>
      </c>
    </row>
    <row r="2" spans="1:6" x14ac:dyDescent="0.2">
      <c r="A2" s="7" t="s">
        <v>2073</v>
      </c>
      <c r="B2" t="s">
        <v>2046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4B01-C105-C647-90A5-C5675216108F}">
  <dimension ref="A1:H13"/>
  <sheetViews>
    <sheetView workbookViewId="0">
      <selection activeCell="O24" sqref="O24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83203125" bestFit="1" customWidth="1"/>
    <col min="4" max="4" width="16.33203125" bestFit="1" customWidth="1"/>
    <col min="5" max="5" width="12.83203125" bestFit="1" customWidth="1"/>
    <col min="6" max="6" width="20" bestFit="1" customWidth="1"/>
    <col min="7" max="7" width="16.5" bestFit="1" customWidth="1"/>
    <col min="8" max="8" width="18.83203125" bestFit="1" customWidth="1"/>
    <col min="9" max="9" width="1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s="10" t="s">
        <v>2094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s="10" t="s">
        <v>2095</v>
      </c>
      <c r="B3">
        <f>COUNTIFS(Crowdfunding!G:G, "successful", Crowdfunding!D:D, "&gt;=1000", Crowdfunding!D:D, "&lt;5000")</f>
        <v>191</v>
      </c>
      <c r="C3">
        <f>COUNTIFS(Crowdfunding!G:G, "failed", Crowdfunding!D:D, "&gt;=1000", Crowdfunding!D:D, "&lt;5000")</f>
        <v>38</v>
      </c>
      <c r="D3">
        <f>COUNTIFS(Crowdfunding!G:G, "canceled", Crowdfunding!D:D, "&gt;=1000", Crowdfunding!D:D, 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s="10" t="s">
        <v>2096</v>
      </c>
      <c r="B4">
        <f>COUNTIFS(Crowdfunding!G:G, "successful", Crowdfunding!D:D, "&gt;=5000", Crowdfunding!D:D, "&lt;9999")</f>
        <v>164</v>
      </c>
      <c r="C4">
        <f>COUNTIFS(Crowdfunding!G:G, "failed", Crowdfunding!D:D, "&gt;=5000", Crowdfunding!D:D, "&lt;9999")</f>
        <v>126</v>
      </c>
      <c r="D4">
        <f>COUNTIFS(Crowdfunding!G:G, "canceled", Crowdfunding!D:D, "&gt;=5000", Crowdfunding!D:D, 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s="10" t="s">
        <v>2097</v>
      </c>
      <c r="B5">
        <f>COUNTIFS(Crowdfunding!G:G, "successful", Crowdfunding!D:D, "&gt;=10000", Crowdfunding!D:D, "&lt;14999")</f>
        <v>4</v>
      </c>
      <c r="C5">
        <f>COUNTIFS(Crowdfunding!G:G, "failed", Crowdfunding!D:D, "&gt;=10000", Crowdfunding!D:D, "&lt;14999")</f>
        <v>5</v>
      </c>
      <c r="D5">
        <f>COUNTIFS(Crowdfunding!G:G, "canceled", Crowdfunding!D:D, "&gt;=10000", Crowdfunding!D:D, 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s="10" t="s">
        <v>2098</v>
      </c>
      <c r="B6">
        <f>COUNTIFS(Crowdfunding!G:G, "successful", Crowdfunding!D:D, "&gt;=15000", Crowdfunding!D:D, "&lt;19999")</f>
        <v>10</v>
      </c>
      <c r="C6">
        <f>COUNTIFS(Crowdfunding!G:G, "failed", Crowdfunding!D:D, "&gt;=15000", Crowdfunding!D:D, "&lt;19999")</f>
        <v>0</v>
      </c>
      <c r="D6">
        <f>COUNTIFS(Crowdfunding!G:G, "canceled", Crowdfunding!D:D, "&gt;=15000", Crowdfunding!D:D, 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s="10" t="s">
        <v>2099</v>
      </c>
      <c r="B7">
        <f>COUNTIFS(Crowdfunding!G:G, "successful", Crowdfunding!D:D, "&gt;=20000", Crowdfunding!D:D, "&lt;24999")</f>
        <v>7</v>
      </c>
      <c r="C7">
        <f>COUNTIFS(Crowdfunding!G:G, "failed", Crowdfunding!D:D, "&gt;=20000", Crowdfunding!D:D, "&lt;24999")</f>
        <v>0</v>
      </c>
      <c r="D7">
        <f>COUNTIFS(Crowdfunding!G:G, "canceled", Crowdfunding!D:D, "&gt;=20000", Crowdfunding!D:D, 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s="10" t="s">
        <v>2100</v>
      </c>
      <c r="B8">
        <f>COUNTIFS(Crowdfunding!G:G, "successful", Crowdfunding!D:D, "&gt;=25000", Crowdfunding!D:D, "&lt;29999")</f>
        <v>11</v>
      </c>
      <c r="C8">
        <f>COUNTIFS(Crowdfunding!G:G, "failed", Crowdfunding!D:D, "&gt;=25000", Crowdfunding!D:D, "&lt;29999")</f>
        <v>3</v>
      </c>
      <c r="D8">
        <f>COUNTIFS(Crowdfunding!G:G, "canaceld", Crowdfunding!D:D, "&gt;=25000", Crowdfunding!D:D, 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s="10" t="s">
        <v>2101</v>
      </c>
      <c r="B9">
        <f>COUNTIFS(Crowdfunding!G:G, "successful", Crowdfunding!D:D, "&gt;=30000", Crowdfunding!D:D, "&lt;34999")</f>
        <v>7</v>
      </c>
      <c r="C9">
        <f>COUNTIFS(Crowdfunding!G:G, "failed", Crowdfunding!D:D, "&gt;=30000", Crowdfunding!D:D, "&lt;34999")</f>
        <v>0</v>
      </c>
      <c r="D9">
        <f>COUNTIFS(Crowdfunding!G:G, "canceled", Crowdfunding!D:D, "&gt;=30000", Crowdfunding!D:D, 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s="10" t="s">
        <v>2102</v>
      </c>
      <c r="B10">
        <f>COUNTIFS(Crowdfunding!G:G, "successful", Crowdfunding!D:D, "&gt;=35000", Crowdfunding!D:D, "&lt;39999")</f>
        <v>8</v>
      </c>
      <c r="C10">
        <f>COUNTIFS(Crowdfunding!G:G, "failed", Crowdfunding!D:D, "&gt;=35000", Crowdfunding!D:D, "&lt;39999")</f>
        <v>3</v>
      </c>
      <c r="D10">
        <f>COUNTIFS(Crowdfunding!G:G, "canceled", Crowdfunding!D:D, "&gt;=35000", Crowdfunding!D:D, 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s="10" t="s">
        <v>2103</v>
      </c>
      <c r="B11">
        <f>COUNTIFS(Crowdfunding!G:G, "successful", Crowdfunding!D:D, "&gt;=40000", Crowdfunding!D:D, "&lt;44999")</f>
        <v>11</v>
      </c>
      <c r="C11">
        <f>COUNTIFS(Crowdfunding!G:G, "failed", Crowdfunding!D:D, "&gt;=40000", Crowdfunding!D:D, "&lt;44999")</f>
        <v>3</v>
      </c>
      <c r="D11">
        <f>COUNTIFS(Crowdfunding!G:G, "canceled", Crowdfunding!D:D, "&gt;=40000", Crowdfunding!D:D, 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s="10" t="s">
        <v>2104</v>
      </c>
      <c r="B12">
        <f>COUNTIFS(Crowdfunding!G:G, "successful", Crowdfunding!D:D, "&gt;=45000", Crowdfunding!D:D, "&lt;49999")</f>
        <v>8</v>
      </c>
      <c r="C12">
        <f>COUNTIFS(Crowdfunding!G:G, "failed", Crowdfunding!D:D, "&gt;=45000", Crowdfunding!D:D, "&lt;49999")</f>
        <v>3</v>
      </c>
      <c r="D12">
        <f>COUNTIFS(Crowdfunding!G:G, "canceled", Crowdfunding!D:D, "&gt;=45000", Crowdfunding!D:D, 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s="10" t="s">
        <v>2105</v>
      </c>
      <c r="B13">
        <f>COUNTIFS(Crowdfunding!G:G, "successful", Crowdfunding!D:D, "&gt;=50000")</f>
        <v>114</v>
      </c>
      <c r="C13">
        <f>COUNTIFS(Crowdfunding!G:G, "failed", Crowdfunding!D:D, "&gt;=50000")</f>
        <v>163</v>
      </c>
      <c r="D13">
        <f>COUNTIFS(Crowdfunding!G:G, "canceled", Crowdfunding!D:D,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ignoredErrors>
    <ignoredError sqref="B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A9C1-5300-DF41-B70F-2FBC34F0953F}">
  <dimension ref="A1:S566"/>
  <sheetViews>
    <sheetView tabSelected="1" workbookViewId="0">
      <selection activeCell="Y26" sqref="Y26"/>
    </sheetView>
  </sheetViews>
  <sheetFormatPr baseColWidth="10" defaultRowHeight="16" x14ac:dyDescent="0.2"/>
  <cols>
    <col min="1" max="1" width="9.5" bestFit="1" customWidth="1"/>
    <col min="2" max="2" width="13" bestFit="1" customWidth="1"/>
    <col min="5" max="5" width="13" bestFit="1" customWidth="1"/>
    <col min="13" max="13" width="16.83203125" bestFit="1" customWidth="1"/>
  </cols>
  <sheetData>
    <row r="1" spans="1:19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  <c r="G1" s="1" t="s">
        <v>4</v>
      </c>
      <c r="H1" s="1" t="s">
        <v>2106</v>
      </c>
      <c r="I1" s="1" t="s">
        <v>2107</v>
      </c>
      <c r="J1" s="1" t="s">
        <v>2108</v>
      </c>
      <c r="K1" s="1" t="s">
        <v>2109</v>
      </c>
      <c r="L1" s="1" t="s">
        <v>2110</v>
      </c>
      <c r="M1" s="1" t="s">
        <v>2111</v>
      </c>
    </row>
    <row r="2" spans="1:19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9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9" x14ac:dyDescent="0.2">
      <c r="A4" t="s">
        <v>20</v>
      </c>
      <c r="B4">
        <v>174</v>
      </c>
      <c r="D4" t="s">
        <v>14</v>
      </c>
      <c r="E4">
        <v>53</v>
      </c>
    </row>
    <row r="5" spans="1:19" x14ac:dyDescent="0.2">
      <c r="A5" t="s">
        <v>20</v>
      </c>
      <c r="B5">
        <v>227</v>
      </c>
      <c r="D5" t="s">
        <v>14</v>
      </c>
      <c r="E5">
        <v>18</v>
      </c>
    </row>
    <row r="6" spans="1:19" x14ac:dyDescent="0.2">
      <c r="A6" t="s">
        <v>20</v>
      </c>
      <c r="B6">
        <v>220</v>
      </c>
      <c r="D6" t="s">
        <v>14</v>
      </c>
      <c r="E6">
        <v>44</v>
      </c>
    </row>
    <row r="7" spans="1:19" x14ac:dyDescent="0.2">
      <c r="A7" t="s">
        <v>20</v>
      </c>
      <c r="B7">
        <v>98</v>
      </c>
      <c r="D7" t="s">
        <v>14</v>
      </c>
      <c r="E7">
        <v>27</v>
      </c>
    </row>
    <row r="8" spans="1:19" x14ac:dyDescent="0.2">
      <c r="A8" t="s">
        <v>20</v>
      </c>
      <c r="B8">
        <v>100</v>
      </c>
      <c r="D8" t="s">
        <v>14</v>
      </c>
      <c r="E8">
        <v>55</v>
      </c>
    </row>
    <row r="9" spans="1:19" x14ac:dyDescent="0.2">
      <c r="A9" t="s">
        <v>20</v>
      </c>
      <c r="B9">
        <v>1249</v>
      </c>
      <c r="D9" t="s">
        <v>14</v>
      </c>
      <c r="E9">
        <v>200</v>
      </c>
    </row>
    <row r="10" spans="1:19" x14ac:dyDescent="0.2">
      <c r="A10" t="s">
        <v>20</v>
      </c>
      <c r="B10">
        <v>1396</v>
      </c>
      <c r="D10" t="s">
        <v>14</v>
      </c>
      <c r="E10">
        <v>452</v>
      </c>
    </row>
    <row r="11" spans="1:19" x14ac:dyDescent="0.2">
      <c r="A11" t="s">
        <v>20</v>
      </c>
      <c r="B11">
        <v>890</v>
      </c>
      <c r="D11" t="s">
        <v>14</v>
      </c>
      <c r="E11">
        <v>674</v>
      </c>
    </row>
    <row r="12" spans="1:19" x14ac:dyDescent="0.2">
      <c r="A12" t="s">
        <v>20</v>
      </c>
      <c r="B12">
        <v>142</v>
      </c>
      <c r="D12" t="s">
        <v>14</v>
      </c>
      <c r="E12">
        <v>558</v>
      </c>
    </row>
    <row r="13" spans="1:19" x14ac:dyDescent="0.2">
      <c r="A13" t="s">
        <v>20</v>
      </c>
      <c r="B13">
        <v>2673</v>
      </c>
      <c r="D13" t="s">
        <v>14</v>
      </c>
      <c r="E13">
        <v>15</v>
      </c>
    </row>
    <row r="14" spans="1:19" x14ac:dyDescent="0.2">
      <c r="A14" t="s">
        <v>20</v>
      </c>
      <c r="B14">
        <v>163</v>
      </c>
      <c r="D14" t="s">
        <v>14</v>
      </c>
      <c r="E14">
        <v>2307</v>
      </c>
      <c r="S14" s="5"/>
    </row>
    <row r="15" spans="1:19" x14ac:dyDescent="0.2">
      <c r="A15" t="s">
        <v>20</v>
      </c>
      <c r="B15">
        <v>2220</v>
      </c>
      <c r="D15" t="s">
        <v>14</v>
      </c>
      <c r="E15">
        <v>88</v>
      </c>
    </row>
    <row r="16" spans="1:1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11" priority="13" operator="equal">
      <formula>"canceled"</formula>
    </cfRule>
    <cfRule type="cellIs" dxfId="10" priority="14" operator="equal">
      <formula>"live"</formula>
    </cfRule>
    <cfRule type="cellIs" dxfId="9" priority="15" operator="equal">
      <formula>"successful"</formula>
    </cfRule>
    <cfRule type="cellIs" dxfId="8" priority="16" operator="equal">
      <formula>"failed"</formula>
    </cfRule>
  </conditionalFormatting>
  <conditionalFormatting sqref="D1:D1047940">
    <cfRule type="cellIs" dxfId="7" priority="9" operator="equal">
      <formula>"canceled"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"failed"</formula>
    </cfRule>
  </conditionalFormatting>
  <conditionalFormatting sqref="G2:G3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Monica Mitry</cp:lastModifiedBy>
  <dcterms:created xsi:type="dcterms:W3CDTF">2021-09-29T18:52:28Z</dcterms:created>
  <dcterms:modified xsi:type="dcterms:W3CDTF">2024-10-28T00:18:53Z</dcterms:modified>
</cp:coreProperties>
</file>